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NEW HIV Grant\"/>
    </mc:Choice>
  </mc:AlternateContent>
  <bookViews>
    <workbookView xWindow="90" yWindow="1230" windowWidth="19020" windowHeight="6300"/>
  </bookViews>
  <sheets>
    <sheet name="NSP Summary Budget (19-22)" sheetId="40" r:id="rId1"/>
    <sheet name="NSP Summary Budget (16-18)" sheetId="21" r:id="rId2"/>
    <sheet name="NSP Detailed Budget" sheetId="22" r:id="rId3"/>
    <sheet name="CALCULATIONS" sheetId="3" r:id="rId4"/>
    <sheet name="TB data from NTP" sheetId="1" r:id="rId5"/>
    <sheet name="Population" sheetId="7" r:id="rId6"/>
    <sheet name="Civilian sector" sheetId="6" r:id="rId7"/>
    <sheet name="Penitentiary sector" sheetId="5" r:id="rId8"/>
    <sheet name="All country" sheetId="4" r:id="rId9"/>
    <sheet name="DST-1 (2010-2016)" sheetId="12" r:id="rId10"/>
    <sheet name="DST-2 (2013)" sheetId="13" r:id="rId11"/>
    <sheet name="Lab tests (2013)" sheetId="14" r:id="rId12"/>
    <sheet name="Xpert needs" sheetId="39" r:id="rId13"/>
    <sheet name="Xpert instruments &amp; tests (2)" sheetId="41" r:id="rId14"/>
    <sheet name="TB drugs cost" sheetId="24" r:id="rId15"/>
    <sheet name="GDFPCSXL_61201861412AM" sheetId="42" r:id="rId16"/>
    <sheet name="TB-HIV" sheetId="18" r:id="rId17"/>
    <sheet name="Diabetes" sheetId="19" r:id="rId18"/>
    <sheet name="Govt &amp; External" sheetId="31" r:id="rId19"/>
    <sheet name="Unit costs" sheetId="30" r:id="rId20"/>
    <sheet name="TA" sheetId="32" r:id="rId21"/>
    <sheet name="Training" sheetId="33" r:id="rId22"/>
    <sheet name="Tx outcomes (all)" sheetId="35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_____TB1">[1]HIV!$A$2:$A$24</definedName>
    <definedName name="______TB1">[1]HIV!$A$2:$A$24</definedName>
    <definedName name="_____TB1">[1]HIV!$A$2:$A$24</definedName>
    <definedName name="____TB1">[2]HIV!$A$2:$A$24</definedName>
    <definedName name="___SRQ9" localSheetId="0">[3]Definitions!#REF!</definedName>
    <definedName name="___SRQ9" localSheetId="20">[3]Definitions!#REF!</definedName>
    <definedName name="___SRQ9" localSheetId="21">[3]Definitions!#REF!</definedName>
    <definedName name="___SRQ9">[3]Definitions!#REF!</definedName>
    <definedName name="___TB1">[2]HIV!$A$2:$A$24</definedName>
    <definedName name="__SRQ9" localSheetId="0">[3]Definitions!#REF!</definedName>
    <definedName name="__SRQ9" localSheetId="20">[3]Definitions!#REF!</definedName>
    <definedName name="__SRQ9" localSheetId="21">[3]Definitions!#REF!</definedName>
    <definedName name="__SRQ9">[3]Definitions!#REF!</definedName>
    <definedName name="__TB1">[2]HIV!$A$2:$A$24</definedName>
    <definedName name="_arr_population">[4]_pop!$A$1:$U$215</definedName>
    <definedName name="_CountryName">[4]Welcome!$D$7</definedName>
    <definedName name="_ftn1" localSheetId="4">'TB data from NTP'!$A$59</definedName>
    <definedName name="_lst_DrugManufs">[5]_settings!$B$19:$B$25</definedName>
    <definedName name="_lst_Drugs">[6]_settings!$B$29:$B$37</definedName>
    <definedName name="_lst_DrugTypes">[6]_settings!$B$11:$B$15</definedName>
    <definedName name="_RegionName">[7]Welcome!$D$8</definedName>
    <definedName name="_SRQ9" localSheetId="0">[3]Definitions!#REF!</definedName>
    <definedName name="_SRQ9" localSheetId="20">[3]Definitions!#REF!</definedName>
    <definedName name="_SRQ9" localSheetId="21">[3]Definitions!#REF!</definedName>
    <definedName name="_SRQ9">[3]Definitions!#REF!</definedName>
    <definedName name="_TB1">[2]HIV!$A$2:$A$24</definedName>
    <definedName name="aa" localSheetId="0">#REF!</definedName>
    <definedName name="aa">#REF!</definedName>
    <definedName name="acc" localSheetId="0">#REF!</definedName>
    <definedName name="acc" localSheetId="20">#REF!</definedName>
    <definedName name="acc" localSheetId="21">#REF!</definedName>
    <definedName name="acc">#REF!</definedName>
    <definedName name="acc_cah" localSheetId="0">#REF!</definedName>
    <definedName name="acc_cah" localSheetId="20">#REF!</definedName>
    <definedName name="acc_cah" localSheetId="21">#REF!</definedName>
    <definedName name="acc_cah">#REF!</definedName>
    <definedName name="azt" localSheetId="0">#REF!</definedName>
    <definedName name="azt" localSheetId="20">#REF!</definedName>
    <definedName name="azt" localSheetId="21">#REF!</definedName>
    <definedName name="azt">#REF!</definedName>
    <definedName name="bb" localSheetId="0">#REF!</definedName>
    <definedName name="bb">#REF!</definedName>
    <definedName name="bolo" localSheetId="0">#REF!</definedName>
    <definedName name="bolo">#REF!</definedName>
    <definedName name="budget" localSheetId="0">#REF!</definedName>
    <definedName name="budget">#REF!</definedName>
    <definedName name="cc" localSheetId="0">#REF!</definedName>
    <definedName name="cc">#REF!</definedName>
    <definedName name="cobivir" localSheetId="0">#REF!</definedName>
    <definedName name="cobivir" localSheetId="20">#REF!</definedName>
    <definedName name="cobivir" localSheetId="21">#REF!</definedName>
    <definedName name="cobivir">#REF!</definedName>
    <definedName name="contam_process" localSheetId="0">#REF!</definedName>
    <definedName name="contam_process" localSheetId="20">#REF!</definedName>
    <definedName name="contam_process" localSheetId="21">#REF!</definedName>
    <definedName name="contam_process">#REF!</definedName>
    <definedName name="Cost_Category">[8]Definitions!$F$3:$F$15</definedName>
    <definedName name="dd" localSheetId="0">#REF!</definedName>
    <definedName name="dd">#REF!</definedName>
    <definedName name="ddi" localSheetId="0">#REF!</definedName>
    <definedName name="ddi" localSheetId="20">#REF!</definedName>
    <definedName name="ddi" localSheetId="21">#REF!</definedName>
    <definedName name="ddi">#REF!</definedName>
    <definedName name="DocTitle">[9]xPublicVariables!$D$27</definedName>
    <definedName name="ds_vs" localSheetId="0">#REF!</definedName>
    <definedName name="ds_vs" localSheetId="20">#REF!</definedName>
    <definedName name="ds_vs" localSheetId="21">#REF!</definedName>
    <definedName name="ds_vs">#REF!</definedName>
    <definedName name="ds_vs_m" localSheetId="0">#REF!</definedName>
    <definedName name="ds_vs_m" localSheetId="20">#REF!</definedName>
    <definedName name="ds_vs_m" localSheetId="21">#REF!</definedName>
    <definedName name="ds_vs_m">#REF!</definedName>
    <definedName name="E">[10]HIV!$F$3</definedName>
    <definedName name="ee" localSheetId="0">#REF!</definedName>
    <definedName name="ee">#REF!</definedName>
    <definedName name="ES">[10]HIV!$F$4</definedName>
    <definedName name="euro">[11]Activities!$D$4</definedName>
    <definedName name="Fcost" localSheetId="0">#REF!</definedName>
    <definedName name="Fcost" localSheetId="20">#REF!</definedName>
    <definedName name="Fcost" localSheetId="21">#REF!</definedName>
    <definedName name="Fcost">#REF!</definedName>
    <definedName name="fuel" localSheetId="0">#REF!</definedName>
    <definedName name="fuel" localSheetId="20">#REF!</definedName>
    <definedName name="fuel" localSheetId="21">#REF!</definedName>
    <definedName name="fuel">#REF!</definedName>
    <definedName name="GBLC" localSheetId="0">#REF!</definedName>
    <definedName name="GBLC">#REF!</definedName>
    <definedName name="gdgd" localSheetId="0">#REF!</definedName>
    <definedName name="gdgd">#REF!</definedName>
    <definedName name="GeneratedAt">[9]xPublicVariables!$D$28</definedName>
    <definedName name="ghgjhgjgjh" localSheetId="0">#REF!</definedName>
    <definedName name="ghgjhgjgjh">#REF!</definedName>
    <definedName name="GHRN" localSheetId="0">#REF!</definedName>
    <definedName name="GHRN">#REF!</definedName>
    <definedName name="HIVII">[10]HIV!$B$2:$B$7</definedName>
    <definedName name="HIVOI">[10]HIV!$D$2:$D$13</definedName>
    <definedName name="HIVSDA">[10]HIV!$A$2:$A$24</definedName>
    <definedName name="HIVSource">[10]HIV!$E$2:$E$19</definedName>
    <definedName name="hjhkjh" localSheetId="0">#REF!</definedName>
    <definedName name="hjhkjh">#REF!</definedName>
    <definedName name="hjhkjhk" localSheetId="0">#REF!</definedName>
    <definedName name="hjhkjhk">#REF!</definedName>
    <definedName name="HSSSDA">[12]HSS!$A$3:$A$19</definedName>
    <definedName name="impact" localSheetId="0">#REF!</definedName>
    <definedName name="impact" localSheetId="20">#REF!</definedName>
    <definedName name="impact" localSheetId="14">#REF!</definedName>
    <definedName name="impact" localSheetId="21">#REF!</definedName>
    <definedName name="impact">#REF!</definedName>
    <definedName name="impact_1" localSheetId="0">#REF!</definedName>
    <definedName name="impact_1" localSheetId="20">#REF!</definedName>
    <definedName name="impact_1" localSheetId="14">#REF!</definedName>
    <definedName name="impact_1" localSheetId="21">#REF!</definedName>
    <definedName name="impact_1">#REF!</definedName>
    <definedName name="Implementing_Entity_Type">[13]Definitions!$H$3:$H$9</definedName>
    <definedName name="IndicatorTypesList" localSheetId="0">#REF!</definedName>
    <definedName name="IndicatorTypesList" localSheetId="20">#REF!</definedName>
    <definedName name="IndicatorTypesList" localSheetId="14">#REF!</definedName>
    <definedName name="IndicatorTypesList" localSheetId="21">#REF!</definedName>
    <definedName name="IndicatorTypesList">#REF!</definedName>
    <definedName name="IndicatorTypesList_1" localSheetId="0">#REF!</definedName>
    <definedName name="IndicatorTypesList_1" localSheetId="20">#REF!</definedName>
    <definedName name="IndicatorTypesList_1" localSheetId="14">#REF!</definedName>
    <definedName name="IndicatorTypesList_1" localSheetId="21">#REF!</definedName>
    <definedName name="IndicatorTypesList_1">#REF!</definedName>
    <definedName name="Inflation_factor_year_1" localSheetId="0">#REF!</definedName>
    <definedName name="Inflation_factor_year_1">#REF!</definedName>
    <definedName name="Inflation_factor_year_2" localSheetId="0">#REF!</definedName>
    <definedName name="Inflation_factor_year_2">#REF!</definedName>
    <definedName name="Inflation_factor_year_3" localSheetId="0">#REF!</definedName>
    <definedName name="Inflation_factor_year_3">#REF!</definedName>
    <definedName name="Inflation_factor_year_4" localSheetId="0">#REF!</definedName>
    <definedName name="Inflation_factor_year_4">#REF!</definedName>
    <definedName name="Inflation_factor_year_5" localSheetId="0">#REF!</definedName>
    <definedName name="Inflation_factor_year_5">#REF!</definedName>
    <definedName name="Iza_factor_ghjgj3" localSheetId="0">#REF!</definedName>
    <definedName name="Iza_factor_ghjgj3">#REF!</definedName>
    <definedName name="Iza_VV_JJ_8" localSheetId="0">#REF!</definedName>
    <definedName name="Iza_VV_JJ_8">#REF!</definedName>
    <definedName name="jj" localSheetId="0">#REF!</definedName>
    <definedName name="jj">#REF!</definedName>
    <definedName name="kit_ordered" localSheetId="0">#REF!</definedName>
    <definedName name="kit_ordered" localSheetId="20">#REF!</definedName>
    <definedName name="kit_ordered" localSheetId="21">#REF!</definedName>
    <definedName name="kit_ordered">#REF!</definedName>
    <definedName name="lamivudine" localSheetId="0">#REF!</definedName>
    <definedName name="lamivudine" localSheetId="20">#REF!</definedName>
    <definedName name="lamivudine" localSheetId="21">#REF!</definedName>
    <definedName name="lamivudine">#REF!</definedName>
    <definedName name="lc_contamination" localSheetId="0">#REF!</definedName>
    <definedName name="lc_contamination" localSheetId="20">#REF!</definedName>
    <definedName name="lc_contamination" localSheetId="21">#REF!</definedName>
    <definedName name="lc_contamination">#REF!</definedName>
    <definedName name="LC_positive" localSheetId="0">#REF!</definedName>
    <definedName name="LC_positive" localSheetId="20">#REF!</definedName>
    <definedName name="LC_positive" localSheetId="21">#REF!</definedName>
    <definedName name="LC_positive">#REF!</definedName>
    <definedName name="LC_Repeat_culture" localSheetId="0">#REF!</definedName>
    <definedName name="LC_Repeat_culture" localSheetId="20">#REF!</definedName>
    <definedName name="LC_Repeat_culture" localSheetId="21">#REF!</definedName>
    <definedName name="LC_Repeat_culture">#REF!</definedName>
    <definedName name="List_IE">'[14]Definitions-lists-EFR'!$A$58:$A$65</definedName>
    <definedName name="list1">'[15]шкала SDA и др'!$M$3:$M$15</definedName>
    <definedName name="listH" localSheetId="0">[16]Definitions!#REF!</definedName>
    <definedName name="listH" localSheetId="20">[16]Definitions!#REF!</definedName>
    <definedName name="listH" localSheetId="21">[16]Definitions!#REF!</definedName>
    <definedName name="listH">[16]Definitions!#REF!</definedName>
    <definedName name="listHH" localSheetId="0">[16]Definitions!#REF!</definedName>
    <definedName name="listHH" localSheetId="20">[16]Definitions!#REF!</definedName>
    <definedName name="listHH" localSheetId="21">[16]Definitions!#REF!</definedName>
    <definedName name="listHH">[16]Definitions!#REF!</definedName>
    <definedName name="ListHIV">'[14]Definitions-lists-EFR'!$A$1:$A$7</definedName>
    <definedName name="listie">[17]Definitions!$B$31:$B$38</definedName>
    <definedName name="listN" localSheetId="0">[16]Definitions!#REF!</definedName>
    <definedName name="listN" localSheetId="20">[16]Definitions!#REF!</definedName>
    <definedName name="listN" localSheetId="21">[16]Definitions!#REF!</definedName>
    <definedName name="listN">[16]Definitions!#REF!</definedName>
    <definedName name="LL" localSheetId="0">#REF!</definedName>
    <definedName name="LL">#REF!</definedName>
    <definedName name="LPA_Batch" localSheetId="0">#REF!</definedName>
    <definedName name="LPA_Batch" localSheetId="20">#REF!</definedName>
    <definedName name="LPA_Batch" localSheetId="21">#REF!</definedName>
    <definedName name="LPA_Batch">#REF!</definedName>
    <definedName name="MacrocategoriesALL">[17]Definitions!$B$127:$B$149</definedName>
    <definedName name="MalariaII">[10]Malaria!$B$2:$B$11</definedName>
    <definedName name="MalariaOI">[10]Malaria!$D$2:$D$11</definedName>
    <definedName name="MalariaSDA">[10]Malaria!$A$2:$A$19</definedName>
    <definedName name="MalariaSDA1">[2]Malaria!$A$2:$A$19</definedName>
    <definedName name="MalariaSource">[10]Malaria!$E$2:$E$20</definedName>
    <definedName name="MalariaSource1">[2]Malaria!$E$2:$E$20</definedName>
    <definedName name="mm" localSheetId="0">#REF!</definedName>
    <definedName name="mm">#REF!</definedName>
    <definedName name="Nat_HJK_hjhk4" localSheetId="0">#REF!</definedName>
    <definedName name="Nat_HJK_hjhk4">#REF!</definedName>
    <definedName name="National_factor_year1" localSheetId="0">#REF!</definedName>
    <definedName name="National_factor_year1">#REF!</definedName>
    <definedName name="National_factor_year2" localSheetId="0">#REF!</definedName>
    <definedName name="National_factor_year2">#REF!</definedName>
    <definedName name="National_factor_year3" localSheetId="0">#REF!</definedName>
    <definedName name="National_factor_year3">#REF!</definedName>
    <definedName name="National_factor_year4" localSheetId="0">#REF!</definedName>
    <definedName name="National_factor_year4">#REF!</definedName>
    <definedName name="National_factor_year5" localSheetId="0">#REF!</definedName>
    <definedName name="National_factor_year5">#REF!</definedName>
    <definedName name="nino" localSheetId="0">#REF!</definedName>
    <definedName name="nino">#REF!</definedName>
    <definedName name="nn" localSheetId="0">#REF!</definedName>
    <definedName name="nn">#REF!</definedName>
    <definedName name="Notif2" localSheetId="0">#REF!</definedName>
    <definedName name="Notif2" localSheetId="20">#REF!</definedName>
    <definedName name="Notif2" localSheetId="14">#REF!</definedName>
    <definedName name="Notif2" localSheetId="21">#REF!</definedName>
    <definedName name="Notif2">#REF!</definedName>
    <definedName name="nr_vs" localSheetId="0">#REF!</definedName>
    <definedName name="nr_vs" localSheetId="20">#REF!</definedName>
    <definedName name="nr_vs" localSheetId="21">#REF!</definedName>
    <definedName name="nr_vs">#REF!</definedName>
    <definedName name="nrDig" localSheetId="0">#REF!</definedName>
    <definedName name="nrDig" localSheetId="20">#REF!</definedName>
    <definedName name="nrDig" localSheetId="14">#REF!</definedName>
    <definedName name="nrDig" localSheetId="21">#REF!</definedName>
    <definedName name="nrDig">#REF!</definedName>
    <definedName name="nvp" localSheetId="0">#REF!</definedName>
    <definedName name="nvp" localSheetId="20">#REF!</definedName>
    <definedName name="nvp" localSheetId="21">#REF!</definedName>
    <definedName name="nvp">#REF!</definedName>
    <definedName name="outcome" localSheetId="0">#REF!</definedName>
    <definedName name="outcome" localSheetId="20">#REF!</definedName>
    <definedName name="outcome" localSheetId="14">#REF!</definedName>
    <definedName name="outcome" localSheetId="21">#REF!</definedName>
    <definedName name="outcome">#REF!</definedName>
    <definedName name="outcome_1" localSheetId="0">#REF!</definedName>
    <definedName name="outcome_1" localSheetId="20">#REF!</definedName>
    <definedName name="outcome_1" localSheetId="14">#REF!</definedName>
    <definedName name="outcome_1" localSheetId="21">#REF!</definedName>
    <definedName name="outcome_1">#REF!</definedName>
    <definedName name="PD" localSheetId="0">#REF!</definedName>
    <definedName name="PD" localSheetId="20">#REF!</definedName>
    <definedName name="PD" localSheetId="21">#REF!</definedName>
    <definedName name="PD">#REF!</definedName>
    <definedName name="pdb" localSheetId="0">#REF!</definedName>
    <definedName name="pdb" localSheetId="20">#REF!</definedName>
    <definedName name="pdb" localSheetId="21">#REF!</definedName>
    <definedName name="pdb">#REF!</definedName>
    <definedName name="PDC" localSheetId="0">#REF!</definedName>
    <definedName name="PDC" localSheetId="20">#REF!</definedName>
    <definedName name="PDC" localSheetId="21">#REF!</definedName>
    <definedName name="PDC">#REF!</definedName>
    <definedName name="Per_diem" localSheetId="0">#REF!</definedName>
    <definedName name="Per_diem" localSheetId="20">#REF!</definedName>
    <definedName name="Per_diem" localSheetId="21">#REF!</definedName>
    <definedName name="Per_diem">#REF!</definedName>
    <definedName name="period">'[18]Data Entry'!$C$4</definedName>
    <definedName name="PM">[2]HIV!$F$5</definedName>
    <definedName name="pop" localSheetId="0">#REF!</definedName>
    <definedName name="pop" localSheetId="20">#REF!</definedName>
    <definedName name="pop" localSheetId="14">#REF!</definedName>
    <definedName name="pop" localSheetId="21">#REF!</definedName>
    <definedName name="pop">#REF!</definedName>
    <definedName name="pp" localSheetId="0">#REF!</definedName>
    <definedName name="pp">#REF!</definedName>
    <definedName name="_xlnm.Print_Area" localSheetId="12">'Xpert needs'!$B$1:$D$87</definedName>
    <definedName name="PS">[10]HIV!$F$5</definedName>
    <definedName name="ps_vs" localSheetId="0">#REF!</definedName>
    <definedName name="ps_vs" localSheetId="20">#REF!</definedName>
    <definedName name="ps_vs" localSheetId="21">#REF!</definedName>
    <definedName name="ps_vs">#REF!</definedName>
    <definedName name="RegionsCount">[9]xPublicVariables!$D$6</definedName>
    <definedName name="repet_process" localSheetId="0">#REF!</definedName>
    <definedName name="repet_process" localSheetId="20">#REF!</definedName>
    <definedName name="repet_process" localSheetId="21">#REF!</definedName>
    <definedName name="repet_process">#REF!</definedName>
    <definedName name="RepFooter">[9]xPublicVariables!$D$29</definedName>
    <definedName name="RepTitle">[9]xPublicVariables!$D$26</definedName>
    <definedName name="sample" localSheetId="0">#REF!</definedName>
    <definedName name="sample" localSheetId="20">#REF!</definedName>
    <definedName name="sample" localSheetId="21">#REF!</definedName>
    <definedName name="sample">#REF!</definedName>
    <definedName name="SD" localSheetId="0">#REF!</definedName>
    <definedName name="SD" localSheetId="20">#REF!</definedName>
    <definedName name="SD" localSheetId="21">#REF!</definedName>
    <definedName name="SD">#REF!</definedName>
    <definedName name="SDA" localSheetId="0">#REF!</definedName>
    <definedName name="SDA" localSheetId="20">#REF!</definedName>
    <definedName name="SDA" localSheetId="21">#REF!</definedName>
    <definedName name="SDA">#REF!</definedName>
    <definedName name="SDAList" localSheetId="0">#REF!</definedName>
    <definedName name="SDAList" localSheetId="20">#REF!</definedName>
    <definedName name="SDAList" localSheetId="14">#REF!</definedName>
    <definedName name="SDAList" localSheetId="21">#REF!</definedName>
    <definedName name="SDAList">#REF!</definedName>
    <definedName name="SDAList_1" localSheetId="0">#REF!</definedName>
    <definedName name="SDAList_1" localSheetId="20">#REF!</definedName>
    <definedName name="SDAList_1" localSheetId="14">#REF!</definedName>
    <definedName name="SDAList_1" localSheetId="21">#REF!</definedName>
    <definedName name="SDAList_1">#REF!</definedName>
    <definedName name="slants" localSheetId="0">#REF!</definedName>
    <definedName name="slants" localSheetId="20">#REF!</definedName>
    <definedName name="slants" localSheetId="21">#REF!</definedName>
    <definedName name="slants">#REF!</definedName>
    <definedName name="SourcesList" localSheetId="0">#REF!</definedName>
    <definedName name="SourcesList" localSheetId="20">#REF!</definedName>
    <definedName name="SourcesList" localSheetId="14">#REF!</definedName>
    <definedName name="SourcesList" localSheetId="21">#REF!</definedName>
    <definedName name="SourcesList">#REF!</definedName>
    <definedName name="SourcesList_1" localSheetId="0">#REF!</definedName>
    <definedName name="SourcesList_1" localSheetId="20">#REF!</definedName>
    <definedName name="SourcesList_1" localSheetId="14">#REF!</definedName>
    <definedName name="SourcesList_1" localSheetId="21">#REF!</definedName>
    <definedName name="SourcesList_1">#REF!</definedName>
    <definedName name="TB">[2]HIV!$D$2:$D$13</definedName>
    <definedName name="TB_Culture" localSheetId="0">#REF!</definedName>
    <definedName name="TB_Culture" localSheetId="20">#REF!</definedName>
    <definedName name="TB_Culture" localSheetId="21">#REF!</definedName>
    <definedName name="TB_Culture">#REF!</definedName>
    <definedName name="TBII">[10]TB!$B$2:$B$5</definedName>
    <definedName name="TBIII">[2]TB!$B$2:$B$5</definedName>
    <definedName name="TBOI">[10]TB!$D$2:$D$4</definedName>
    <definedName name="TBSDA">[10]TB!$A$2:$A$21</definedName>
    <definedName name="TBSource">[10]TB!$E$2:$E$16</definedName>
    <definedName name="TG">[2]TB!$D$2:$D$4</definedName>
    <definedName name="TG_2011_GF" localSheetId="0">#REF!</definedName>
    <definedName name="TG_2011_GF">#REF!</definedName>
    <definedName name="TG_2013_GF" localSheetId="0">#REF!</definedName>
    <definedName name="TG_2013_GF">#REF!</definedName>
    <definedName name="vaxo" localSheetId="0">#REF!</definedName>
    <definedName name="vaxo">#REF!</definedName>
    <definedName name="volum_specimen" localSheetId="0">#REF!</definedName>
    <definedName name="volum_specimen" localSheetId="20">#REF!</definedName>
    <definedName name="volum_specimen" localSheetId="21">#REF!</definedName>
    <definedName name="volum_specimen">#REF!</definedName>
    <definedName name="VV" localSheetId="0">#REF!</definedName>
    <definedName name="VV">#REF!</definedName>
    <definedName name="XX" localSheetId="0">#REF!</definedName>
    <definedName name="XX">#REF!</definedName>
    <definedName name="zz" localSheetId="0">#REF!</definedName>
    <definedName name="zz">#REF!</definedName>
  </definedNames>
  <calcPr calcId="152511"/>
</workbook>
</file>

<file path=xl/calcChain.xml><?xml version="1.0" encoding="utf-8"?>
<calcChain xmlns="http://schemas.openxmlformats.org/spreadsheetml/2006/main">
  <c r="O261" i="40" l="1"/>
  <c r="R261" i="40" s="1"/>
  <c r="P261" i="40"/>
  <c r="S261" i="40" s="1"/>
  <c r="Q261" i="40"/>
  <c r="T261" i="40"/>
  <c r="O262" i="40"/>
  <c r="P262" i="40"/>
  <c r="S262" i="40" s="1"/>
  <c r="Q262" i="40"/>
  <c r="T262" i="40" s="1"/>
  <c r="R262" i="40"/>
  <c r="T260" i="40"/>
  <c r="S260" i="40"/>
  <c r="R260" i="40"/>
  <c r="Q260" i="40"/>
  <c r="P260" i="40"/>
  <c r="O260" i="40"/>
  <c r="M263" i="40"/>
  <c r="N263" i="40"/>
  <c r="L263" i="40"/>
  <c r="S257" i="40"/>
  <c r="T257" i="40"/>
  <c r="R257" i="40"/>
  <c r="R255" i="40"/>
  <c r="S255" i="40"/>
  <c r="T255" i="40"/>
  <c r="R256" i="40"/>
  <c r="S256" i="40"/>
  <c r="T256" i="40"/>
  <c r="T254" i="40"/>
  <c r="S254" i="40"/>
  <c r="R254" i="40"/>
  <c r="Q255" i="40"/>
  <c r="Q256" i="40"/>
  <c r="Q254" i="40"/>
  <c r="P255" i="40"/>
  <c r="P256" i="40"/>
  <c r="P254" i="40"/>
  <c r="O255" i="40"/>
  <c r="O256" i="40"/>
  <c r="O254" i="40"/>
  <c r="N257" i="40"/>
  <c r="M257" i="40"/>
  <c r="L257" i="40"/>
  <c r="AC201" i="3" l="1"/>
  <c r="AD202" i="3"/>
  <c r="U403" i="22" l="1"/>
  <c r="E126" i="40" l="1"/>
  <c r="F126" i="40"/>
  <c r="G126" i="40"/>
  <c r="D126" i="40"/>
  <c r="E124" i="40"/>
  <c r="F124" i="40"/>
  <c r="G124" i="40"/>
  <c r="D124" i="40"/>
  <c r="C124" i="40"/>
  <c r="C123" i="40"/>
  <c r="E122" i="40"/>
  <c r="F122" i="40"/>
  <c r="G122" i="40"/>
  <c r="D122" i="40"/>
  <c r="C122" i="40"/>
  <c r="C121" i="40"/>
  <c r="C120" i="40"/>
  <c r="C118" i="40"/>
  <c r="E117" i="40"/>
  <c r="F117" i="40"/>
  <c r="G117" i="40"/>
  <c r="D117" i="40"/>
  <c r="C113" i="40"/>
  <c r="C112" i="40"/>
  <c r="C111" i="40"/>
  <c r="C110" i="40"/>
  <c r="E109" i="40"/>
  <c r="F109" i="40"/>
  <c r="G109" i="40"/>
  <c r="D109" i="40"/>
  <c r="C109" i="40"/>
  <c r="E106" i="40"/>
  <c r="F106" i="40"/>
  <c r="G106" i="40"/>
  <c r="D106" i="40"/>
  <c r="E105" i="40"/>
  <c r="F105" i="40"/>
  <c r="G105" i="40"/>
  <c r="D105" i="40"/>
  <c r="C105" i="40"/>
  <c r="E104" i="40"/>
  <c r="F104" i="40"/>
  <c r="G104" i="40"/>
  <c r="D104" i="40"/>
  <c r="E103" i="40"/>
  <c r="F103" i="40"/>
  <c r="G103" i="40"/>
  <c r="D103" i="40"/>
  <c r="E102" i="40"/>
  <c r="F102" i="40"/>
  <c r="G102" i="40"/>
  <c r="D102" i="40"/>
  <c r="E101" i="40"/>
  <c r="F101" i="40"/>
  <c r="G101" i="40"/>
  <c r="D101" i="40"/>
  <c r="E100" i="40"/>
  <c r="F100" i="40"/>
  <c r="G100" i="40"/>
  <c r="D100" i="40"/>
  <c r="C100" i="40"/>
  <c r="E99" i="40"/>
  <c r="F99" i="40"/>
  <c r="G99" i="40"/>
  <c r="D99" i="40"/>
  <c r="C99" i="40"/>
  <c r="C98" i="40"/>
  <c r="C91" i="40"/>
  <c r="E90" i="40"/>
  <c r="F90" i="40"/>
  <c r="G90" i="40"/>
  <c r="D90" i="40"/>
  <c r="C90" i="40"/>
  <c r="E89" i="40"/>
  <c r="F89" i="40"/>
  <c r="G89" i="40"/>
  <c r="D89" i="40"/>
  <c r="C89" i="40"/>
  <c r="E88" i="40"/>
  <c r="F88" i="40"/>
  <c r="G88" i="40"/>
  <c r="D88" i="40"/>
  <c r="E87" i="40"/>
  <c r="F87" i="40"/>
  <c r="G87" i="40"/>
  <c r="D87" i="40"/>
  <c r="C87" i="40"/>
  <c r="C85" i="40"/>
  <c r="E83" i="40"/>
  <c r="F83" i="40"/>
  <c r="G83" i="40"/>
  <c r="D83" i="40"/>
  <c r="C83" i="40"/>
  <c r="E80" i="40"/>
  <c r="F80" i="40"/>
  <c r="G80" i="40"/>
  <c r="D80" i="40"/>
  <c r="E76" i="40"/>
  <c r="F76" i="40"/>
  <c r="G76" i="40"/>
  <c r="D76" i="40"/>
  <c r="C62" i="40"/>
  <c r="C61" i="40"/>
  <c r="C60" i="40"/>
  <c r="C59" i="40"/>
  <c r="E47" i="40"/>
  <c r="F47" i="40"/>
  <c r="G47" i="40"/>
  <c r="D47" i="40"/>
  <c r="C47" i="40"/>
  <c r="E45" i="40"/>
  <c r="F45" i="40"/>
  <c r="G45" i="40"/>
  <c r="D45" i="40"/>
  <c r="E43" i="40"/>
  <c r="F43" i="40"/>
  <c r="G43" i="40"/>
  <c r="D43" i="40"/>
  <c r="C43" i="40"/>
  <c r="C28" i="40"/>
  <c r="C33" i="40"/>
  <c r="C31" i="40"/>
  <c r="C37" i="40"/>
  <c r="C36" i="40"/>
  <c r="E35" i="40"/>
  <c r="F35" i="40"/>
  <c r="G35" i="40"/>
  <c r="D35" i="40"/>
  <c r="E34" i="40"/>
  <c r="F34" i="40"/>
  <c r="G34" i="40"/>
  <c r="D34" i="40"/>
  <c r="E32" i="40"/>
  <c r="F32" i="40"/>
  <c r="G32" i="40"/>
  <c r="D32" i="40"/>
  <c r="C32" i="40"/>
  <c r="C24" i="40"/>
  <c r="H16" i="40"/>
  <c r="E13" i="40"/>
  <c r="F13" i="40"/>
  <c r="G13" i="40"/>
  <c r="D13" i="40"/>
  <c r="L251" i="22"/>
  <c r="L266" i="22"/>
  <c r="L295" i="22"/>
  <c r="L431" i="22"/>
  <c r="L432" i="22"/>
  <c r="L433" i="22"/>
  <c r="L434" i="22"/>
  <c r="L435" i="22"/>
  <c r="L436" i="22"/>
  <c r="L437" i="22"/>
  <c r="L438" i="22"/>
  <c r="L439" i="22"/>
  <c r="L551" i="22"/>
  <c r="L678" i="22"/>
  <c r="L680" i="22"/>
  <c r="L682" i="22"/>
  <c r="A120" i="22"/>
  <c r="A127" i="22"/>
  <c r="B120" i="22"/>
  <c r="B121" i="22"/>
  <c r="B122" i="22"/>
  <c r="B127" i="22"/>
  <c r="B128" i="22"/>
  <c r="E129" i="22"/>
  <c r="F129" i="22"/>
  <c r="G129" i="22"/>
  <c r="H129" i="22"/>
  <c r="I129" i="22"/>
  <c r="J129" i="22"/>
  <c r="B114" i="22"/>
  <c r="B115" i="22"/>
  <c r="D116" i="22"/>
  <c r="E116" i="22"/>
  <c r="F116" i="22"/>
  <c r="D117" i="22"/>
  <c r="E117" i="22"/>
  <c r="F117" i="22"/>
  <c r="I97" i="22" l="1"/>
  <c r="G109" i="22" l="1"/>
  <c r="D12" i="40" s="1"/>
  <c r="H109" i="22"/>
  <c r="E12" i="40" s="1"/>
  <c r="I109" i="22"/>
  <c r="F12" i="40" s="1"/>
  <c r="J109" i="22"/>
  <c r="G12" i="40" s="1"/>
  <c r="D124" i="31"/>
  <c r="E124" i="31"/>
  <c r="F124" i="31"/>
  <c r="G124" i="31"/>
  <c r="C124" i="31"/>
  <c r="N151" i="31" l="1"/>
  <c r="I563" i="22" l="1"/>
  <c r="L563" i="22" s="1"/>
  <c r="K773" i="22"/>
  <c r="L773" i="22" s="1"/>
  <c r="B773" i="22"/>
  <c r="AA118" i="24"/>
  <c r="AA119" i="24"/>
  <c r="O119" i="24"/>
  <c r="N119" i="24"/>
  <c r="N118" i="24"/>
  <c r="P118" i="24" s="1"/>
  <c r="F119" i="24"/>
  <c r="H119" i="24"/>
  <c r="E119" i="24"/>
  <c r="F118" i="24"/>
  <c r="H118" i="24"/>
  <c r="J118" i="24"/>
  <c r="O118" i="24" s="1"/>
  <c r="E118" i="24"/>
  <c r="AA112" i="24"/>
  <c r="O112" i="24"/>
  <c r="N112" i="24"/>
  <c r="P112" i="24" s="1"/>
  <c r="H112" i="24"/>
  <c r="F112" i="24"/>
  <c r="E112" i="24"/>
  <c r="AA151" i="24"/>
  <c r="J151" i="24"/>
  <c r="N151" i="24" s="1"/>
  <c r="H151" i="24"/>
  <c r="F151" i="24"/>
  <c r="E151" i="24"/>
  <c r="AA184" i="24"/>
  <c r="J184" i="24"/>
  <c r="N184" i="24" s="1"/>
  <c r="H184" i="24"/>
  <c r="G184" i="24"/>
  <c r="F184" i="24"/>
  <c r="E184" i="24"/>
  <c r="I26" i="24"/>
  <c r="I184" i="24" l="1"/>
  <c r="O151" i="24"/>
  <c r="P151" i="24" s="1"/>
  <c r="P119" i="24"/>
  <c r="O184" i="24"/>
  <c r="P184" i="24"/>
  <c r="G31" i="24"/>
  <c r="G28" i="24"/>
  <c r="G25" i="24"/>
  <c r="G19" i="24"/>
  <c r="G15" i="24"/>
  <c r="G11" i="24"/>
  <c r="O24" i="42"/>
  <c r="G30" i="24" s="1"/>
  <c r="O23" i="42"/>
  <c r="G29" i="24" s="1"/>
  <c r="G119" i="24" s="1"/>
  <c r="O22" i="42"/>
  <c r="O21" i="42"/>
  <c r="G27" i="24" s="1"/>
  <c r="O19" i="42"/>
  <c r="Q19" i="42" s="1"/>
  <c r="O18" i="42"/>
  <c r="Q18" i="42" s="1"/>
  <c r="O17" i="42"/>
  <c r="Q17" i="42" s="1"/>
  <c r="O16" i="42"/>
  <c r="Q16" i="42" s="1"/>
  <c r="O15" i="42"/>
  <c r="Q15" i="42" s="1"/>
  <c r="O13" i="42"/>
  <c r="Q13" i="42" s="1"/>
  <c r="O12" i="42"/>
  <c r="Q12" i="42" s="1"/>
  <c r="O11" i="42"/>
  <c r="Q11" i="42" s="1"/>
  <c r="O10" i="42"/>
  <c r="Q10" i="42" s="1"/>
  <c r="O9" i="42"/>
  <c r="Q9" i="42" s="1"/>
  <c r="O8" i="42"/>
  <c r="Q8" i="42" s="1"/>
  <c r="O7" i="42"/>
  <c r="Q7" i="42" s="1"/>
  <c r="O6" i="42"/>
  <c r="Q6" i="42" s="1"/>
  <c r="O5" i="42"/>
  <c r="Q5" i="42" s="1"/>
  <c r="O4" i="42"/>
  <c r="Q4" i="42" s="1"/>
  <c r="Q25" i="42"/>
  <c r="Q24" i="42"/>
  <c r="Q23" i="42"/>
  <c r="Q22" i="42"/>
  <c r="Q21" i="42"/>
  <c r="R20" i="42"/>
  <c r="Q20" i="42"/>
  <c r="Q14" i="42"/>
  <c r="G23" i="24" l="1"/>
  <c r="G12" i="24"/>
  <c r="G16" i="24"/>
  <c r="G20" i="24"/>
  <c r="G24" i="24"/>
  <c r="G9" i="24"/>
  <c r="G13" i="24"/>
  <c r="G17" i="24"/>
  <c r="G21" i="24"/>
  <c r="G10" i="24"/>
  <c r="G14" i="24"/>
  <c r="G18" i="24"/>
  <c r="G112" i="24" s="1"/>
  <c r="I112" i="24" s="1"/>
  <c r="G22" i="24"/>
  <c r="G314" i="22"/>
  <c r="F60" i="31"/>
  <c r="G60" i="31"/>
  <c r="G151" i="24" l="1"/>
  <c r="G118" i="24"/>
  <c r="P90" i="31" l="1"/>
  <c r="P91" i="31" s="1"/>
  <c r="H122" i="31" l="1"/>
  <c r="I122" i="31"/>
  <c r="J122" i="31"/>
  <c r="H121" i="31"/>
  <c r="I121" i="31"/>
  <c r="J121" i="31"/>
  <c r="K121" i="31" s="1"/>
  <c r="H120" i="31"/>
  <c r="I120" i="31"/>
  <c r="J120" i="31"/>
  <c r="H119" i="31"/>
  <c r="I119" i="31"/>
  <c r="J119" i="31"/>
  <c r="G126" i="31"/>
  <c r="L121" i="31" l="1"/>
  <c r="K128" i="31"/>
  <c r="K126" i="31"/>
  <c r="K127" i="31"/>
  <c r="K129" i="31"/>
  <c r="K124" i="31"/>
  <c r="J128" i="31"/>
  <c r="J126" i="31"/>
  <c r="G127" i="31"/>
  <c r="G129" i="31"/>
  <c r="G128" i="31"/>
  <c r="G681" i="22"/>
  <c r="H670" i="22"/>
  <c r="L670" i="22" s="1"/>
  <c r="I285" i="22"/>
  <c r="L285" i="22" s="1"/>
  <c r="J241" i="22"/>
  <c r="J177" i="22"/>
  <c r="P116" i="4"/>
  <c r="Q116" i="4"/>
  <c r="C39" i="6"/>
  <c r="K130" i="31" l="1"/>
  <c r="L126" i="31"/>
  <c r="M121" i="31"/>
  <c r="L128" i="31"/>
  <c r="L129" i="31"/>
  <c r="L124" i="31"/>
  <c r="L127" i="31"/>
  <c r="H278" i="22"/>
  <c r="I278" i="22"/>
  <c r="J278" i="22"/>
  <c r="R285" i="22"/>
  <c r="R286" i="22" s="1"/>
  <c r="R287" i="22" s="1"/>
  <c r="G612" i="22" s="1"/>
  <c r="R97" i="40"/>
  <c r="L107" i="40"/>
  <c r="I107" i="40"/>
  <c r="K679" i="22"/>
  <c r="H679" i="22"/>
  <c r="H681" i="22" s="1"/>
  <c r="L681" i="22" l="1"/>
  <c r="L130" i="31"/>
  <c r="G613" i="22"/>
  <c r="L613" i="22" s="1"/>
  <c r="K612" i="22"/>
  <c r="L612" i="22" s="1"/>
  <c r="M126" i="31"/>
  <c r="M130" i="31" s="1"/>
  <c r="M128" i="31"/>
  <c r="M127" i="31"/>
  <c r="M129" i="31"/>
  <c r="M124" i="31"/>
  <c r="G278" i="22"/>
  <c r="L278" i="22" s="1"/>
  <c r="J107" i="40"/>
  <c r="I679" i="22"/>
  <c r="I681" i="22" s="1"/>
  <c r="AL97" i="40"/>
  <c r="AL92" i="40"/>
  <c r="AL86" i="40"/>
  <c r="AL82" i="40"/>
  <c r="AL73" i="40"/>
  <c r="AL65" i="40"/>
  <c r="AL52" i="40"/>
  <c r="AM52" i="40"/>
  <c r="AL48" i="40"/>
  <c r="AL11" i="40"/>
  <c r="AL42" i="40"/>
  <c r="AB97" i="40"/>
  <c r="AG97" i="40"/>
  <c r="AG92" i="40"/>
  <c r="AG86" i="40"/>
  <c r="AH86" i="40"/>
  <c r="AG73" i="40"/>
  <c r="AG65" i="40"/>
  <c r="AF82" i="40"/>
  <c r="AG82" i="40"/>
  <c r="AB82" i="40"/>
  <c r="AB73" i="40"/>
  <c r="AC73" i="40"/>
  <c r="AB65" i="40"/>
  <c r="AC65" i="40"/>
  <c r="Y154" i="40"/>
  <c r="Y155" i="40"/>
  <c r="Y156" i="40"/>
  <c r="Y153" i="40"/>
  <c r="T153" i="40"/>
  <c r="T154" i="40"/>
  <c r="T155" i="40"/>
  <c r="T156" i="40"/>
  <c r="K107" i="40" l="1"/>
  <c r="G163" i="31"/>
  <c r="F163" i="31"/>
  <c r="E161" i="31"/>
  <c r="E163" i="31"/>
  <c r="D161" i="31"/>
  <c r="D163" i="31"/>
  <c r="C161" i="31"/>
  <c r="C163" i="31"/>
  <c r="C159" i="31"/>
  <c r="G152" i="31"/>
  <c r="F152" i="31"/>
  <c r="M107" i="40" l="1"/>
  <c r="C165" i="31"/>
  <c r="G161" i="31"/>
  <c r="F161" i="31"/>
  <c r="F235" i="12" l="1"/>
  <c r="F236" i="12"/>
  <c r="F237" i="12"/>
  <c r="F238" i="12"/>
  <c r="F240" i="12"/>
  <c r="F241" i="12"/>
  <c r="F242" i="12"/>
  <c r="F243" i="12"/>
  <c r="F245" i="12"/>
  <c r="F246" i="12"/>
  <c r="F247" i="12"/>
  <c r="F248" i="12"/>
  <c r="F250" i="12"/>
  <c r="F251" i="12"/>
  <c r="F252" i="12"/>
  <c r="F253" i="12"/>
  <c r="F255" i="12"/>
  <c r="F256" i="12"/>
  <c r="F257" i="12"/>
  <c r="F232" i="12"/>
  <c r="D235" i="12"/>
  <c r="D236" i="12"/>
  <c r="D237" i="12"/>
  <c r="D238" i="12"/>
  <c r="D240" i="12"/>
  <c r="D241" i="12"/>
  <c r="D242" i="12"/>
  <c r="D243" i="12"/>
  <c r="D245" i="12"/>
  <c r="D246" i="12"/>
  <c r="D247" i="12"/>
  <c r="D248" i="12"/>
  <c r="D250" i="12"/>
  <c r="D251" i="12"/>
  <c r="D252" i="12"/>
  <c r="D253" i="12"/>
  <c r="D255" i="12"/>
  <c r="D256" i="12"/>
  <c r="D257" i="12"/>
  <c r="D232" i="12"/>
  <c r="F202" i="12"/>
  <c r="F203" i="12"/>
  <c r="F204" i="12"/>
  <c r="F205" i="12"/>
  <c r="F207" i="12"/>
  <c r="F208" i="12"/>
  <c r="F209" i="12"/>
  <c r="F210" i="12"/>
  <c r="F212" i="12"/>
  <c r="F213" i="12"/>
  <c r="F214" i="12"/>
  <c r="F215" i="12"/>
  <c r="F217" i="12"/>
  <c r="F218" i="12"/>
  <c r="F219" i="12"/>
  <c r="D202" i="12"/>
  <c r="D203" i="12"/>
  <c r="D204" i="12"/>
  <c r="D205" i="12"/>
  <c r="D207" i="12"/>
  <c r="D208" i="12"/>
  <c r="D209" i="12"/>
  <c r="D210" i="12"/>
  <c r="D212" i="12"/>
  <c r="D213" i="12"/>
  <c r="D214" i="12"/>
  <c r="D215" i="12"/>
  <c r="D217" i="12"/>
  <c r="D218" i="12"/>
  <c r="D219" i="12"/>
  <c r="F197" i="12"/>
  <c r="F198" i="12"/>
  <c r="F199" i="12"/>
  <c r="F200" i="12"/>
  <c r="F194" i="12"/>
  <c r="D199" i="12"/>
  <c r="D200" i="12"/>
  <c r="D198" i="12"/>
  <c r="D197" i="12"/>
  <c r="D194" i="12"/>
  <c r="G257" i="12" l="1"/>
  <c r="G256" i="12"/>
  <c r="G255" i="12"/>
  <c r="E254" i="12"/>
  <c r="F254" i="12" s="1"/>
  <c r="C254" i="12"/>
  <c r="D254" i="12" s="1"/>
  <c r="G253" i="12"/>
  <c r="G252" i="12"/>
  <c r="G251" i="12"/>
  <c r="G250" i="12"/>
  <c r="E249" i="12"/>
  <c r="F249" i="12" s="1"/>
  <c r="C249" i="12"/>
  <c r="D249" i="12" s="1"/>
  <c r="G248" i="12"/>
  <c r="G247" i="12"/>
  <c r="G246" i="12"/>
  <c r="G245" i="12"/>
  <c r="E244" i="12"/>
  <c r="F244" i="12" s="1"/>
  <c r="C244" i="12"/>
  <c r="D244" i="12" s="1"/>
  <c r="G243" i="12"/>
  <c r="G242" i="12"/>
  <c r="G241" i="12"/>
  <c r="G240" i="12"/>
  <c r="E239" i="12"/>
  <c r="F239" i="12" s="1"/>
  <c r="C239" i="12"/>
  <c r="D239" i="12" s="1"/>
  <c r="G232" i="12"/>
  <c r="H232" i="12" s="1"/>
  <c r="G219" i="12"/>
  <c r="G218" i="12"/>
  <c r="G217" i="12"/>
  <c r="E216" i="12"/>
  <c r="C216" i="12"/>
  <c r="D216" i="12" s="1"/>
  <c r="G215" i="12"/>
  <c r="G214" i="12"/>
  <c r="G213" i="12"/>
  <c r="G212" i="12"/>
  <c r="E211" i="12"/>
  <c r="F211" i="12" s="1"/>
  <c r="C211" i="12"/>
  <c r="D211" i="12" s="1"/>
  <c r="G210" i="12"/>
  <c r="G209" i="12"/>
  <c r="G208" i="12"/>
  <c r="G207" i="12"/>
  <c r="E206" i="12"/>
  <c r="F206" i="12" s="1"/>
  <c r="C206" i="12"/>
  <c r="D206" i="12" s="1"/>
  <c r="G205" i="12"/>
  <c r="G204" i="12"/>
  <c r="G203" i="12"/>
  <c r="G202" i="12"/>
  <c r="E201" i="12"/>
  <c r="C201" i="12"/>
  <c r="G194" i="12"/>
  <c r="K215" i="3"/>
  <c r="L215" i="3" s="1"/>
  <c r="H240" i="12" l="1"/>
  <c r="H247" i="12"/>
  <c r="H250" i="12"/>
  <c r="H257" i="12"/>
  <c r="C196" i="12"/>
  <c r="D196" i="12" s="1"/>
  <c r="D201" i="12"/>
  <c r="H242" i="12"/>
  <c r="H245" i="12"/>
  <c r="H252" i="12"/>
  <c r="H255" i="12"/>
  <c r="H243" i="12"/>
  <c r="H246" i="12"/>
  <c r="H253" i="12"/>
  <c r="H256" i="12"/>
  <c r="H241" i="12"/>
  <c r="H248" i="12"/>
  <c r="H251" i="12"/>
  <c r="E260" i="12"/>
  <c r="F260" i="12" s="1"/>
  <c r="C234" i="12"/>
  <c r="D234" i="12" s="1"/>
  <c r="E222" i="12"/>
  <c r="F222" i="12" s="1"/>
  <c r="F216" i="12"/>
  <c r="F201" i="12"/>
  <c r="E196" i="12"/>
  <c r="F196" i="12" s="1"/>
  <c r="H203" i="12"/>
  <c r="H207" i="12"/>
  <c r="H215" i="12"/>
  <c r="H219" i="12"/>
  <c r="H194" i="12"/>
  <c r="H212" i="12"/>
  <c r="H198" i="12"/>
  <c r="H205" i="12"/>
  <c r="H213" i="12"/>
  <c r="H202" i="12"/>
  <c r="H210" i="12"/>
  <c r="H204" i="12"/>
  <c r="H208" i="12"/>
  <c r="H209" i="12"/>
  <c r="H217" i="12"/>
  <c r="H214" i="12"/>
  <c r="H218" i="12"/>
  <c r="H200" i="12"/>
  <c r="E234" i="12"/>
  <c r="F234" i="12" s="1"/>
  <c r="G235" i="12"/>
  <c r="H235" i="12" s="1"/>
  <c r="G237" i="12"/>
  <c r="H237" i="12" s="1"/>
  <c r="G239" i="12"/>
  <c r="H239" i="12" s="1"/>
  <c r="G249" i="12"/>
  <c r="H249" i="12" s="1"/>
  <c r="C260" i="12"/>
  <c r="D260" i="12" s="1"/>
  <c r="E261" i="12"/>
  <c r="F261" i="12" s="1"/>
  <c r="C262" i="12"/>
  <c r="D262" i="12" s="1"/>
  <c r="E263" i="12"/>
  <c r="F263" i="12" s="1"/>
  <c r="G236" i="12"/>
  <c r="H236" i="12" s="1"/>
  <c r="G238" i="12"/>
  <c r="H238" i="12" s="1"/>
  <c r="G244" i="12"/>
  <c r="H244" i="12" s="1"/>
  <c r="G254" i="12"/>
  <c r="H254" i="12" s="1"/>
  <c r="C261" i="12"/>
  <c r="D261" i="12" s="1"/>
  <c r="E262" i="12"/>
  <c r="F262" i="12" s="1"/>
  <c r="C263" i="12"/>
  <c r="D263" i="12" s="1"/>
  <c r="C225" i="12"/>
  <c r="D225" i="12" s="1"/>
  <c r="G197" i="12"/>
  <c r="H197" i="12" s="1"/>
  <c r="G199" i="12"/>
  <c r="H199" i="12" s="1"/>
  <c r="G201" i="12"/>
  <c r="H201" i="12" s="1"/>
  <c r="G211" i="12"/>
  <c r="H211" i="12" s="1"/>
  <c r="C222" i="12"/>
  <c r="D222" i="12" s="1"/>
  <c r="E223" i="12"/>
  <c r="F223" i="12" s="1"/>
  <c r="C224" i="12"/>
  <c r="D224" i="12" s="1"/>
  <c r="E225" i="12"/>
  <c r="F225" i="12" s="1"/>
  <c r="G198" i="12"/>
  <c r="G200" i="12"/>
  <c r="G206" i="12"/>
  <c r="H206" i="12" s="1"/>
  <c r="G216" i="12"/>
  <c r="H216" i="12" s="1"/>
  <c r="C223" i="12"/>
  <c r="D223" i="12" s="1"/>
  <c r="E224" i="12"/>
  <c r="F224" i="12" s="1"/>
  <c r="W129" i="40"/>
  <c r="W119" i="40"/>
  <c r="W97" i="40"/>
  <c r="W92" i="40"/>
  <c r="W86" i="40"/>
  <c r="W82" i="40"/>
  <c r="W73" i="40"/>
  <c r="W65" i="40"/>
  <c r="W52" i="40"/>
  <c r="AL129" i="40"/>
  <c r="AM129" i="40"/>
  <c r="AL119" i="40"/>
  <c r="AM119" i="40"/>
  <c r="AL108" i="40"/>
  <c r="AM108" i="40"/>
  <c r="AG129" i="40"/>
  <c r="AG119" i="40"/>
  <c r="AG108" i="40"/>
  <c r="AB129" i="40"/>
  <c r="AB119" i="40"/>
  <c r="AB108" i="40"/>
  <c r="AG52" i="40"/>
  <c r="AG48" i="40"/>
  <c r="AG42" i="40"/>
  <c r="I123" i="31"/>
  <c r="J123" i="31"/>
  <c r="H123" i="31"/>
  <c r="Z51" i="40" l="1"/>
  <c r="G636" i="22"/>
  <c r="J127" i="31"/>
  <c r="H127" i="31"/>
  <c r="H128" i="31"/>
  <c r="H126" i="31"/>
  <c r="H124" i="31"/>
  <c r="J124" i="31"/>
  <c r="I127" i="31"/>
  <c r="I128" i="31"/>
  <c r="I124" i="31"/>
  <c r="I126" i="31"/>
  <c r="C233" i="12"/>
  <c r="D233" i="12" s="1"/>
  <c r="E195" i="12"/>
  <c r="F195" i="12" s="1"/>
  <c r="G196" i="12"/>
  <c r="H196" i="12" s="1"/>
  <c r="C195" i="12"/>
  <c r="D195" i="12" s="1"/>
  <c r="G263" i="12"/>
  <c r="H263" i="12" s="1"/>
  <c r="E233" i="12"/>
  <c r="F233" i="12" s="1"/>
  <c r="E259" i="12"/>
  <c r="F259" i="12" s="1"/>
  <c r="G261" i="12"/>
  <c r="H261" i="12" s="1"/>
  <c r="G234" i="12"/>
  <c r="H234" i="12" s="1"/>
  <c r="G260" i="12"/>
  <c r="H260" i="12" s="1"/>
  <c r="C259" i="12"/>
  <c r="D259" i="12" s="1"/>
  <c r="G262" i="12"/>
  <c r="H262" i="12" s="1"/>
  <c r="G225" i="12"/>
  <c r="H225" i="12" s="1"/>
  <c r="C221" i="12"/>
  <c r="D221" i="12" s="1"/>
  <c r="G224" i="12"/>
  <c r="H224" i="12" s="1"/>
  <c r="G223" i="12"/>
  <c r="H223" i="12" s="1"/>
  <c r="G222" i="12"/>
  <c r="H222" i="12" s="1"/>
  <c r="E221" i="12"/>
  <c r="F221" i="12" s="1"/>
  <c r="G58" i="31"/>
  <c r="F58" i="31"/>
  <c r="G25" i="31"/>
  <c r="F25" i="31"/>
  <c r="G233" i="12" l="1"/>
  <c r="H233" i="12" s="1"/>
  <c r="G195" i="12"/>
  <c r="H195" i="12" s="1"/>
  <c r="E258" i="12"/>
  <c r="F258" i="12" s="1"/>
  <c r="G259" i="12"/>
  <c r="H259" i="12" s="1"/>
  <c r="C258" i="12"/>
  <c r="D258" i="12" s="1"/>
  <c r="E220" i="12"/>
  <c r="F220" i="12" s="1"/>
  <c r="G221" i="12"/>
  <c r="H221" i="12" s="1"/>
  <c r="C220" i="12"/>
  <c r="D220" i="12" s="1"/>
  <c r="G258" i="12" l="1"/>
  <c r="H258" i="12" s="1"/>
  <c r="G220" i="12"/>
  <c r="H220" i="12" s="1"/>
  <c r="J129" i="31" l="1"/>
  <c r="AC145" i="40" l="1"/>
  <c r="AC140" i="40"/>
  <c r="AB145" i="40"/>
  <c r="AA140" i="40"/>
  <c r="AB140" i="40"/>
  <c r="AA145" i="40"/>
  <c r="J130" i="31"/>
  <c r="Z10" i="40"/>
  <c r="J95" i="31"/>
  <c r="K95" i="31" s="1"/>
  <c r="L95" i="31" s="1"/>
  <c r="M95" i="31" s="1"/>
  <c r="K100" i="31"/>
  <c r="L100" i="31" s="1"/>
  <c r="M100" i="31" s="1"/>
  <c r="F76" i="31"/>
  <c r="G76" i="31"/>
  <c r="F59" i="31"/>
  <c r="G59" i="31"/>
  <c r="F57" i="31"/>
  <c r="G57" i="31"/>
  <c r="G56" i="31" s="1"/>
  <c r="F55" i="31"/>
  <c r="G55" i="31"/>
  <c r="F54" i="31"/>
  <c r="G54" i="31"/>
  <c r="F53" i="31"/>
  <c r="G53" i="31"/>
  <c r="F52" i="31"/>
  <c r="G52" i="31"/>
  <c r="F51" i="31"/>
  <c r="G51" i="31"/>
  <c r="F49" i="31"/>
  <c r="G49" i="31"/>
  <c r="F47" i="31"/>
  <c r="G47" i="31"/>
  <c r="F46" i="31"/>
  <c r="G46" i="31"/>
  <c r="F45" i="31"/>
  <c r="G45" i="31"/>
  <c r="F44" i="31"/>
  <c r="G44" i="31"/>
  <c r="F43" i="31"/>
  <c r="G43" i="31"/>
  <c r="F42" i="31"/>
  <c r="G42" i="31"/>
  <c r="F41" i="31"/>
  <c r="G41" i="31"/>
  <c r="H41" i="31" s="1"/>
  <c r="F78" i="31" l="1"/>
  <c r="G78" i="31"/>
  <c r="F75" i="31"/>
  <c r="F77" i="31"/>
  <c r="F72" i="31"/>
  <c r="F73" i="31"/>
  <c r="F71" i="31"/>
  <c r="F56" i="31"/>
  <c r="G77" i="31"/>
  <c r="G75" i="31"/>
  <c r="G73" i="31"/>
  <c r="H73" i="31" s="1"/>
  <c r="I73" i="31" s="1"/>
  <c r="G72" i="31"/>
  <c r="G71" i="31"/>
  <c r="J101" i="31"/>
  <c r="K101" i="31"/>
  <c r="G50" i="31"/>
  <c r="G48" i="31" s="1"/>
  <c r="F50" i="31"/>
  <c r="F48" i="31" s="1"/>
  <c r="F40" i="31"/>
  <c r="G40" i="31"/>
  <c r="F70" i="31" l="1"/>
  <c r="F74" i="31"/>
  <c r="G74" i="31"/>
  <c r="K73" i="31"/>
  <c r="J73" i="31"/>
  <c r="M73" i="31"/>
  <c r="L73" i="31"/>
  <c r="G70" i="31"/>
  <c r="J78" i="31"/>
  <c r="M78" i="31"/>
  <c r="I78" i="31"/>
  <c r="L78" i="31"/>
  <c r="H78" i="31"/>
  <c r="K78" i="31"/>
  <c r="M101" i="31"/>
  <c r="L101" i="31"/>
  <c r="G39" i="31"/>
  <c r="G61" i="31" s="1"/>
  <c r="F39" i="31"/>
  <c r="F61" i="31" s="1"/>
  <c r="G79" i="31" l="1"/>
  <c r="J92" i="31"/>
  <c r="J93" i="31" s="1"/>
  <c r="J110" i="31" s="1"/>
  <c r="K92" i="31"/>
  <c r="K93" i="31" s="1"/>
  <c r="L92" i="31"/>
  <c r="L93" i="31" s="1"/>
  <c r="M92" i="31"/>
  <c r="M93" i="31" s="1"/>
  <c r="I92" i="31"/>
  <c r="I101" i="31"/>
  <c r="F17" i="31"/>
  <c r="G17" i="31"/>
  <c r="F9" i="31"/>
  <c r="G9" i="31"/>
  <c r="I104" i="31" l="1"/>
  <c r="I93" i="31"/>
  <c r="I111" i="31" s="1"/>
  <c r="I106" i="31"/>
  <c r="I103" i="31"/>
  <c r="J106" i="31"/>
  <c r="J105" i="31"/>
  <c r="J104" i="31"/>
  <c r="J103" i="31"/>
  <c r="M106" i="31"/>
  <c r="M105" i="31"/>
  <c r="M104" i="31"/>
  <c r="M103" i="31"/>
  <c r="L104" i="31"/>
  <c r="L106" i="31"/>
  <c r="L105" i="31"/>
  <c r="L103" i="31"/>
  <c r="I129" i="31"/>
  <c r="AB133" i="40" s="1"/>
  <c r="I105" i="31"/>
  <c r="K106" i="31"/>
  <c r="K105" i="31"/>
  <c r="K104" i="31"/>
  <c r="K103" i="31"/>
  <c r="G8" i="31"/>
  <c r="G30" i="31" s="1"/>
  <c r="G151" i="31" s="1"/>
  <c r="F8" i="31"/>
  <c r="F30" i="31" s="1"/>
  <c r="F151" i="31" s="1"/>
  <c r="N150" i="31" l="1"/>
  <c r="N152" i="31" s="1"/>
  <c r="G154" i="31"/>
  <c r="G159" i="31"/>
  <c r="G165" i="31" s="1"/>
  <c r="K151" i="31"/>
  <c r="F154" i="31"/>
  <c r="F159" i="31"/>
  <c r="I107" i="31"/>
  <c r="I109" i="31"/>
  <c r="I112" i="31"/>
  <c r="M112" i="31"/>
  <c r="M111" i="31"/>
  <c r="S96" i="40" s="1"/>
  <c r="M110" i="31"/>
  <c r="S51" i="40" s="1"/>
  <c r="M109" i="31"/>
  <c r="S10" i="40" s="1"/>
  <c r="L110" i="31"/>
  <c r="R51" i="40" s="1"/>
  <c r="L112" i="31"/>
  <c r="L111" i="31"/>
  <c r="R96" i="40" s="1"/>
  <c r="L109" i="31"/>
  <c r="R10" i="40" s="1"/>
  <c r="M107" i="31"/>
  <c r="I130" i="31"/>
  <c r="I110" i="31"/>
  <c r="K107" i="31"/>
  <c r="K112" i="31"/>
  <c r="K111" i="31"/>
  <c r="Q96" i="40" s="1"/>
  <c r="K110" i="31"/>
  <c r="Q51" i="40" s="1"/>
  <c r="K109" i="31"/>
  <c r="Q10" i="40" s="1"/>
  <c r="L107" i="31"/>
  <c r="J107" i="31"/>
  <c r="J112" i="31"/>
  <c r="J111" i="31"/>
  <c r="P96" i="40" s="1"/>
  <c r="P51" i="40"/>
  <c r="J109" i="31"/>
  <c r="P10" i="40" s="1"/>
  <c r="D184" i="41"/>
  <c r="D144" i="22" s="1"/>
  <c r="J182" i="41"/>
  <c r="D139" i="22" s="1"/>
  <c r="AK173" i="41"/>
  <c r="AJ173" i="41"/>
  <c r="AI173" i="41"/>
  <c r="AH173" i="41"/>
  <c r="AG173" i="41"/>
  <c r="AF173" i="41"/>
  <c r="AE173" i="41"/>
  <c r="AD173" i="41"/>
  <c r="AC173" i="41"/>
  <c r="AN172" i="41"/>
  <c r="AM172" i="41"/>
  <c r="AL172" i="41"/>
  <c r="AK172" i="41"/>
  <c r="AJ172" i="41"/>
  <c r="AI172" i="41"/>
  <c r="AH172" i="41"/>
  <c r="AG172" i="41"/>
  <c r="AF172" i="41"/>
  <c r="AE172" i="41"/>
  <c r="AD172" i="41"/>
  <c r="AC172" i="41"/>
  <c r="AA172" i="41"/>
  <c r="Z172" i="41"/>
  <c r="Y172" i="41"/>
  <c r="X172" i="41"/>
  <c r="W172" i="41"/>
  <c r="V172" i="41"/>
  <c r="U172" i="41"/>
  <c r="T172" i="41"/>
  <c r="S172" i="41"/>
  <c r="R172" i="41"/>
  <c r="Q172" i="41"/>
  <c r="P172" i="41"/>
  <c r="C170" i="41"/>
  <c r="AN165" i="41"/>
  <c r="AM165" i="41"/>
  <c r="AL165" i="41"/>
  <c r="AK165" i="41"/>
  <c r="AJ165" i="41"/>
  <c r="AI165" i="41"/>
  <c r="AH165" i="41"/>
  <c r="AG165" i="41"/>
  <c r="AF165" i="41"/>
  <c r="AE165" i="41"/>
  <c r="AD165" i="41"/>
  <c r="AC165" i="41"/>
  <c r="P165" i="41"/>
  <c r="AN151" i="41"/>
  <c r="AM151" i="41"/>
  <c r="AL151" i="41"/>
  <c r="AK151" i="41"/>
  <c r="AJ151" i="41"/>
  <c r="AI151" i="41"/>
  <c r="AH151" i="41"/>
  <c r="AG151" i="41"/>
  <c r="AF151" i="41"/>
  <c r="AE151" i="41"/>
  <c r="AD151" i="41"/>
  <c r="AC151" i="41"/>
  <c r="AA151" i="41"/>
  <c r="Z151" i="41"/>
  <c r="Y151" i="41"/>
  <c r="X151" i="41"/>
  <c r="W151" i="41"/>
  <c r="V151" i="41"/>
  <c r="U151" i="41"/>
  <c r="T151" i="41"/>
  <c r="S151" i="41"/>
  <c r="R151" i="41"/>
  <c r="Q151" i="41"/>
  <c r="P151" i="41"/>
  <c r="B144" i="41"/>
  <c r="CB141" i="41"/>
  <c r="L133" i="41"/>
  <c r="K133" i="41"/>
  <c r="J133" i="41"/>
  <c r="D133" i="41"/>
  <c r="J131" i="41"/>
  <c r="B128" i="41"/>
  <c r="B179" i="41" s="1"/>
  <c r="C124" i="41"/>
  <c r="C128" i="41" s="1"/>
  <c r="B124" i="41"/>
  <c r="B175" i="41" s="1"/>
  <c r="AN122" i="41"/>
  <c r="AM122" i="41"/>
  <c r="AL122" i="41"/>
  <c r="AK122" i="41"/>
  <c r="AJ122" i="41"/>
  <c r="AI122" i="41"/>
  <c r="AH122" i="41"/>
  <c r="AG122" i="41"/>
  <c r="AF122" i="41"/>
  <c r="AE122" i="41"/>
  <c r="AD122" i="41"/>
  <c r="AC122" i="41"/>
  <c r="AA122" i="41"/>
  <c r="Z122" i="41"/>
  <c r="Y122" i="41"/>
  <c r="X122" i="41"/>
  <c r="W122" i="41"/>
  <c r="V122" i="41"/>
  <c r="U122" i="41"/>
  <c r="T122" i="41"/>
  <c r="S122" i="41"/>
  <c r="R122" i="41"/>
  <c r="Q122" i="41"/>
  <c r="P122" i="41"/>
  <c r="AN121" i="41"/>
  <c r="AM121" i="41"/>
  <c r="AL121" i="41"/>
  <c r="AK121" i="41"/>
  <c r="AJ121" i="41"/>
  <c r="AI121" i="41"/>
  <c r="AH121" i="41"/>
  <c r="AG121" i="41"/>
  <c r="AF121" i="41"/>
  <c r="AE121" i="41"/>
  <c r="AD121" i="41"/>
  <c r="AC121" i="41"/>
  <c r="AA121" i="41"/>
  <c r="Z121" i="41"/>
  <c r="Y121" i="41"/>
  <c r="X121" i="41"/>
  <c r="W121" i="41"/>
  <c r="V121" i="41"/>
  <c r="U121" i="41"/>
  <c r="T121" i="41"/>
  <c r="S121" i="41"/>
  <c r="R121" i="41"/>
  <c r="Q121" i="41"/>
  <c r="P121" i="41"/>
  <c r="C119" i="41"/>
  <c r="B119" i="41"/>
  <c r="B170" i="41" s="1"/>
  <c r="AN114" i="41"/>
  <c r="AM114" i="41"/>
  <c r="AL114" i="41"/>
  <c r="AK114" i="41"/>
  <c r="AJ114" i="41"/>
  <c r="AI114" i="41"/>
  <c r="AH114" i="41"/>
  <c r="AG114" i="41"/>
  <c r="AF114" i="41"/>
  <c r="AE114" i="41"/>
  <c r="AD114" i="41"/>
  <c r="AC114" i="41"/>
  <c r="P114" i="41"/>
  <c r="AN98" i="41"/>
  <c r="AM98" i="41"/>
  <c r="AL98" i="41"/>
  <c r="AK98" i="41"/>
  <c r="AJ98" i="41"/>
  <c r="AI98" i="41"/>
  <c r="AH98" i="41"/>
  <c r="AG98" i="41"/>
  <c r="AF98" i="41"/>
  <c r="AE98" i="41"/>
  <c r="AD98" i="41"/>
  <c r="AC98" i="41"/>
  <c r="AA98" i="41"/>
  <c r="Z98" i="41"/>
  <c r="Y98" i="41"/>
  <c r="X98" i="41"/>
  <c r="W98" i="41"/>
  <c r="V98" i="41"/>
  <c r="U98" i="41"/>
  <c r="T98" i="41"/>
  <c r="S98" i="41"/>
  <c r="R98" i="41"/>
  <c r="Q98" i="41"/>
  <c r="P98" i="41"/>
  <c r="CO82" i="41"/>
  <c r="CO141" i="41" s="1"/>
  <c r="CN82" i="41"/>
  <c r="CN141" i="41" s="1"/>
  <c r="CM82" i="41"/>
  <c r="CM141" i="41" s="1"/>
  <c r="CL82" i="41"/>
  <c r="CL141" i="41" s="1"/>
  <c r="CK82" i="41"/>
  <c r="CK141" i="41" s="1"/>
  <c r="CJ82" i="41"/>
  <c r="CJ141" i="41" s="1"/>
  <c r="CI82" i="41"/>
  <c r="CI141" i="41" s="1"/>
  <c r="CH82" i="41"/>
  <c r="CH141" i="41" s="1"/>
  <c r="CG82" i="41"/>
  <c r="CG141" i="41" s="1"/>
  <c r="CF82" i="41"/>
  <c r="CF141" i="41" s="1"/>
  <c r="CE82" i="41"/>
  <c r="CE141" i="41" s="1"/>
  <c r="CD82" i="41"/>
  <c r="CD141" i="41" s="1"/>
  <c r="CC82" i="41"/>
  <c r="CC141" i="41" s="1"/>
  <c r="CB82" i="41"/>
  <c r="CA82" i="41"/>
  <c r="CA141" i="41" s="1"/>
  <c r="BZ82" i="41"/>
  <c r="BZ141" i="41" s="1"/>
  <c r="BY82" i="41"/>
  <c r="BY141" i="41" s="1"/>
  <c r="BX82" i="41"/>
  <c r="BX141" i="41" s="1"/>
  <c r="BW82" i="41"/>
  <c r="BW141" i="41" s="1"/>
  <c r="BV82" i="41"/>
  <c r="BV141" i="41" s="1"/>
  <c r="BU82" i="41"/>
  <c r="BU141" i="41" s="1"/>
  <c r="BT82" i="41"/>
  <c r="BT141" i="41" s="1"/>
  <c r="BS82" i="41"/>
  <c r="BS141" i="41" s="1"/>
  <c r="BR82" i="41"/>
  <c r="BR141" i="41" s="1"/>
  <c r="BQ82" i="41"/>
  <c r="BQ141" i="41" s="1"/>
  <c r="BP82" i="41"/>
  <c r="BP141" i="41" s="1"/>
  <c r="BO82" i="41"/>
  <c r="BO141" i="41" s="1"/>
  <c r="BN82" i="41"/>
  <c r="BN141" i="41" s="1"/>
  <c r="BM82" i="41"/>
  <c r="BM141" i="41" s="1"/>
  <c r="BL82" i="41"/>
  <c r="BL141" i="41" s="1"/>
  <c r="BK82" i="41"/>
  <c r="BK141" i="41" s="1"/>
  <c r="BJ82" i="41"/>
  <c r="BJ141" i="41" s="1"/>
  <c r="BI82" i="41"/>
  <c r="BI141" i="41" s="1"/>
  <c r="BH82" i="41"/>
  <c r="BH141" i="41" s="1"/>
  <c r="BG82" i="41"/>
  <c r="BG141" i="41" s="1"/>
  <c r="BF82" i="41"/>
  <c r="BF141" i="41" s="1"/>
  <c r="BE82" i="41"/>
  <c r="BE141" i="41" s="1"/>
  <c r="BD82" i="41"/>
  <c r="BD141" i="41" s="1"/>
  <c r="BC82" i="41"/>
  <c r="BC141" i="41" s="1"/>
  <c r="BB82" i="41"/>
  <c r="BB141" i="41" s="1"/>
  <c r="BA82" i="41"/>
  <c r="BA141" i="41" s="1"/>
  <c r="AZ82" i="41"/>
  <c r="AZ141" i="41" s="1"/>
  <c r="AY82" i="41"/>
  <c r="AY141" i="41" s="1"/>
  <c r="AX82" i="41"/>
  <c r="AX141" i="41" s="1"/>
  <c r="AW82" i="41"/>
  <c r="AW141" i="41" s="1"/>
  <c r="AV82" i="41"/>
  <c r="AV141" i="41" s="1"/>
  <c r="AU82" i="41"/>
  <c r="AU141" i="41" s="1"/>
  <c r="AT82" i="41"/>
  <c r="AT141" i="41" s="1"/>
  <c r="AS82" i="41"/>
  <c r="AS141" i="41" s="1"/>
  <c r="AR82" i="41"/>
  <c r="AR141" i="41" s="1"/>
  <c r="AQ82" i="41"/>
  <c r="AQ141" i="41" s="1"/>
  <c r="AP82" i="41"/>
  <c r="AP141" i="41" s="1"/>
  <c r="AO82" i="41"/>
  <c r="AO141" i="41" s="1"/>
  <c r="AN82" i="41"/>
  <c r="AN141" i="41" s="1"/>
  <c r="AM82" i="41"/>
  <c r="AM141" i="41" s="1"/>
  <c r="AL82" i="41"/>
  <c r="AL141" i="41" s="1"/>
  <c r="AK82" i="41"/>
  <c r="AK141" i="41" s="1"/>
  <c r="AJ82" i="41"/>
  <c r="AJ141" i="41" s="1"/>
  <c r="AI82" i="41"/>
  <c r="AI141" i="41" s="1"/>
  <c r="AH82" i="41"/>
  <c r="AH141" i="41" s="1"/>
  <c r="AG82" i="41"/>
  <c r="AG141" i="41" s="1"/>
  <c r="AF82" i="41"/>
  <c r="AF141" i="41" s="1"/>
  <c r="AE82" i="41"/>
  <c r="AE141" i="41" s="1"/>
  <c r="AD82" i="41"/>
  <c r="AD141" i="41" s="1"/>
  <c r="AC82" i="41"/>
  <c r="AC141" i="41" s="1"/>
  <c r="AB82" i="41"/>
  <c r="AB141" i="41" s="1"/>
  <c r="AA82" i="41"/>
  <c r="AA141" i="41" s="1"/>
  <c r="Z82" i="41"/>
  <c r="Z141" i="41" s="1"/>
  <c r="Y82" i="41"/>
  <c r="Y141" i="41" s="1"/>
  <c r="X82" i="41"/>
  <c r="X141" i="41" s="1"/>
  <c r="W82" i="41"/>
  <c r="W141" i="41" s="1"/>
  <c r="V82" i="41"/>
  <c r="V141" i="41" s="1"/>
  <c r="U82" i="41"/>
  <c r="U141" i="41" s="1"/>
  <c r="T82" i="41"/>
  <c r="T141" i="41" s="1"/>
  <c r="S82" i="41"/>
  <c r="S141" i="41" s="1"/>
  <c r="R82" i="41"/>
  <c r="R141" i="41" s="1"/>
  <c r="Q82" i="41"/>
  <c r="Q141" i="41" s="1"/>
  <c r="P82" i="41"/>
  <c r="P141" i="41" s="1"/>
  <c r="L75" i="41"/>
  <c r="K75" i="41"/>
  <c r="J75" i="41"/>
  <c r="D75" i="41"/>
  <c r="J73" i="41"/>
  <c r="C66" i="41"/>
  <c r="C70" i="41" s="1"/>
  <c r="AN64" i="41"/>
  <c r="AM64" i="41"/>
  <c r="AL64" i="41"/>
  <c r="AK64" i="41"/>
  <c r="AJ64" i="41"/>
  <c r="AI64" i="41"/>
  <c r="AH64" i="41"/>
  <c r="AG64" i="41"/>
  <c r="AF64" i="41"/>
  <c r="AE64" i="41"/>
  <c r="AD64" i="41"/>
  <c r="AC64" i="41"/>
  <c r="AA64" i="41"/>
  <c r="Z64" i="41"/>
  <c r="Y64" i="41"/>
  <c r="X64" i="41"/>
  <c r="W64" i="41"/>
  <c r="V64" i="41"/>
  <c r="U64" i="41"/>
  <c r="T64" i="41"/>
  <c r="S64" i="41"/>
  <c r="R64" i="41"/>
  <c r="Q64" i="41"/>
  <c r="P64" i="41"/>
  <c r="AN63" i="41"/>
  <c r="AM63" i="41"/>
  <c r="AL63" i="41"/>
  <c r="AK63" i="41"/>
  <c r="AJ63" i="41"/>
  <c r="AI63" i="41"/>
  <c r="AH63" i="41"/>
  <c r="AG63" i="41"/>
  <c r="AF63" i="41"/>
  <c r="AE63" i="41"/>
  <c r="AD63" i="41"/>
  <c r="AC63" i="41"/>
  <c r="AA63" i="41"/>
  <c r="Z63" i="41"/>
  <c r="Y63" i="41"/>
  <c r="X63" i="41"/>
  <c r="W63" i="41"/>
  <c r="V63" i="41"/>
  <c r="U63" i="41"/>
  <c r="T63" i="41"/>
  <c r="S63" i="41"/>
  <c r="R63" i="41"/>
  <c r="Q63" i="41"/>
  <c r="P63" i="41"/>
  <c r="C61" i="41"/>
  <c r="AN56" i="41"/>
  <c r="AM56" i="41"/>
  <c r="AL56" i="41"/>
  <c r="AK56" i="41"/>
  <c r="AJ56" i="41"/>
  <c r="AI56" i="41"/>
  <c r="AH56" i="41"/>
  <c r="AG56" i="41"/>
  <c r="AF56" i="41"/>
  <c r="AE56" i="41"/>
  <c r="AD56" i="41"/>
  <c r="AC56" i="41"/>
  <c r="AA56" i="41"/>
  <c r="Z56" i="41"/>
  <c r="Y56" i="41"/>
  <c r="X56" i="41"/>
  <c r="W56" i="41"/>
  <c r="V56" i="41"/>
  <c r="U56" i="41"/>
  <c r="T56" i="41"/>
  <c r="S56" i="41"/>
  <c r="R56" i="41"/>
  <c r="Q56" i="41"/>
  <c r="P56" i="41"/>
  <c r="AN33" i="41"/>
  <c r="AM33" i="41"/>
  <c r="AL33" i="41"/>
  <c r="AK33" i="41"/>
  <c r="AJ33" i="41"/>
  <c r="AI33" i="41"/>
  <c r="AH33" i="41"/>
  <c r="AG33" i="41"/>
  <c r="AF33" i="41"/>
  <c r="AE33" i="41"/>
  <c r="AD33" i="41"/>
  <c r="AC33" i="41"/>
  <c r="AA33" i="41"/>
  <c r="Z33" i="41"/>
  <c r="Y33" i="41"/>
  <c r="X33" i="41"/>
  <c r="W33" i="41"/>
  <c r="V33" i="41"/>
  <c r="U33" i="41"/>
  <c r="T33" i="41"/>
  <c r="S33" i="41"/>
  <c r="R33" i="41"/>
  <c r="Q33" i="41"/>
  <c r="P33" i="41"/>
  <c r="B4" i="41"/>
  <c r="A4" i="41"/>
  <c r="B3" i="41"/>
  <c r="A3" i="41"/>
  <c r="B2" i="41"/>
  <c r="A2" i="41"/>
  <c r="L159" i="31" l="1"/>
  <c r="L163" i="31"/>
  <c r="L161" i="31"/>
  <c r="F165" i="31"/>
  <c r="L151" i="31"/>
  <c r="L153" i="31"/>
  <c r="L152" i="31"/>
  <c r="K153" i="31"/>
  <c r="K152" i="31"/>
  <c r="K154" i="31" s="1"/>
  <c r="D267" i="40"/>
  <c r="D271" i="40"/>
  <c r="J113" i="31"/>
  <c r="I113" i="31"/>
  <c r="K113" i="31"/>
  <c r="L113" i="31"/>
  <c r="M113" i="31"/>
  <c r="R140" i="40"/>
  <c r="L73" i="41"/>
  <c r="K73" i="41"/>
  <c r="C74" i="41"/>
  <c r="E74" i="41" s="1"/>
  <c r="C73" i="41"/>
  <c r="L131" i="41"/>
  <c r="K131" i="41"/>
  <c r="C132" i="41"/>
  <c r="E132" i="41" s="1"/>
  <c r="C131" i="41"/>
  <c r="L184" i="41"/>
  <c r="F148" i="22" s="1"/>
  <c r="J184" i="41"/>
  <c r="D148" i="22" s="1"/>
  <c r="K184" i="41"/>
  <c r="E148" i="22" s="1"/>
  <c r="C175" i="41"/>
  <c r="C179" i="41" s="1"/>
  <c r="C183" i="41"/>
  <c r="E183" i="41" s="1"/>
  <c r="D123" i="22" s="1"/>
  <c r="K163" i="31" l="1"/>
  <c r="K161" i="31"/>
  <c r="L154" i="31"/>
  <c r="K159" i="31"/>
  <c r="K165" i="31" s="1"/>
  <c r="L165" i="31"/>
  <c r="C133" i="41"/>
  <c r="C78" i="41" s="1"/>
  <c r="E131" i="41"/>
  <c r="E133" i="41" s="1"/>
  <c r="C79" i="41" s="1"/>
  <c r="C182" i="41"/>
  <c r="D124" i="22" s="1"/>
  <c r="D129" i="22" s="1"/>
  <c r="C75" i="41"/>
  <c r="C9" i="41" s="1"/>
  <c r="E73" i="41"/>
  <c r="E75" i="41" s="1"/>
  <c r="C10" i="41" s="1"/>
  <c r="L182" i="41"/>
  <c r="F139" i="22" s="1"/>
  <c r="G139" i="22" s="1"/>
  <c r="D17" i="40" s="1"/>
  <c r="K182" i="41"/>
  <c r="E139" i="22" s="1"/>
  <c r="C184" i="41" l="1"/>
  <c r="C137" i="41" s="1"/>
  <c r="E182" i="41"/>
  <c r="E184" i="41" s="1"/>
  <c r="C138" i="41" l="1"/>
  <c r="F144" i="22"/>
  <c r="W48" i="40" l="1"/>
  <c r="W42" i="40"/>
  <c r="H777" i="22"/>
  <c r="I777" i="22" s="1"/>
  <c r="J777" i="22" s="1"/>
  <c r="J778" i="22" s="1"/>
  <c r="G778" i="22"/>
  <c r="G729" i="22"/>
  <c r="H729" i="22"/>
  <c r="I729" i="22"/>
  <c r="J729" i="22"/>
  <c r="G706" i="22"/>
  <c r="D113" i="40" s="1"/>
  <c r="H706" i="22"/>
  <c r="E113" i="40" s="1"/>
  <c r="I706" i="22"/>
  <c r="F113" i="40" s="1"/>
  <c r="J706" i="22"/>
  <c r="G113" i="40" s="1"/>
  <c r="G588" i="22"/>
  <c r="H588" i="22"/>
  <c r="I588" i="22"/>
  <c r="J588" i="22"/>
  <c r="G587" i="22"/>
  <c r="G589" i="22" s="1"/>
  <c r="H587" i="22"/>
  <c r="H589" i="22" s="1"/>
  <c r="I587" i="22"/>
  <c r="I589" i="22" s="1"/>
  <c r="J587" i="22"/>
  <c r="J589" i="22" s="1"/>
  <c r="G576" i="22"/>
  <c r="H576" i="22"/>
  <c r="I576" i="22"/>
  <c r="J576" i="22"/>
  <c r="G575" i="22"/>
  <c r="G577" i="22" s="1"/>
  <c r="H575" i="22"/>
  <c r="H577" i="22" s="1"/>
  <c r="I575" i="22"/>
  <c r="I577" i="22" s="1"/>
  <c r="J575" i="22"/>
  <c r="J577" i="22" s="1"/>
  <c r="R129" i="40"/>
  <c r="R119" i="40"/>
  <c r="R108" i="40"/>
  <c r="R92" i="40"/>
  <c r="S92" i="40"/>
  <c r="R86" i="40"/>
  <c r="S86" i="40"/>
  <c r="R82" i="40"/>
  <c r="S82" i="40"/>
  <c r="R73" i="40"/>
  <c r="S73" i="40"/>
  <c r="R65" i="40"/>
  <c r="R42" i="40"/>
  <c r="R21" i="40"/>
  <c r="S21" i="40"/>
  <c r="R11" i="40"/>
  <c r="G353" i="22"/>
  <c r="H353" i="22"/>
  <c r="I353" i="22"/>
  <c r="J353" i="22"/>
  <c r="L36" i="40"/>
  <c r="I38" i="40"/>
  <c r="J38" i="40"/>
  <c r="K38" i="40"/>
  <c r="L37" i="40"/>
  <c r="L38" i="40"/>
  <c r="K98" i="24"/>
  <c r="L98" i="24"/>
  <c r="G255" i="22"/>
  <c r="H255" i="22"/>
  <c r="I255" i="22"/>
  <c r="J255" i="22"/>
  <c r="D246" i="22"/>
  <c r="K241" i="22"/>
  <c r="I256" i="22" l="1"/>
  <c r="F31" i="40"/>
  <c r="H256" i="22"/>
  <c r="E31" i="40"/>
  <c r="J118" i="40"/>
  <c r="E118" i="40"/>
  <c r="J256" i="22"/>
  <c r="G31" i="40"/>
  <c r="L118" i="40"/>
  <c r="G118" i="40"/>
  <c r="K118" i="40"/>
  <c r="F118" i="40"/>
  <c r="G256" i="22"/>
  <c r="D31" i="40"/>
  <c r="D118" i="40"/>
  <c r="L729" i="22"/>
  <c r="I778" i="22"/>
  <c r="H778" i="22"/>
  <c r="L778" i="22" s="1"/>
  <c r="L256" i="22" l="1"/>
  <c r="V117" i="4"/>
  <c r="Q117" i="4"/>
  <c r="I169" i="7"/>
  <c r="J169" i="7" s="1"/>
  <c r="K169" i="7" s="1"/>
  <c r="L169" i="7" s="1"/>
  <c r="AS167" i="7"/>
  <c r="AR167" i="7"/>
  <c r="AQ167" i="7"/>
  <c r="AP167" i="7"/>
  <c r="AO167" i="7"/>
  <c r="AN167" i="7"/>
  <c r="AM167" i="7"/>
  <c r="AL167" i="7"/>
  <c r="AK167" i="7"/>
  <c r="AJ167" i="7"/>
  <c r="AI167" i="7"/>
  <c r="AH167" i="7"/>
  <c r="AG167" i="7"/>
  <c r="AF167" i="7"/>
  <c r="AE167" i="7"/>
  <c r="AD167" i="7"/>
  <c r="AC167" i="7"/>
  <c r="AB167" i="7"/>
  <c r="AA167" i="7"/>
  <c r="Z167" i="7"/>
  <c r="Y167" i="7"/>
  <c r="X167" i="7"/>
  <c r="W167" i="7"/>
  <c r="V167" i="7"/>
  <c r="U167" i="7"/>
  <c r="T167" i="7"/>
  <c r="S167" i="7"/>
  <c r="R167" i="7"/>
  <c r="Q167" i="7"/>
  <c r="P167" i="7"/>
  <c r="O167" i="7"/>
  <c r="N167" i="7"/>
  <c r="M167" i="7"/>
  <c r="L167" i="7"/>
  <c r="K167" i="7"/>
  <c r="J167" i="7"/>
  <c r="I167" i="7"/>
  <c r="H167" i="7"/>
  <c r="G167" i="7"/>
  <c r="F167" i="7"/>
  <c r="AS166" i="7"/>
  <c r="AR166" i="7"/>
  <c r="AQ166" i="7"/>
  <c r="AP166" i="7"/>
  <c r="AO166" i="7"/>
  <c r="AN166" i="7"/>
  <c r="AM166" i="7"/>
  <c r="AL166" i="7"/>
  <c r="AK166" i="7"/>
  <c r="AJ166" i="7"/>
  <c r="AI166" i="7"/>
  <c r="AH166" i="7"/>
  <c r="AG166" i="7"/>
  <c r="AF166" i="7"/>
  <c r="AE166" i="7"/>
  <c r="AD166" i="7"/>
  <c r="AC166" i="7"/>
  <c r="AB166" i="7"/>
  <c r="AA166" i="7"/>
  <c r="Z166" i="7"/>
  <c r="Y166" i="7"/>
  <c r="X166" i="7"/>
  <c r="W166" i="7"/>
  <c r="V166" i="7"/>
  <c r="U166" i="7"/>
  <c r="T166" i="7"/>
  <c r="S166" i="7"/>
  <c r="R166" i="7"/>
  <c r="Q166" i="7"/>
  <c r="P166" i="7"/>
  <c r="O166" i="7"/>
  <c r="N166" i="7"/>
  <c r="M166" i="7"/>
  <c r="L166" i="7"/>
  <c r="K166" i="7"/>
  <c r="J166" i="7"/>
  <c r="I166" i="7"/>
  <c r="H166" i="7"/>
  <c r="G166" i="7"/>
  <c r="F166" i="7"/>
  <c r="AS165" i="7"/>
  <c r="AR165" i="7"/>
  <c r="AQ165" i="7"/>
  <c r="AP165" i="7"/>
  <c r="AO165" i="7"/>
  <c r="AN165" i="7"/>
  <c r="AM165" i="7"/>
  <c r="AL165" i="7"/>
  <c r="AK165" i="7"/>
  <c r="AJ165" i="7"/>
  <c r="AI165" i="7"/>
  <c r="AH165" i="7"/>
  <c r="AG165" i="7"/>
  <c r="AF165" i="7"/>
  <c r="AE165" i="7"/>
  <c r="AD165" i="7"/>
  <c r="AC165" i="7"/>
  <c r="AB165" i="7"/>
  <c r="AA165" i="7"/>
  <c r="Z165" i="7"/>
  <c r="Y165" i="7"/>
  <c r="X165" i="7"/>
  <c r="W165" i="7"/>
  <c r="V165" i="7"/>
  <c r="U165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H165" i="7"/>
  <c r="G165" i="7"/>
  <c r="F165" i="7"/>
  <c r="AS164" i="7"/>
  <c r="AR164" i="7"/>
  <c r="AQ164" i="7"/>
  <c r="AP164" i="7"/>
  <c r="AO164" i="7"/>
  <c r="AN164" i="7"/>
  <c r="AM164" i="7"/>
  <c r="AL164" i="7"/>
  <c r="AK164" i="7"/>
  <c r="AJ164" i="7"/>
  <c r="AI164" i="7"/>
  <c r="AH164" i="7"/>
  <c r="AG164" i="7"/>
  <c r="AF164" i="7"/>
  <c r="AE164" i="7"/>
  <c r="AD164" i="7"/>
  <c r="AC164" i="7"/>
  <c r="AB164" i="7"/>
  <c r="AA164" i="7"/>
  <c r="Z164" i="7"/>
  <c r="Y164" i="7"/>
  <c r="X164" i="7"/>
  <c r="W164" i="7"/>
  <c r="V164" i="7"/>
  <c r="U164" i="7"/>
  <c r="T164" i="7"/>
  <c r="S164" i="7"/>
  <c r="R164" i="7"/>
  <c r="Q164" i="7"/>
  <c r="P164" i="7"/>
  <c r="O164" i="7"/>
  <c r="N164" i="7"/>
  <c r="M164" i="7"/>
  <c r="L164" i="7"/>
  <c r="K164" i="7"/>
  <c r="J164" i="7"/>
  <c r="I164" i="7"/>
  <c r="H164" i="7"/>
  <c r="G164" i="7"/>
  <c r="F164" i="7"/>
  <c r="AS163" i="7"/>
  <c r="AR163" i="7"/>
  <c r="AQ163" i="7"/>
  <c r="AP163" i="7"/>
  <c r="AO163" i="7"/>
  <c r="AN163" i="7"/>
  <c r="AM163" i="7"/>
  <c r="AL163" i="7"/>
  <c r="AK163" i="7"/>
  <c r="AJ163" i="7"/>
  <c r="AI163" i="7"/>
  <c r="AH163" i="7"/>
  <c r="AG163" i="7"/>
  <c r="AF163" i="7"/>
  <c r="AE163" i="7"/>
  <c r="AD163" i="7"/>
  <c r="AC163" i="7"/>
  <c r="AB163" i="7"/>
  <c r="AA163" i="7"/>
  <c r="Z163" i="7"/>
  <c r="Y163" i="7"/>
  <c r="X163" i="7"/>
  <c r="W163" i="7"/>
  <c r="V163" i="7"/>
  <c r="U163" i="7"/>
  <c r="T163" i="7"/>
  <c r="S163" i="7"/>
  <c r="R163" i="7"/>
  <c r="Q163" i="7"/>
  <c r="P163" i="7"/>
  <c r="O163" i="7"/>
  <c r="N163" i="7"/>
  <c r="M163" i="7"/>
  <c r="L163" i="7"/>
  <c r="K163" i="7"/>
  <c r="J163" i="7"/>
  <c r="I163" i="7"/>
  <c r="H163" i="7"/>
  <c r="G163" i="7"/>
  <c r="F163" i="7"/>
  <c r="AS162" i="7"/>
  <c r="AR162" i="7"/>
  <c r="AQ162" i="7"/>
  <c r="AP162" i="7"/>
  <c r="AO162" i="7"/>
  <c r="AN162" i="7"/>
  <c r="AM162" i="7"/>
  <c r="AL162" i="7"/>
  <c r="AK162" i="7"/>
  <c r="AJ162" i="7"/>
  <c r="AI162" i="7"/>
  <c r="AH162" i="7"/>
  <c r="AG162" i="7"/>
  <c r="AF162" i="7"/>
  <c r="AE162" i="7"/>
  <c r="AD162" i="7"/>
  <c r="AC162" i="7"/>
  <c r="AB162" i="7"/>
  <c r="AA162" i="7"/>
  <c r="Z162" i="7"/>
  <c r="Y162" i="7"/>
  <c r="X162" i="7"/>
  <c r="W162" i="7"/>
  <c r="V162" i="7"/>
  <c r="U162" i="7"/>
  <c r="T162" i="7"/>
  <c r="S162" i="7"/>
  <c r="R162" i="7"/>
  <c r="Q162" i="7"/>
  <c r="P162" i="7"/>
  <c r="O162" i="7"/>
  <c r="N162" i="7"/>
  <c r="M162" i="7"/>
  <c r="L162" i="7"/>
  <c r="K162" i="7"/>
  <c r="J162" i="7"/>
  <c r="I162" i="7"/>
  <c r="H162" i="7"/>
  <c r="G162" i="7"/>
  <c r="F162" i="7"/>
  <c r="AS161" i="7"/>
  <c r="AR161" i="7"/>
  <c r="AQ161" i="7"/>
  <c r="AP161" i="7"/>
  <c r="AO161" i="7"/>
  <c r="AN161" i="7"/>
  <c r="AM161" i="7"/>
  <c r="AL161" i="7"/>
  <c r="AK161" i="7"/>
  <c r="AJ161" i="7"/>
  <c r="AI161" i="7"/>
  <c r="AH161" i="7"/>
  <c r="AG161" i="7"/>
  <c r="AF161" i="7"/>
  <c r="AE161" i="7"/>
  <c r="AD161" i="7"/>
  <c r="AC161" i="7"/>
  <c r="AB161" i="7"/>
  <c r="AA161" i="7"/>
  <c r="Z161" i="7"/>
  <c r="Y161" i="7"/>
  <c r="X161" i="7"/>
  <c r="W161" i="7"/>
  <c r="V161" i="7"/>
  <c r="U161" i="7"/>
  <c r="T161" i="7"/>
  <c r="S161" i="7"/>
  <c r="R161" i="7"/>
  <c r="Q161" i="7"/>
  <c r="P161" i="7"/>
  <c r="O161" i="7"/>
  <c r="N161" i="7"/>
  <c r="M161" i="7"/>
  <c r="L161" i="7"/>
  <c r="K161" i="7"/>
  <c r="J161" i="7"/>
  <c r="I161" i="7"/>
  <c r="H161" i="7"/>
  <c r="G161" i="7"/>
  <c r="F161" i="7"/>
  <c r="AS160" i="7"/>
  <c r="AR160" i="7"/>
  <c r="AQ160" i="7"/>
  <c r="AP160" i="7"/>
  <c r="AO160" i="7"/>
  <c r="AN160" i="7"/>
  <c r="AM160" i="7"/>
  <c r="AL160" i="7"/>
  <c r="AK160" i="7"/>
  <c r="AJ160" i="7"/>
  <c r="AI160" i="7"/>
  <c r="AH160" i="7"/>
  <c r="AG160" i="7"/>
  <c r="AF160" i="7"/>
  <c r="AE160" i="7"/>
  <c r="AD160" i="7"/>
  <c r="AC160" i="7"/>
  <c r="AB160" i="7"/>
  <c r="AA160" i="7"/>
  <c r="Z160" i="7"/>
  <c r="Y160" i="7"/>
  <c r="X160" i="7"/>
  <c r="W160" i="7"/>
  <c r="V160" i="7"/>
  <c r="U160" i="7"/>
  <c r="T160" i="7"/>
  <c r="S160" i="7"/>
  <c r="R160" i="7"/>
  <c r="Q160" i="7"/>
  <c r="P160" i="7"/>
  <c r="O160" i="7"/>
  <c r="N160" i="7"/>
  <c r="M160" i="7"/>
  <c r="L160" i="7"/>
  <c r="K160" i="7"/>
  <c r="J160" i="7"/>
  <c r="I160" i="7"/>
  <c r="H160" i="7"/>
  <c r="G160" i="7"/>
  <c r="F160" i="7"/>
  <c r="M169" i="7" l="1"/>
  <c r="E597" i="22"/>
  <c r="P7" i="7"/>
  <c r="P19" i="7"/>
  <c r="P20" i="7"/>
  <c r="P21" i="7"/>
  <c r="P22" i="7"/>
  <c r="P23" i="7"/>
  <c r="P24" i="7"/>
  <c r="P26" i="7"/>
  <c r="P27" i="7"/>
  <c r="P28" i="7"/>
  <c r="P30" i="7"/>
  <c r="P31" i="7"/>
  <c r="P32" i="7"/>
  <c r="P33" i="7"/>
  <c r="P34" i="7"/>
  <c r="P35" i="7"/>
  <c r="P36" i="7"/>
  <c r="P37" i="7"/>
  <c r="P38" i="7"/>
  <c r="P39" i="7"/>
  <c r="P40" i="7"/>
  <c r="P41" i="7"/>
  <c r="P43" i="7"/>
  <c r="P44" i="7"/>
  <c r="P45" i="7"/>
  <c r="P46" i="7"/>
  <c r="P47" i="7"/>
  <c r="P48" i="7"/>
  <c r="P49" i="7"/>
  <c r="P50" i="7"/>
  <c r="P51" i="7"/>
  <c r="P54" i="7"/>
  <c r="P55" i="7"/>
  <c r="P56" i="7"/>
  <c r="P57" i="7"/>
  <c r="P59" i="7"/>
  <c r="P60" i="7"/>
  <c r="P61" i="7"/>
  <c r="P62" i="7"/>
  <c r="P64" i="7"/>
  <c r="P65" i="7"/>
  <c r="P66" i="7"/>
  <c r="P67" i="7"/>
  <c r="P68" i="7"/>
  <c r="P69" i="7"/>
  <c r="P70" i="7"/>
  <c r="P71" i="7"/>
  <c r="P72" i="7"/>
  <c r="P73" i="7"/>
  <c r="P75" i="7"/>
  <c r="P76" i="7"/>
  <c r="P77" i="7"/>
  <c r="P78" i="7"/>
  <c r="P79" i="7"/>
  <c r="P80" i="7"/>
  <c r="P82" i="7"/>
  <c r="P83" i="7"/>
  <c r="P84" i="7"/>
  <c r="P85" i="7"/>
  <c r="P86" i="7"/>
  <c r="P87" i="7"/>
  <c r="P88" i="7"/>
  <c r="P90" i="7"/>
  <c r="P92" i="7"/>
  <c r="P95" i="7"/>
  <c r="P96" i="7"/>
  <c r="P98" i="7"/>
  <c r="M89" i="7"/>
  <c r="N89" i="7"/>
  <c r="O89" i="7"/>
  <c r="M81" i="7"/>
  <c r="N81" i="7"/>
  <c r="O81" i="7"/>
  <c r="L81" i="7"/>
  <c r="M74" i="7"/>
  <c r="N74" i="7"/>
  <c r="O74" i="7"/>
  <c r="O63" i="7"/>
  <c r="N63" i="7"/>
  <c r="M63" i="7"/>
  <c r="M58" i="7"/>
  <c r="N58" i="7"/>
  <c r="O58" i="7"/>
  <c r="M52" i="7"/>
  <c r="N52" i="7"/>
  <c r="O52" i="7"/>
  <c r="O42" i="7"/>
  <c r="N42" i="7"/>
  <c r="M42" i="7"/>
  <c r="M29" i="7"/>
  <c r="N29" i="7"/>
  <c r="O29" i="7"/>
  <c r="M25" i="7"/>
  <c r="N25" i="7"/>
  <c r="O25" i="7"/>
  <c r="M18" i="7"/>
  <c r="N18" i="7"/>
  <c r="O18" i="7"/>
  <c r="P25" i="7" l="1"/>
  <c r="P58" i="7"/>
  <c r="P63" i="7"/>
  <c r="N169" i="7"/>
  <c r="F597" i="22"/>
  <c r="P42" i="7"/>
  <c r="P89" i="7"/>
  <c r="N6" i="7"/>
  <c r="B142" i="7" s="1"/>
  <c r="C142" i="7" s="1"/>
  <c r="M6" i="7"/>
  <c r="P52" i="7"/>
  <c r="P74" i="7"/>
  <c r="P81" i="7"/>
  <c r="P29" i="7"/>
  <c r="O6" i="7"/>
  <c r="P18" i="7"/>
  <c r="AK21" i="40"/>
  <c r="AL21" i="40"/>
  <c r="AM21" i="40"/>
  <c r="AF21" i="40"/>
  <c r="AG21" i="40"/>
  <c r="AH21" i="40"/>
  <c r="AA21" i="40"/>
  <c r="AB21" i="40"/>
  <c r="AC21" i="40"/>
  <c r="V21" i="40"/>
  <c r="W21" i="40"/>
  <c r="X21" i="40"/>
  <c r="K139" i="40"/>
  <c r="L139" i="40"/>
  <c r="J94" i="40"/>
  <c r="K94" i="40"/>
  <c r="L94" i="40"/>
  <c r="L175" i="40" s="1"/>
  <c r="J87" i="40"/>
  <c r="K87" i="40"/>
  <c r="L87" i="40"/>
  <c r="J84" i="40"/>
  <c r="K84" i="40"/>
  <c r="L84" i="40"/>
  <c r="J46" i="40"/>
  <c r="K46" i="40"/>
  <c r="L46" i="40"/>
  <c r="J43" i="40"/>
  <c r="K43" i="40"/>
  <c r="L43" i="40"/>
  <c r="J105" i="40"/>
  <c r="K105" i="40"/>
  <c r="L105" i="40"/>
  <c r="J130" i="40"/>
  <c r="K130" i="40"/>
  <c r="L130" i="40"/>
  <c r="I130" i="40"/>
  <c r="I118" i="40"/>
  <c r="I105" i="40"/>
  <c r="I94" i="40"/>
  <c r="I175" i="40" s="1"/>
  <c r="I87" i="40"/>
  <c r="I84" i="40"/>
  <c r="I46" i="40"/>
  <c r="I43" i="40"/>
  <c r="J40" i="40"/>
  <c r="K40" i="40"/>
  <c r="L40" i="40"/>
  <c r="J31" i="40"/>
  <c r="K31" i="40"/>
  <c r="L31" i="40"/>
  <c r="I40" i="40"/>
  <c r="I31" i="40"/>
  <c r="AT222" i="40"/>
  <c r="AS222" i="40"/>
  <c r="AR222" i="40"/>
  <c r="AQ222" i="40"/>
  <c r="AL221" i="40"/>
  <c r="AG221" i="40"/>
  <c r="AB221" i="40"/>
  <c r="W221" i="40"/>
  <c r="P221" i="40"/>
  <c r="I221" i="40"/>
  <c r="B214" i="40"/>
  <c r="B213" i="40"/>
  <c r="B212" i="40"/>
  <c r="B211" i="40"/>
  <c r="B210" i="40"/>
  <c r="B209" i="40"/>
  <c r="B208" i="40"/>
  <c r="B207" i="40"/>
  <c r="B206" i="40"/>
  <c r="B205" i="40"/>
  <c r="B204" i="40"/>
  <c r="B203" i="40"/>
  <c r="B202" i="40"/>
  <c r="B201" i="40"/>
  <c r="B200" i="40"/>
  <c r="B199" i="40"/>
  <c r="B198" i="40"/>
  <c r="B197" i="40"/>
  <c r="B196" i="40"/>
  <c r="AT195" i="40"/>
  <c r="AS195" i="40"/>
  <c r="AR195" i="40"/>
  <c r="AQ195" i="40"/>
  <c r="AL194" i="40"/>
  <c r="AG194" i="40"/>
  <c r="AB194" i="40"/>
  <c r="W194" i="40"/>
  <c r="P194" i="40"/>
  <c r="I194" i="40"/>
  <c r="AE186" i="40"/>
  <c r="AD186" i="40"/>
  <c r="AB186" i="40"/>
  <c r="Z186" i="40"/>
  <c r="Y186" i="40"/>
  <c r="W186" i="40"/>
  <c r="S186" i="40"/>
  <c r="Q186" i="40"/>
  <c r="P186" i="40"/>
  <c r="AJ185" i="40"/>
  <c r="AI185" i="40"/>
  <c r="AG185" i="40"/>
  <c r="AF185" i="40"/>
  <c r="AA185" i="40"/>
  <c r="T185" i="40"/>
  <c r="L185" i="40"/>
  <c r="J185" i="40"/>
  <c r="I185" i="40"/>
  <c r="AJ184" i="40"/>
  <c r="AI184" i="40"/>
  <c r="AG184" i="40"/>
  <c r="AF184" i="40"/>
  <c r="AA184" i="40"/>
  <c r="T184" i="40"/>
  <c r="L184" i="40"/>
  <c r="J184" i="40"/>
  <c r="I184" i="40"/>
  <c r="M184" i="40" s="1"/>
  <c r="AJ183" i="40"/>
  <c r="AI183" i="40"/>
  <c r="AG183" i="40"/>
  <c r="AF183" i="40"/>
  <c r="AA183" i="40"/>
  <c r="T183" i="40"/>
  <c r="AJ182" i="40"/>
  <c r="AI182" i="40"/>
  <c r="AG182" i="40"/>
  <c r="AF182" i="40"/>
  <c r="AA182" i="40"/>
  <c r="T182" i="40"/>
  <c r="AJ181" i="40"/>
  <c r="AI181" i="40"/>
  <c r="AG181" i="40"/>
  <c r="AF181" i="40"/>
  <c r="AA181" i="40"/>
  <c r="T181" i="40"/>
  <c r="L181" i="40"/>
  <c r="J181" i="40"/>
  <c r="I181" i="40"/>
  <c r="M181" i="40" s="1"/>
  <c r="AJ180" i="40"/>
  <c r="AI180" i="40"/>
  <c r="AG180" i="40"/>
  <c r="AF180" i="40"/>
  <c r="AA180" i="40"/>
  <c r="T180" i="40"/>
  <c r="AJ179" i="40"/>
  <c r="AI179" i="40"/>
  <c r="AG179" i="40"/>
  <c r="AF179" i="40"/>
  <c r="AA179" i="40"/>
  <c r="T179" i="40"/>
  <c r="AJ178" i="40"/>
  <c r="AI178" i="40"/>
  <c r="AG178" i="40"/>
  <c r="AF178" i="40"/>
  <c r="AA178" i="40"/>
  <c r="T178" i="40"/>
  <c r="AJ177" i="40"/>
  <c r="AI177" i="40"/>
  <c r="AG177" i="40"/>
  <c r="AF177" i="40"/>
  <c r="AA177" i="40"/>
  <c r="T177" i="40"/>
  <c r="AJ176" i="40"/>
  <c r="AI176" i="40"/>
  <c r="AG176" i="40"/>
  <c r="AF176" i="40"/>
  <c r="AA176" i="40"/>
  <c r="T176" i="40"/>
  <c r="AJ175" i="40"/>
  <c r="AI175" i="40"/>
  <c r="AG175" i="40"/>
  <c r="AF175" i="40"/>
  <c r="AA175" i="40"/>
  <c r="T175" i="40"/>
  <c r="AJ174" i="40"/>
  <c r="AI174" i="40"/>
  <c r="AG174" i="40"/>
  <c r="AF174" i="40"/>
  <c r="AA174" i="40"/>
  <c r="T174" i="40"/>
  <c r="AJ173" i="40"/>
  <c r="AI173" i="40"/>
  <c r="AG173" i="40"/>
  <c r="AF173" i="40"/>
  <c r="AA173" i="40"/>
  <c r="T173" i="40"/>
  <c r="AJ172" i="40"/>
  <c r="AI172" i="40"/>
  <c r="AG172" i="40"/>
  <c r="AF172" i="40"/>
  <c r="AA172" i="40"/>
  <c r="T172" i="40"/>
  <c r="AJ171" i="40"/>
  <c r="AI171" i="40"/>
  <c r="AG171" i="40"/>
  <c r="AF171" i="40"/>
  <c r="AA171" i="40"/>
  <c r="T171" i="40"/>
  <c r="L171" i="40"/>
  <c r="J171" i="40"/>
  <c r="I171" i="40"/>
  <c r="M171" i="40" s="1"/>
  <c r="AJ170" i="40"/>
  <c r="AI170" i="40"/>
  <c r="AG170" i="40"/>
  <c r="AF170" i="40"/>
  <c r="AA170" i="40"/>
  <c r="T170" i="40"/>
  <c r="L170" i="40"/>
  <c r="J170" i="40"/>
  <c r="I170" i="40"/>
  <c r="AJ169" i="40"/>
  <c r="AI169" i="40"/>
  <c r="AG169" i="40"/>
  <c r="AF169" i="40"/>
  <c r="AA169" i="40"/>
  <c r="T169" i="40"/>
  <c r="L169" i="40"/>
  <c r="J169" i="40"/>
  <c r="I169" i="40"/>
  <c r="M169" i="40" s="1"/>
  <c r="AJ168" i="40"/>
  <c r="AI168" i="40"/>
  <c r="AG168" i="40"/>
  <c r="AF168" i="40"/>
  <c r="AA168" i="40"/>
  <c r="T168" i="40"/>
  <c r="L168" i="40"/>
  <c r="J168" i="40"/>
  <c r="I168" i="40"/>
  <c r="AJ167" i="40"/>
  <c r="AI167" i="40"/>
  <c r="AG167" i="40"/>
  <c r="AF167" i="40"/>
  <c r="AA167" i="40"/>
  <c r="T167" i="40"/>
  <c r="M166" i="40"/>
  <c r="L166" i="40"/>
  <c r="J166" i="40"/>
  <c r="I166" i="40"/>
  <c r="AL165" i="40"/>
  <c r="AG165" i="40"/>
  <c r="AB165" i="40"/>
  <c r="W165" i="40"/>
  <c r="P165" i="40"/>
  <c r="I165" i="40"/>
  <c r="B156" i="40"/>
  <c r="A156" i="40"/>
  <c r="B155" i="40"/>
  <c r="A155" i="40"/>
  <c r="B154" i="40"/>
  <c r="A154" i="40"/>
  <c r="B153" i="40"/>
  <c r="A153" i="40"/>
  <c r="B152" i="40"/>
  <c r="A152" i="40"/>
  <c r="B151" i="40"/>
  <c r="A151" i="40"/>
  <c r="B150" i="40"/>
  <c r="A150" i="40"/>
  <c r="B149" i="40"/>
  <c r="A149" i="40"/>
  <c r="B148" i="40"/>
  <c r="A148" i="40"/>
  <c r="B147" i="40"/>
  <c r="A147" i="40"/>
  <c r="B146" i="40"/>
  <c r="A146" i="40"/>
  <c r="B145" i="40"/>
  <c r="A145" i="40"/>
  <c r="B144" i="40"/>
  <c r="A144" i="40"/>
  <c r="B143" i="40"/>
  <c r="A143" i="40"/>
  <c r="B142" i="40"/>
  <c r="A142" i="40"/>
  <c r="B141" i="40"/>
  <c r="A141" i="40"/>
  <c r="B140" i="40"/>
  <c r="A140" i="40"/>
  <c r="M139" i="40"/>
  <c r="J139" i="40"/>
  <c r="I139" i="40"/>
  <c r="AN131" i="40"/>
  <c r="AI131" i="40"/>
  <c r="AD131" i="40"/>
  <c r="Y131" i="40"/>
  <c r="T131" i="40"/>
  <c r="AN130" i="40"/>
  <c r="AI130" i="40"/>
  <c r="AD130" i="40"/>
  <c r="Y130" i="40"/>
  <c r="T130" i="40"/>
  <c r="AK129" i="40"/>
  <c r="AJ129" i="40"/>
  <c r="AH129" i="40"/>
  <c r="AF129" i="40"/>
  <c r="AE129" i="40"/>
  <c r="AC129" i="40"/>
  <c r="AA129" i="40"/>
  <c r="Z129" i="40"/>
  <c r="X129" i="40"/>
  <c r="V129" i="40"/>
  <c r="U129" i="40"/>
  <c r="S129" i="40"/>
  <c r="Q129" i="40"/>
  <c r="P129" i="40"/>
  <c r="AN128" i="40"/>
  <c r="AI128" i="40"/>
  <c r="AD128" i="40"/>
  <c r="Y128" i="40"/>
  <c r="T128" i="40"/>
  <c r="M128" i="40"/>
  <c r="AN127" i="40"/>
  <c r="AI127" i="40"/>
  <c r="AD127" i="40"/>
  <c r="Y127" i="40"/>
  <c r="T127" i="40"/>
  <c r="AN126" i="40"/>
  <c r="AI126" i="40"/>
  <c r="AD126" i="40"/>
  <c r="Y126" i="40"/>
  <c r="T126" i="40"/>
  <c r="AN125" i="40"/>
  <c r="AI125" i="40"/>
  <c r="AD125" i="40"/>
  <c r="Y125" i="40"/>
  <c r="T125" i="40"/>
  <c r="AN124" i="40"/>
  <c r="AI124" i="40"/>
  <c r="AD124" i="40"/>
  <c r="Y124" i="40"/>
  <c r="T124" i="40"/>
  <c r="AN123" i="40"/>
  <c r="AI123" i="40"/>
  <c r="AD123" i="40"/>
  <c r="Y123" i="40"/>
  <c r="T123" i="40"/>
  <c r="AN122" i="40"/>
  <c r="AI122" i="40"/>
  <c r="AD122" i="40"/>
  <c r="Y122" i="40"/>
  <c r="T122" i="40"/>
  <c r="AN121" i="40"/>
  <c r="AI121" i="40"/>
  <c r="AD121" i="40"/>
  <c r="Y121" i="40"/>
  <c r="T121" i="40"/>
  <c r="AN120" i="40"/>
  <c r="AI120" i="40"/>
  <c r="AD120" i="40"/>
  <c r="Y120" i="40"/>
  <c r="T120" i="40"/>
  <c r="AK119" i="40"/>
  <c r="AJ119" i="40"/>
  <c r="AH119" i="40"/>
  <c r="AF119" i="40"/>
  <c r="AE119" i="40"/>
  <c r="AC119" i="40"/>
  <c r="AA119" i="40"/>
  <c r="Z119" i="40"/>
  <c r="X119" i="40"/>
  <c r="V119" i="40"/>
  <c r="U119" i="40"/>
  <c r="S119" i="40"/>
  <c r="Q119" i="40"/>
  <c r="P119" i="40"/>
  <c r="AN118" i="40"/>
  <c r="AI118" i="40"/>
  <c r="AD118" i="40"/>
  <c r="Y118" i="40"/>
  <c r="T118" i="40"/>
  <c r="AN117" i="40"/>
  <c r="AI117" i="40"/>
  <c r="AD117" i="40"/>
  <c r="Y117" i="40"/>
  <c r="T117" i="40"/>
  <c r="AN116" i="40"/>
  <c r="AI116" i="40"/>
  <c r="AD116" i="40"/>
  <c r="Y116" i="40"/>
  <c r="T116" i="40"/>
  <c r="AN115" i="40"/>
  <c r="AI115" i="40"/>
  <c r="AD115" i="40"/>
  <c r="Y115" i="40"/>
  <c r="T115" i="40"/>
  <c r="AN114" i="40"/>
  <c r="AI114" i="40"/>
  <c r="AD114" i="40"/>
  <c r="Y114" i="40"/>
  <c r="T114" i="40"/>
  <c r="AN113" i="40"/>
  <c r="AI113" i="40"/>
  <c r="AD113" i="40"/>
  <c r="Y113" i="40"/>
  <c r="T113" i="40"/>
  <c r="AN112" i="40"/>
  <c r="AI112" i="40"/>
  <c r="AD112" i="40"/>
  <c r="Y112" i="40"/>
  <c r="T112" i="40"/>
  <c r="AN111" i="40"/>
  <c r="AI111" i="40"/>
  <c r="AD111" i="40"/>
  <c r="Y111" i="40"/>
  <c r="T111" i="40"/>
  <c r="AN110" i="40"/>
  <c r="AI110" i="40"/>
  <c r="AD110" i="40"/>
  <c r="Y110" i="40"/>
  <c r="T110" i="40"/>
  <c r="AN109" i="40"/>
  <c r="AI109" i="40"/>
  <c r="AD109" i="40"/>
  <c r="Y109" i="40"/>
  <c r="T109" i="40"/>
  <c r="AK108" i="40"/>
  <c r="AJ108" i="40"/>
  <c r="AH108" i="40"/>
  <c r="AF108" i="40"/>
  <c r="AE108" i="40"/>
  <c r="AC108" i="40"/>
  <c r="AA108" i="40"/>
  <c r="Z108" i="40"/>
  <c r="X108" i="40"/>
  <c r="V108" i="40"/>
  <c r="U108" i="40"/>
  <c r="S108" i="40"/>
  <c r="Q108" i="40"/>
  <c r="P108" i="40"/>
  <c r="AN106" i="40"/>
  <c r="AI106" i="40"/>
  <c r="AD106" i="40"/>
  <c r="Y106" i="40"/>
  <c r="T106" i="40"/>
  <c r="AN105" i="40"/>
  <c r="AI105" i="40"/>
  <c r="AD105" i="40"/>
  <c r="Y105" i="40"/>
  <c r="T105" i="40"/>
  <c r="AN104" i="40"/>
  <c r="AI104" i="40"/>
  <c r="AD104" i="40"/>
  <c r="Y104" i="40"/>
  <c r="T104" i="40"/>
  <c r="AN103" i="40"/>
  <c r="AI103" i="40"/>
  <c r="AD103" i="40"/>
  <c r="Y103" i="40"/>
  <c r="T103" i="40"/>
  <c r="AN102" i="40"/>
  <c r="AI102" i="40"/>
  <c r="AD102" i="40"/>
  <c r="Y102" i="40"/>
  <c r="T102" i="40"/>
  <c r="AN101" i="40"/>
  <c r="AI101" i="40"/>
  <c r="AD101" i="40"/>
  <c r="Y101" i="40"/>
  <c r="T101" i="40"/>
  <c r="AN100" i="40"/>
  <c r="AI100" i="40"/>
  <c r="AD100" i="40"/>
  <c r="Y100" i="40"/>
  <c r="T100" i="40"/>
  <c r="AN99" i="40"/>
  <c r="AI99" i="40"/>
  <c r="AD99" i="40"/>
  <c r="Y99" i="40"/>
  <c r="T99" i="40"/>
  <c r="AN98" i="40"/>
  <c r="AI98" i="40"/>
  <c r="AD98" i="40"/>
  <c r="Y98" i="40"/>
  <c r="T98" i="40"/>
  <c r="AM97" i="40"/>
  <c r="AK97" i="40"/>
  <c r="AJ97" i="40"/>
  <c r="AH97" i="40"/>
  <c r="AF97" i="40"/>
  <c r="AE97" i="40"/>
  <c r="AC97" i="40"/>
  <c r="AA97" i="40"/>
  <c r="Z97" i="40"/>
  <c r="X97" i="40"/>
  <c r="V97" i="40"/>
  <c r="U97" i="40"/>
  <c r="S97" i="40"/>
  <c r="Q97" i="40"/>
  <c r="P97" i="40"/>
  <c r="AN95" i="40"/>
  <c r="AI95" i="40"/>
  <c r="AD95" i="40"/>
  <c r="Y95" i="40"/>
  <c r="T95" i="40"/>
  <c r="AN94" i="40"/>
  <c r="AI94" i="40"/>
  <c r="AD94" i="40"/>
  <c r="Y94" i="40"/>
  <c r="T94" i="40"/>
  <c r="AN93" i="40"/>
  <c r="AI93" i="40"/>
  <c r="AD93" i="40"/>
  <c r="Y93" i="40"/>
  <c r="T93" i="40"/>
  <c r="AM92" i="40"/>
  <c r="AK92" i="40"/>
  <c r="AJ92" i="40"/>
  <c r="AH92" i="40"/>
  <c r="AF92" i="40"/>
  <c r="AE92" i="40"/>
  <c r="AC92" i="40"/>
  <c r="AA92" i="40"/>
  <c r="Z92" i="40"/>
  <c r="X92" i="40"/>
  <c r="V92" i="40"/>
  <c r="U92" i="40"/>
  <c r="Q92" i="40"/>
  <c r="P92" i="40"/>
  <c r="AN91" i="40"/>
  <c r="AI91" i="40"/>
  <c r="AD91" i="40"/>
  <c r="Y91" i="40"/>
  <c r="T91" i="40"/>
  <c r="AN90" i="40"/>
  <c r="AI90" i="40"/>
  <c r="AD90" i="40"/>
  <c r="Y90" i="40"/>
  <c r="T90" i="40"/>
  <c r="AN89" i="40"/>
  <c r="AI89" i="40"/>
  <c r="AD89" i="40"/>
  <c r="Y89" i="40"/>
  <c r="T89" i="40"/>
  <c r="AN88" i="40"/>
  <c r="AI88" i="40"/>
  <c r="AD88" i="40"/>
  <c r="Y88" i="40"/>
  <c r="T88" i="40"/>
  <c r="AN87" i="40"/>
  <c r="AI87" i="40"/>
  <c r="AD87" i="40"/>
  <c r="Y87" i="40"/>
  <c r="T87" i="40"/>
  <c r="AM86" i="40"/>
  <c r="AK86" i="40"/>
  <c r="AJ86" i="40"/>
  <c r="AF86" i="40"/>
  <c r="AE86" i="40"/>
  <c r="AC86" i="40"/>
  <c r="AA86" i="40"/>
  <c r="Z86" i="40"/>
  <c r="X86" i="40"/>
  <c r="V86" i="40"/>
  <c r="U86" i="40"/>
  <c r="Q86" i="40"/>
  <c r="P86" i="40"/>
  <c r="AN85" i="40"/>
  <c r="AI85" i="40"/>
  <c r="AD85" i="40"/>
  <c r="Y85" i="40"/>
  <c r="T85" i="40"/>
  <c r="AN84" i="40"/>
  <c r="AI84" i="40"/>
  <c r="AD84" i="40"/>
  <c r="Y84" i="40"/>
  <c r="T84" i="40"/>
  <c r="AN83" i="40"/>
  <c r="AI83" i="40"/>
  <c r="AD83" i="40"/>
  <c r="Y83" i="40"/>
  <c r="T83" i="40"/>
  <c r="AM82" i="40"/>
  <c r="AK82" i="40"/>
  <c r="AJ82" i="40"/>
  <c r="AH82" i="40"/>
  <c r="AE82" i="40"/>
  <c r="AC82" i="40"/>
  <c r="AA82" i="40"/>
  <c r="Z82" i="40"/>
  <c r="X82" i="40"/>
  <c r="V82" i="40"/>
  <c r="U82" i="40"/>
  <c r="Q82" i="40"/>
  <c r="P82" i="40"/>
  <c r="AN81" i="40"/>
  <c r="AI81" i="40"/>
  <c r="AD81" i="40"/>
  <c r="Y81" i="40"/>
  <c r="T81" i="40"/>
  <c r="AN80" i="40"/>
  <c r="AI80" i="40"/>
  <c r="AD80" i="40"/>
  <c r="Y80" i="40"/>
  <c r="T80" i="40"/>
  <c r="AN79" i="40"/>
  <c r="AI79" i="40"/>
  <c r="AD79" i="40"/>
  <c r="Y79" i="40"/>
  <c r="T79" i="40"/>
  <c r="M79" i="40"/>
  <c r="AN78" i="40"/>
  <c r="AI78" i="40"/>
  <c r="AD78" i="40"/>
  <c r="Y78" i="40"/>
  <c r="T78" i="40"/>
  <c r="M78" i="40"/>
  <c r="AN77" i="40"/>
  <c r="AI77" i="40"/>
  <c r="AD77" i="40"/>
  <c r="Y77" i="40"/>
  <c r="T77" i="40"/>
  <c r="AN76" i="40"/>
  <c r="AI76" i="40"/>
  <c r="AD76" i="40"/>
  <c r="Y76" i="40"/>
  <c r="T76" i="40"/>
  <c r="AN75" i="40"/>
  <c r="AI75" i="40"/>
  <c r="AD75" i="40"/>
  <c r="Y75" i="40"/>
  <c r="T75" i="40"/>
  <c r="AN74" i="40"/>
  <c r="AI74" i="40"/>
  <c r="AD74" i="40"/>
  <c r="Y74" i="40"/>
  <c r="T74" i="40"/>
  <c r="M74" i="40"/>
  <c r="AM73" i="40"/>
  <c r="AK73" i="40"/>
  <c r="AJ73" i="40"/>
  <c r="AH73" i="40"/>
  <c r="AF73" i="40"/>
  <c r="AE73" i="40"/>
  <c r="AA73" i="40"/>
  <c r="Z73" i="40"/>
  <c r="X73" i="40"/>
  <c r="V73" i="40"/>
  <c r="U73" i="40"/>
  <c r="Q73" i="40"/>
  <c r="P73" i="40"/>
  <c r="AN70" i="40"/>
  <c r="AI70" i="40"/>
  <c r="AD70" i="40"/>
  <c r="Y70" i="40"/>
  <c r="T70" i="40"/>
  <c r="AN72" i="40"/>
  <c r="AI72" i="40"/>
  <c r="AD72" i="40"/>
  <c r="Y72" i="40"/>
  <c r="T72" i="40"/>
  <c r="AN71" i="40"/>
  <c r="AI71" i="40"/>
  <c r="AD71" i="40"/>
  <c r="Y71" i="40"/>
  <c r="T71" i="40"/>
  <c r="AN69" i="40"/>
  <c r="AI69" i="40"/>
  <c r="AD69" i="40"/>
  <c r="Y69" i="40"/>
  <c r="T69" i="40"/>
  <c r="AN68" i="40"/>
  <c r="AI68" i="40"/>
  <c r="AD68" i="40"/>
  <c r="Y68" i="40"/>
  <c r="T68" i="40"/>
  <c r="AN67" i="40"/>
  <c r="AI67" i="40"/>
  <c r="AD67" i="40"/>
  <c r="Y67" i="40"/>
  <c r="T67" i="40"/>
  <c r="AN66" i="40"/>
  <c r="AI66" i="40"/>
  <c r="AD66" i="40"/>
  <c r="Y66" i="40"/>
  <c r="T66" i="40"/>
  <c r="AM65" i="40"/>
  <c r="AK65" i="40"/>
  <c r="AJ65" i="40"/>
  <c r="AH65" i="40"/>
  <c r="AF65" i="40"/>
  <c r="AE65" i="40"/>
  <c r="AA65" i="40"/>
  <c r="Z65" i="40"/>
  <c r="X65" i="40"/>
  <c r="V65" i="40"/>
  <c r="U65" i="40"/>
  <c r="S65" i="40"/>
  <c r="Q65" i="40"/>
  <c r="P65" i="40"/>
  <c r="AN64" i="40"/>
  <c r="AI64" i="40"/>
  <c r="AD64" i="40"/>
  <c r="Y64" i="40"/>
  <c r="T64" i="40"/>
  <c r="AN63" i="40"/>
  <c r="AI63" i="40"/>
  <c r="AD63" i="40"/>
  <c r="Y63" i="40"/>
  <c r="T63" i="40"/>
  <c r="AN62" i="40"/>
  <c r="AI62" i="40"/>
  <c r="AD62" i="40"/>
  <c r="Y62" i="40"/>
  <c r="T62" i="40"/>
  <c r="AN61" i="40"/>
  <c r="AI61" i="40"/>
  <c r="AD61" i="40"/>
  <c r="Y61" i="40"/>
  <c r="T61" i="40"/>
  <c r="AN60" i="40"/>
  <c r="AI60" i="40"/>
  <c r="AD60" i="40"/>
  <c r="Y60" i="40"/>
  <c r="T60" i="40"/>
  <c r="AN59" i="40"/>
  <c r="AI59" i="40"/>
  <c r="AD59" i="40"/>
  <c r="Y59" i="40"/>
  <c r="T59" i="40"/>
  <c r="AN58" i="40"/>
  <c r="AI58" i="40"/>
  <c r="AD58" i="40"/>
  <c r="Y58" i="40"/>
  <c r="T58" i="40"/>
  <c r="AN57" i="40"/>
  <c r="AI57" i="40"/>
  <c r="AD57" i="40"/>
  <c r="Y57" i="40"/>
  <c r="T57" i="40"/>
  <c r="AN56" i="40"/>
  <c r="AI56" i="40"/>
  <c r="AD56" i="40"/>
  <c r="Y56" i="40"/>
  <c r="T56" i="40"/>
  <c r="AN55" i="40"/>
  <c r="AI55" i="40"/>
  <c r="AD55" i="40"/>
  <c r="Y55" i="40"/>
  <c r="T55" i="40"/>
  <c r="AN54" i="40"/>
  <c r="AI54" i="40"/>
  <c r="AD54" i="40"/>
  <c r="Y54" i="40"/>
  <c r="T54" i="40"/>
  <c r="AN53" i="40"/>
  <c r="AI53" i="40"/>
  <c r="AD53" i="40"/>
  <c r="Y53" i="40"/>
  <c r="T53" i="40"/>
  <c r="AK52" i="40"/>
  <c r="AJ52" i="40"/>
  <c r="AH52" i="40"/>
  <c r="AF52" i="40"/>
  <c r="AE52" i="40"/>
  <c r="AC52" i="40"/>
  <c r="AA52" i="40"/>
  <c r="Z52" i="40"/>
  <c r="X52" i="40"/>
  <c r="V52" i="40"/>
  <c r="U52" i="40"/>
  <c r="S52" i="40"/>
  <c r="Q52" i="40"/>
  <c r="P52" i="40"/>
  <c r="AN50" i="40"/>
  <c r="AI50" i="40"/>
  <c r="AD50" i="40"/>
  <c r="Y50" i="40"/>
  <c r="T50" i="40"/>
  <c r="AN49" i="40"/>
  <c r="AI49" i="40"/>
  <c r="AD49" i="40"/>
  <c r="Y49" i="40"/>
  <c r="T49" i="40"/>
  <c r="AM48" i="40"/>
  <c r="AK48" i="40"/>
  <c r="AJ48" i="40"/>
  <c r="AH48" i="40"/>
  <c r="AF48" i="40"/>
  <c r="AE48" i="40"/>
  <c r="AC48" i="40"/>
  <c r="AA48" i="40"/>
  <c r="Z48" i="40"/>
  <c r="X48" i="40"/>
  <c r="V48" i="40"/>
  <c r="U48" i="40"/>
  <c r="S48" i="40"/>
  <c r="Q48" i="40"/>
  <c r="P48" i="40"/>
  <c r="AN47" i="40"/>
  <c r="AI47" i="40"/>
  <c r="AD47" i="40"/>
  <c r="Y47" i="40"/>
  <c r="T47" i="40"/>
  <c r="AN46" i="40"/>
  <c r="AI46" i="40"/>
  <c r="AD46" i="40"/>
  <c r="Y46" i="40"/>
  <c r="T46" i="40"/>
  <c r="AN45" i="40"/>
  <c r="AI45" i="40"/>
  <c r="AD45" i="40"/>
  <c r="Y45" i="40"/>
  <c r="T45" i="40"/>
  <c r="AN43" i="40"/>
  <c r="AI43" i="40"/>
  <c r="AD43" i="40"/>
  <c r="Y43" i="40"/>
  <c r="T43" i="40"/>
  <c r="AM42" i="40"/>
  <c r="AK42" i="40"/>
  <c r="AJ42" i="40"/>
  <c r="AH42" i="40"/>
  <c r="AF42" i="40"/>
  <c r="AE42" i="40"/>
  <c r="AC42" i="40"/>
  <c r="AA42" i="40"/>
  <c r="Z42" i="40"/>
  <c r="X42" i="40"/>
  <c r="V42" i="40"/>
  <c r="U42" i="40"/>
  <c r="S42" i="40"/>
  <c r="Q42" i="40"/>
  <c r="P42" i="40"/>
  <c r="AN28" i="40"/>
  <c r="AI28" i="40"/>
  <c r="AD28" i="40"/>
  <c r="Y28" i="40"/>
  <c r="T28" i="40"/>
  <c r="AN40" i="40"/>
  <c r="AI40" i="40"/>
  <c r="AD40" i="40"/>
  <c r="Y40" i="40"/>
  <c r="T40" i="40"/>
  <c r="AN33" i="40"/>
  <c r="AI33" i="40"/>
  <c r="AD33" i="40"/>
  <c r="Y33" i="40"/>
  <c r="T33" i="40"/>
  <c r="AN31" i="40"/>
  <c r="AI31" i="40"/>
  <c r="AD31" i="40"/>
  <c r="Y31" i="40"/>
  <c r="T31" i="40"/>
  <c r="AN38" i="40"/>
  <c r="AI38" i="40"/>
  <c r="AD38" i="40"/>
  <c r="Y38" i="40"/>
  <c r="T38" i="40"/>
  <c r="AN37" i="40"/>
  <c r="AI37" i="40"/>
  <c r="AD37" i="40"/>
  <c r="Y37" i="40"/>
  <c r="T37" i="40"/>
  <c r="AN36" i="40"/>
  <c r="AI36" i="40"/>
  <c r="AD36" i="40"/>
  <c r="Y36" i="40"/>
  <c r="T36" i="40"/>
  <c r="AN35" i="40"/>
  <c r="AI35" i="40"/>
  <c r="AD35" i="40"/>
  <c r="Y35" i="40"/>
  <c r="T35" i="40"/>
  <c r="AN34" i="40"/>
  <c r="AI34" i="40"/>
  <c r="AD34" i="40"/>
  <c r="Y34" i="40"/>
  <c r="T34" i="40"/>
  <c r="AN30" i="40"/>
  <c r="AI30" i="40"/>
  <c r="AD30" i="40"/>
  <c r="Y30" i="40"/>
  <c r="T30" i="40"/>
  <c r="AN26" i="40"/>
  <c r="AI26" i="40"/>
  <c r="AD26" i="40"/>
  <c r="Y26" i="40"/>
  <c r="T26" i="40"/>
  <c r="AN25" i="40"/>
  <c r="AI25" i="40"/>
  <c r="AD25" i="40"/>
  <c r="Y25" i="40"/>
  <c r="T25" i="40"/>
  <c r="AN27" i="40"/>
  <c r="AI27" i="40"/>
  <c r="AD27" i="40"/>
  <c r="Y27" i="40"/>
  <c r="T27" i="40"/>
  <c r="AN29" i="40"/>
  <c r="AI29" i="40"/>
  <c r="AD29" i="40"/>
  <c r="Y29" i="40"/>
  <c r="T29" i="40"/>
  <c r="AN32" i="40"/>
  <c r="AI32" i="40"/>
  <c r="AD32" i="40"/>
  <c r="Y32" i="40"/>
  <c r="T32" i="40"/>
  <c r="AN24" i="40"/>
  <c r="AI24" i="40"/>
  <c r="AD24" i="40"/>
  <c r="Y24" i="40"/>
  <c r="T24" i="40"/>
  <c r="AN23" i="40"/>
  <c r="AI23" i="40"/>
  <c r="AD23" i="40"/>
  <c r="Y23" i="40"/>
  <c r="T23" i="40"/>
  <c r="AN22" i="40"/>
  <c r="AI22" i="40"/>
  <c r="AD22" i="40"/>
  <c r="Y22" i="40"/>
  <c r="T22" i="40"/>
  <c r="AJ21" i="40"/>
  <c r="AE21" i="40"/>
  <c r="Z21" i="40"/>
  <c r="U21" i="40"/>
  <c r="Q21" i="40"/>
  <c r="P21" i="40"/>
  <c r="AN20" i="40"/>
  <c r="AI20" i="40"/>
  <c r="AD20" i="40"/>
  <c r="Y20" i="40"/>
  <c r="T20" i="40"/>
  <c r="AN19" i="40"/>
  <c r="AI19" i="40"/>
  <c r="AD19" i="40"/>
  <c r="Y19" i="40"/>
  <c r="T19" i="40"/>
  <c r="AN18" i="40"/>
  <c r="AI18" i="40"/>
  <c r="AD18" i="40"/>
  <c r="Y18" i="40"/>
  <c r="T18" i="40"/>
  <c r="AN17" i="40"/>
  <c r="AI17" i="40"/>
  <c r="AD17" i="40"/>
  <c r="Y17" i="40"/>
  <c r="T17" i="40"/>
  <c r="AN16" i="40"/>
  <c r="AI16" i="40"/>
  <c r="AD16" i="40"/>
  <c r="Y16" i="40"/>
  <c r="T16" i="40"/>
  <c r="AN15" i="40"/>
  <c r="AI15" i="40"/>
  <c r="AD15" i="40"/>
  <c r="Y15" i="40"/>
  <c r="T15" i="40"/>
  <c r="AN14" i="40"/>
  <c r="AI14" i="40"/>
  <c r="AD14" i="40"/>
  <c r="Y14" i="40"/>
  <c r="T14" i="40"/>
  <c r="AN13" i="40"/>
  <c r="AI13" i="40"/>
  <c r="AD13" i="40"/>
  <c r="Y13" i="40"/>
  <c r="T13" i="40"/>
  <c r="AN12" i="40"/>
  <c r="AI12" i="40"/>
  <c r="AD12" i="40"/>
  <c r="Y12" i="40"/>
  <c r="T12" i="40"/>
  <c r="AM11" i="40"/>
  <c r="AK11" i="40"/>
  <c r="AJ11" i="40"/>
  <c r="AH11" i="40"/>
  <c r="AF11" i="40"/>
  <c r="AE11" i="40"/>
  <c r="AC11" i="40"/>
  <c r="AA11" i="40"/>
  <c r="Z11" i="40"/>
  <c r="X11" i="40"/>
  <c r="V11" i="40"/>
  <c r="U11" i="40"/>
  <c r="S11" i="40"/>
  <c r="Q11" i="40"/>
  <c r="P11" i="40"/>
  <c r="Y9" i="40"/>
  <c r="AA166" i="40" s="1"/>
  <c r="T9" i="40"/>
  <c r="T166" i="40" s="1"/>
  <c r="S9" i="40"/>
  <c r="Q9" i="40"/>
  <c r="V9" i="40" s="1"/>
  <c r="P9" i="40"/>
  <c r="P166" i="40" s="1"/>
  <c r="O21" i="18"/>
  <c r="O22" i="18"/>
  <c r="O28" i="18"/>
  <c r="O29" i="18"/>
  <c r="O33" i="18"/>
  <c r="O34" i="18"/>
  <c r="O38" i="18"/>
  <c r="O39" i="18"/>
  <c r="O43" i="18"/>
  <c r="O16" i="18"/>
  <c r="O17" i="18"/>
  <c r="L623" i="3"/>
  <c r="L900" i="3" s="1"/>
  <c r="K614" i="3"/>
  <c r="L614" i="3"/>
  <c r="K269" i="3"/>
  <c r="L269" i="3" s="1"/>
  <c r="G177" i="22"/>
  <c r="H177" i="22"/>
  <c r="I177" i="22"/>
  <c r="O36" i="3"/>
  <c r="O37" i="3"/>
  <c r="O70" i="3"/>
  <c r="O80" i="3"/>
  <c r="O81" i="3"/>
  <c r="O91" i="3"/>
  <c r="O92" i="3"/>
  <c r="O102" i="3"/>
  <c r="O103" i="3"/>
  <c r="O113" i="3"/>
  <c r="O114" i="3"/>
  <c r="O124" i="3"/>
  <c r="O125" i="3"/>
  <c r="O129" i="3"/>
  <c r="O130" i="3"/>
  <c r="O134" i="3"/>
  <c r="O135" i="3"/>
  <c r="O140" i="3"/>
  <c r="O144" i="3"/>
  <c r="O145" i="3"/>
  <c r="O153" i="3"/>
  <c r="O154" i="3"/>
  <c r="O162" i="3"/>
  <c r="O171" i="3"/>
  <c r="O172" i="3"/>
  <c r="O173" i="3"/>
  <c r="O174" i="3"/>
  <c r="O175" i="3"/>
  <c r="O176" i="3"/>
  <c r="O177" i="3"/>
  <c r="O178" i="3"/>
  <c r="O181" i="3"/>
  <c r="O182" i="3"/>
  <c r="O191" i="3"/>
  <c r="O192" i="3"/>
  <c r="O193" i="3"/>
  <c r="O196" i="3"/>
  <c r="O199" i="3"/>
  <c r="O200" i="3"/>
  <c r="O202" i="3"/>
  <c r="O204" i="3"/>
  <c r="O208" i="3"/>
  <c r="O211" i="3"/>
  <c r="O213" i="3"/>
  <c r="O215" i="3"/>
  <c r="O217" i="3"/>
  <c r="O226" i="3"/>
  <c r="O235" i="3"/>
  <c r="O244" i="3"/>
  <c r="O253" i="3"/>
  <c r="O262" i="3"/>
  <c r="O263" i="3"/>
  <c r="O264" i="3"/>
  <c r="O265" i="3"/>
  <c r="O274" i="3"/>
  <c r="O283" i="3"/>
  <c r="O293" i="3"/>
  <c r="O303" i="3"/>
  <c r="O313" i="3"/>
  <c r="O323" i="3"/>
  <c r="O333" i="3"/>
  <c r="O334" i="3"/>
  <c r="O343" i="3"/>
  <c r="O352" i="3"/>
  <c r="O362" i="3"/>
  <c r="O372" i="3"/>
  <c r="O382" i="3"/>
  <c r="O392" i="3"/>
  <c r="O402" i="3"/>
  <c r="O403" i="3"/>
  <c r="O412" i="3"/>
  <c r="O421" i="3"/>
  <c r="O431" i="3"/>
  <c r="O441" i="3"/>
  <c r="O451" i="3"/>
  <c r="O461" i="3"/>
  <c r="O471" i="3"/>
  <c r="O472" i="3"/>
  <c r="O481" i="3"/>
  <c r="O490" i="3"/>
  <c r="O500" i="3"/>
  <c r="O510" i="3"/>
  <c r="O520" i="3"/>
  <c r="O530" i="3"/>
  <c r="O540" i="3"/>
  <c r="O541" i="3"/>
  <c r="O550" i="3"/>
  <c r="O559" i="3"/>
  <c r="O569" i="3"/>
  <c r="O579" i="3"/>
  <c r="O589" i="3"/>
  <c r="O599" i="3"/>
  <c r="O609" i="3"/>
  <c r="O610" i="3"/>
  <c r="O619" i="3"/>
  <c r="O628" i="3"/>
  <c r="O638" i="3"/>
  <c r="O648" i="3"/>
  <c r="O658" i="3"/>
  <c r="O668" i="3"/>
  <c r="O678" i="3"/>
  <c r="O679" i="3"/>
  <c r="O680" i="3"/>
  <c r="O690" i="3"/>
  <c r="O700" i="3"/>
  <c r="O710" i="3"/>
  <c r="O720" i="3"/>
  <c r="O730" i="3"/>
  <c r="O740" i="3"/>
  <c r="O750" i="3"/>
  <c r="O751" i="3"/>
  <c r="O752" i="3"/>
  <c r="O762" i="3"/>
  <c r="O772" i="3"/>
  <c r="O782" i="3"/>
  <c r="O792" i="3"/>
  <c r="O802" i="3"/>
  <c r="O812" i="3"/>
  <c r="O822" i="3"/>
  <c r="O823" i="3"/>
  <c r="O824" i="3"/>
  <c r="O827" i="3"/>
  <c r="O830" i="3"/>
  <c r="O833" i="3"/>
  <c r="O836" i="3"/>
  <c r="O839" i="3"/>
  <c r="O842" i="3"/>
  <c r="O845" i="3"/>
  <c r="O846" i="3"/>
  <c r="O847" i="3"/>
  <c r="O855" i="3"/>
  <c r="O856" i="3"/>
  <c r="O864" i="3"/>
  <c r="O872" i="3"/>
  <c r="O880" i="3"/>
  <c r="O888" i="3"/>
  <c r="O896" i="3"/>
  <c r="O904" i="3"/>
  <c r="O905" i="3"/>
  <c r="O909" i="3"/>
  <c r="O913" i="3"/>
  <c r="O914" i="3"/>
  <c r="O924" i="3"/>
  <c r="O934" i="3"/>
  <c r="O935" i="3"/>
  <c r="O939" i="3"/>
  <c r="K270" i="3"/>
  <c r="L270" i="3" s="1"/>
  <c r="K278" i="3"/>
  <c r="K860" i="3" s="1"/>
  <c r="K279" i="3"/>
  <c r="K281" i="3"/>
  <c r="K862" i="3" s="1"/>
  <c r="L281" i="3"/>
  <c r="K317" i="3"/>
  <c r="L317" i="3"/>
  <c r="K338" i="3"/>
  <c r="K339" i="3"/>
  <c r="L339" i="3"/>
  <c r="K347" i="3"/>
  <c r="K868" i="3" s="1"/>
  <c r="K348" i="3"/>
  <c r="K350" i="3"/>
  <c r="L350" i="3"/>
  <c r="L870" i="3" s="1"/>
  <c r="K386" i="3"/>
  <c r="L386" i="3"/>
  <c r="K407" i="3"/>
  <c r="K408" i="3"/>
  <c r="L408" i="3"/>
  <c r="K416" i="3"/>
  <c r="K876" i="3" s="1"/>
  <c r="K417" i="3"/>
  <c r="K419" i="3"/>
  <c r="K878" i="3" s="1"/>
  <c r="L419" i="3"/>
  <c r="L878" i="3" s="1"/>
  <c r="K455" i="3"/>
  <c r="L455" i="3"/>
  <c r="K476" i="3"/>
  <c r="K477" i="3"/>
  <c r="L477" i="3"/>
  <c r="K485" i="3"/>
  <c r="K884" i="3" s="1"/>
  <c r="K486" i="3"/>
  <c r="K488" i="3"/>
  <c r="K886" i="3" s="1"/>
  <c r="L488" i="3"/>
  <c r="L886" i="3" s="1"/>
  <c r="K524" i="3"/>
  <c r="L524" i="3"/>
  <c r="K545" i="3"/>
  <c r="K546" i="3"/>
  <c r="L546" i="3"/>
  <c r="K554" i="3"/>
  <c r="K892" i="3" s="1"/>
  <c r="L892" i="3"/>
  <c r="K555" i="3"/>
  <c r="K557" i="3"/>
  <c r="K894" i="3" s="1"/>
  <c r="L557" i="3"/>
  <c r="L894" i="3" s="1"/>
  <c r="K593" i="3"/>
  <c r="L593" i="3"/>
  <c r="K615" i="3"/>
  <c r="L615" i="3"/>
  <c r="K623" i="3"/>
  <c r="K624" i="3"/>
  <c r="L624" i="3"/>
  <c r="K626" i="3"/>
  <c r="K902" i="3" s="1"/>
  <c r="L626" i="3"/>
  <c r="L902" i="3" s="1"/>
  <c r="K851" i="3"/>
  <c r="L851" i="3"/>
  <c r="K853" i="3"/>
  <c r="L853" i="3"/>
  <c r="L860" i="3"/>
  <c r="L862" i="3"/>
  <c r="L868" i="3"/>
  <c r="K870" i="3"/>
  <c r="L876" i="3"/>
  <c r="L884" i="3"/>
  <c r="K180" i="3"/>
  <c r="L180" i="3"/>
  <c r="K179" i="3"/>
  <c r="L179" i="3"/>
  <c r="K110" i="3"/>
  <c r="L110" i="3"/>
  <c r="K109" i="3"/>
  <c r="L109" i="3"/>
  <c r="K106" i="3"/>
  <c r="L106" i="3"/>
  <c r="K105" i="3"/>
  <c r="L105" i="3"/>
  <c r="K88" i="3"/>
  <c r="L88" i="3"/>
  <c r="K87" i="3"/>
  <c r="L87" i="3"/>
  <c r="K84" i="3"/>
  <c r="L84" i="3"/>
  <c r="K83" i="3"/>
  <c r="L83" i="3"/>
  <c r="U106" i="6"/>
  <c r="V106" i="6"/>
  <c r="U105" i="6"/>
  <c r="V105" i="6"/>
  <c r="U101" i="6"/>
  <c r="V101" i="6"/>
  <c r="U100" i="6"/>
  <c r="V100" i="6"/>
  <c r="U89" i="6"/>
  <c r="V89" i="6"/>
  <c r="U88" i="6"/>
  <c r="V88" i="6"/>
  <c r="U84" i="6"/>
  <c r="V84" i="6"/>
  <c r="U83" i="6"/>
  <c r="V83" i="6"/>
  <c r="U65" i="6"/>
  <c r="V65" i="6"/>
  <c r="U64" i="6"/>
  <c r="V64" i="6"/>
  <c r="U60" i="6"/>
  <c r="V60" i="6"/>
  <c r="U59" i="6"/>
  <c r="V59" i="6"/>
  <c r="J31" i="6"/>
  <c r="U65" i="5"/>
  <c r="V65" i="5"/>
  <c r="U64" i="5"/>
  <c r="V64" i="5"/>
  <c r="U89" i="5"/>
  <c r="V89" i="5"/>
  <c r="U88" i="5"/>
  <c r="V88" i="5"/>
  <c r="U84" i="5"/>
  <c r="V84" i="5"/>
  <c r="U83" i="5"/>
  <c r="V83" i="5"/>
  <c r="U101" i="5"/>
  <c r="V101" i="5"/>
  <c r="U100" i="5"/>
  <c r="V100" i="5"/>
  <c r="U106" i="5"/>
  <c r="V106" i="5"/>
  <c r="U105" i="5"/>
  <c r="V105" i="5"/>
  <c r="P47" i="5"/>
  <c r="K30" i="5"/>
  <c r="O49" i="5" s="1"/>
  <c r="K31" i="5"/>
  <c r="P49" i="5" s="1"/>
  <c r="J30" i="5"/>
  <c r="J31" i="5"/>
  <c r="I30" i="5"/>
  <c r="O48" i="5" s="1"/>
  <c r="I31" i="5"/>
  <c r="P48" i="5" s="1"/>
  <c r="H30" i="5"/>
  <c r="L30" i="5" s="1"/>
  <c r="H31" i="5"/>
  <c r="L31" i="5" s="1"/>
  <c r="F30" i="5"/>
  <c r="O44" i="5" s="1"/>
  <c r="F31" i="5"/>
  <c r="P44" i="5" s="1"/>
  <c r="E30" i="5"/>
  <c r="O43" i="5" s="1"/>
  <c r="E31" i="5"/>
  <c r="D30" i="5"/>
  <c r="D31" i="5"/>
  <c r="P43" i="5" s="1"/>
  <c r="C30" i="5"/>
  <c r="C31" i="5"/>
  <c r="G31" i="5" s="1"/>
  <c r="K26" i="4"/>
  <c r="K27" i="4"/>
  <c r="K28" i="4"/>
  <c r="K29" i="4"/>
  <c r="K30" i="4"/>
  <c r="K30" i="6" s="1"/>
  <c r="O49" i="6" s="1"/>
  <c r="K31" i="4"/>
  <c r="K31" i="6" s="1"/>
  <c r="P49" i="6" s="1"/>
  <c r="J26" i="4"/>
  <c r="J27" i="4"/>
  <c r="J28" i="4"/>
  <c r="J29" i="4"/>
  <c r="J30" i="4"/>
  <c r="J30" i="6" s="1"/>
  <c r="J31" i="4"/>
  <c r="I26" i="4"/>
  <c r="I27" i="4"/>
  <c r="I28" i="4"/>
  <c r="I29" i="4"/>
  <c r="I30" i="4"/>
  <c r="I30" i="6" s="1"/>
  <c r="I31" i="4"/>
  <c r="I31" i="6" s="1"/>
  <c r="H26" i="4"/>
  <c r="H27" i="4"/>
  <c r="H28" i="4"/>
  <c r="H29" i="4"/>
  <c r="L29" i="4" s="1"/>
  <c r="H30" i="4"/>
  <c r="H31" i="4"/>
  <c r="F26" i="4"/>
  <c r="F27" i="4"/>
  <c r="F28" i="4"/>
  <c r="F29" i="4"/>
  <c r="F30" i="4"/>
  <c r="F30" i="6" s="1"/>
  <c r="O44" i="6" s="1"/>
  <c r="F31" i="4"/>
  <c r="F31" i="6" s="1"/>
  <c r="P44" i="6" s="1"/>
  <c r="E26" i="4"/>
  <c r="E27" i="4"/>
  <c r="E28" i="4"/>
  <c r="E29" i="4"/>
  <c r="E30" i="4"/>
  <c r="E30" i="6" s="1"/>
  <c r="E31" i="4"/>
  <c r="E31" i="6" s="1"/>
  <c r="D26" i="4"/>
  <c r="D27" i="4"/>
  <c r="D28" i="4"/>
  <c r="D29" i="4"/>
  <c r="D30" i="4"/>
  <c r="D31" i="4"/>
  <c r="D31" i="6" s="1"/>
  <c r="C26" i="4"/>
  <c r="O26" i="4" s="1"/>
  <c r="C27" i="4"/>
  <c r="C28" i="4"/>
  <c r="O28" i="4" s="1"/>
  <c r="C29" i="4"/>
  <c r="O29" i="4" s="1"/>
  <c r="C30" i="4"/>
  <c r="O30" i="4" s="1"/>
  <c r="C31" i="4"/>
  <c r="T55" i="1"/>
  <c r="T56" i="1"/>
  <c r="T57" i="1"/>
  <c r="R55" i="1"/>
  <c r="R56" i="1"/>
  <c r="R57" i="1"/>
  <c r="I56" i="1"/>
  <c r="S56" i="1" s="1"/>
  <c r="I57" i="1"/>
  <c r="S57" i="1" s="1"/>
  <c r="E56" i="1"/>
  <c r="E57" i="1"/>
  <c r="O50" i="5" l="1"/>
  <c r="O47" i="5"/>
  <c r="O104" i="5" s="1"/>
  <c r="O169" i="7"/>
  <c r="G597" i="22"/>
  <c r="G30" i="5"/>
  <c r="P48" i="6"/>
  <c r="P42" i="5"/>
  <c r="P104" i="5"/>
  <c r="O42" i="5"/>
  <c r="B141" i="7"/>
  <c r="C141" i="7" s="1"/>
  <c r="O116" i="4"/>
  <c r="Y97" i="40"/>
  <c r="AD73" i="40"/>
  <c r="AD97" i="40"/>
  <c r="AI97" i="40"/>
  <c r="T97" i="40"/>
  <c r="AN97" i="40"/>
  <c r="T129" i="40"/>
  <c r="AN129" i="40"/>
  <c r="AI129" i="40"/>
  <c r="T48" i="40"/>
  <c r="AN48" i="40"/>
  <c r="AD108" i="40"/>
  <c r="AC152" i="40"/>
  <c r="T42" i="40"/>
  <c r="AN42" i="40"/>
  <c r="AI42" i="40"/>
  <c r="AD42" i="40"/>
  <c r="AI92" i="40"/>
  <c r="AD129" i="40"/>
  <c r="Y129" i="40"/>
  <c r="AI48" i="40"/>
  <c r="AD48" i="40"/>
  <c r="T119" i="40"/>
  <c r="AN119" i="40"/>
  <c r="AN168" i="40"/>
  <c r="AK177" i="40"/>
  <c r="AD11" i="40"/>
  <c r="Y11" i="40"/>
  <c r="T11" i="40"/>
  <c r="AN11" i="40"/>
  <c r="AI11" i="40"/>
  <c r="Y42" i="40"/>
  <c r="Y48" i="40"/>
  <c r="AK168" i="40"/>
  <c r="Y52" i="40"/>
  <c r="T73" i="40"/>
  <c r="AN73" i="40"/>
  <c r="T92" i="40"/>
  <c r="AN92" i="40"/>
  <c r="Y119" i="40"/>
  <c r="AD21" i="40"/>
  <c r="Y21" i="40"/>
  <c r="T21" i="40"/>
  <c r="AN21" i="40"/>
  <c r="AI21" i="40"/>
  <c r="T52" i="40"/>
  <c r="AN52" i="40"/>
  <c r="AI52" i="40"/>
  <c r="AD52" i="40"/>
  <c r="Y65" i="40"/>
  <c r="AI73" i="40"/>
  <c r="T108" i="40"/>
  <c r="AN108" i="40"/>
  <c r="AI108" i="40"/>
  <c r="AK181" i="40"/>
  <c r="AK183" i="40"/>
  <c r="Y73" i="40"/>
  <c r="T65" i="40"/>
  <c r="AN65" i="40"/>
  <c r="AI65" i="40"/>
  <c r="AD65" i="40"/>
  <c r="AD82" i="40"/>
  <c r="Y86" i="40"/>
  <c r="T86" i="40"/>
  <c r="AN86" i="40"/>
  <c r="AI86" i="40"/>
  <c r="AD86" i="40"/>
  <c r="Y108" i="40"/>
  <c r="O48" i="6"/>
  <c r="L30" i="4"/>
  <c r="L26" i="4"/>
  <c r="P43" i="6"/>
  <c r="C30" i="6"/>
  <c r="O42" i="6" s="1"/>
  <c r="H30" i="6"/>
  <c r="O47" i="6" s="1"/>
  <c r="N30" i="4"/>
  <c r="N26" i="4"/>
  <c r="L28" i="4"/>
  <c r="N31" i="4"/>
  <c r="N27" i="4"/>
  <c r="N29" i="4"/>
  <c r="L31" i="4"/>
  <c r="L27" i="4"/>
  <c r="C31" i="6"/>
  <c r="P42" i="6" s="1"/>
  <c r="D30" i="6"/>
  <c r="O43" i="6" s="1"/>
  <c r="H31" i="6"/>
  <c r="P47" i="6" s="1"/>
  <c r="P6" i="7"/>
  <c r="B143" i="7"/>
  <c r="C143" i="7" s="1"/>
  <c r="M40" i="40"/>
  <c r="M87" i="40"/>
  <c r="AK169" i="40"/>
  <c r="AN170" i="40"/>
  <c r="M31" i="40"/>
  <c r="M84" i="40"/>
  <c r="AK172" i="40"/>
  <c r="AK180" i="40"/>
  <c r="AK185" i="40"/>
  <c r="T139" i="40"/>
  <c r="AK170" i="40"/>
  <c r="AN171" i="40"/>
  <c r="AK175" i="40"/>
  <c r="AK176" i="40"/>
  <c r="AK182" i="40"/>
  <c r="AO184" i="40"/>
  <c r="AN185" i="40"/>
  <c r="AO171" i="40"/>
  <c r="AK179" i="40"/>
  <c r="M38" i="40"/>
  <c r="AL169" i="40"/>
  <c r="AP169" i="40" s="1"/>
  <c r="M43" i="40"/>
  <c r="M94" i="40"/>
  <c r="L178" i="40"/>
  <c r="AO178" i="40" s="1"/>
  <c r="M130" i="40"/>
  <c r="AN181" i="40"/>
  <c r="M105" i="40"/>
  <c r="AL181" i="40"/>
  <c r="AP181" i="40" s="1"/>
  <c r="M46" i="40"/>
  <c r="I178" i="40"/>
  <c r="AL178" i="40" s="1"/>
  <c r="Y166" i="40"/>
  <c r="V139" i="40"/>
  <c r="AA9" i="40"/>
  <c r="AL175" i="40"/>
  <c r="AP175" i="40" s="1"/>
  <c r="M175" i="40"/>
  <c r="AO169" i="40"/>
  <c r="S166" i="40"/>
  <c r="S139" i="40"/>
  <c r="AA186" i="40"/>
  <c r="AJ186" i="40"/>
  <c r="AO185" i="40"/>
  <c r="AD9" i="40"/>
  <c r="T82" i="40"/>
  <c r="AN82" i="40"/>
  <c r="AI82" i="40"/>
  <c r="Y92" i="40"/>
  <c r="AD119" i="40"/>
  <c r="Y139" i="40"/>
  <c r="AF186" i="40"/>
  <c r="AK171" i="40"/>
  <c r="AK184" i="40"/>
  <c r="AL184" i="40"/>
  <c r="AP184" i="40" s="1"/>
  <c r="Q166" i="40"/>
  <c r="Q139" i="40"/>
  <c r="X9" i="40"/>
  <c r="U9" i="40"/>
  <c r="Y82" i="40"/>
  <c r="AD92" i="40"/>
  <c r="J178" i="40"/>
  <c r="J175" i="40"/>
  <c r="AI119" i="40"/>
  <c r="P139" i="40"/>
  <c r="AO168" i="40"/>
  <c r="AN169" i="40"/>
  <c r="AL170" i="40"/>
  <c r="AP170" i="40" s="1"/>
  <c r="M170" i="40"/>
  <c r="AL171" i="40"/>
  <c r="AP171" i="40" s="1"/>
  <c r="AO175" i="40"/>
  <c r="AG186" i="40"/>
  <c r="AK167" i="40"/>
  <c r="AO170" i="40"/>
  <c r="AK178" i="40"/>
  <c r="AN184" i="40"/>
  <c r="AL185" i="40"/>
  <c r="AP185" i="40" s="1"/>
  <c r="M185" i="40"/>
  <c r="T186" i="40"/>
  <c r="AI186" i="40"/>
  <c r="AL168" i="40"/>
  <c r="AP168" i="40" s="1"/>
  <c r="M168" i="40"/>
  <c r="AK173" i="40"/>
  <c r="AK174" i="40"/>
  <c r="AO181" i="40"/>
  <c r="K900" i="3"/>
  <c r="G31" i="6"/>
  <c r="M31" i="5"/>
  <c r="M30" i="5"/>
  <c r="G28" i="4"/>
  <c r="G31" i="4"/>
  <c r="O31" i="4"/>
  <c r="G30" i="4"/>
  <c r="G26" i="4"/>
  <c r="N28" i="4"/>
  <c r="G27" i="4"/>
  <c r="O27" i="4"/>
  <c r="G29" i="4"/>
  <c r="M29" i="4" s="1"/>
  <c r="N49" i="21"/>
  <c r="O109" i="5" l="1"/>
  <c r="O99" i="5"/>
  <c r="O45" i="5"/>
  <c r="P169" i="7"/>
  <c r="H597" i="22"/>
  <c r="P50" i="6"/>
  <c r="P104" i="6"/>
  <c r="P109" i="6"/>
  <c r="P99" i="6"/>
  <c r="O109" i="6"/>
  <c r="O99" i="6"/>
  <c r="P109" i="5"/>
  <c r="P99" i="5"/>
  <c r="P45" i="5"/>
  <c r="O50" i="6"/>
  <c r="O104" i="6"/>
  <c r="O87" i="5"/>
  <c r="M30" i="4"/>
  <c r="M27" i="4"/>
  <c r="P45" i="6"/>
  <c r="P82" i="6" s="1"/>
  <c r="L31" i="6"/>
  <c r="M31" i="6" s="1"/>
  <c r="O45" i="6"/>
  <c r="O82" i="6" s="1"/>
  <c r="M26" i="4"/>
  <c r="M28" i="4"/>
  <c r="M31" i="4"/>
  <c r="L30" i="6"/>
  <c r="G30" i="6"/>
  <c r="M178" i="40"/>
  <c r="AA139" i="40"/>
  <c r="AD166" i="40"/>
  <c r="AF9" i="40"/>
  <c r="AN175" i="40"/>
  <c r="AF166" i="40"/>
  <c r="AD139" i="40"/>
  <c r="AI9" i="40"/>
  <c r="AK186" i="40"/>
  <c r="AN178" i="40"/>
  <c r="AP178" i="40" s="1"/>
  <c r="W166" i="40"/>
  <c r="Z9" i="40"/>
  <c r="U139" i="40"/>
  <c r="Z166" i="40"/>
  <c r="X139" i="40"/>
  <c r="AC9" i="40"/>
  <c r="Q169" i="7" l="1"/>
  <c r="J597" i="22" s="1"/>
  <c r="I597" i="22"/>
  <c r="O87" i="6"/>
  <c r="P36" i="6"/>
  <c r="O82" i="5"/>
  <c r="P63" i="6"/>
  <c r="P58" i="5"/>
  <c r="P82" i="5"/>
  <c r="O52" i="5"/>
  <c r="P75" i="6"/>
  <c r="P87" i="6"/>
  <c r="O52" i="6"/>
  <c r="O92" i="6" s="1"/>
  <c r="P52" i="6"/>
  <c r="P92" i="6" s="1"/>
  <c r="P58" i="6"/>
  <c r="M30" i="6"/>
  <c r="O53" i="6" s="1"/>
  <c r="AE166" i="40"/>
  <c r="AC139" i="40"/>
  <c r="AH9" i="40"/>
  <c r="AK166" i="40"/>
  <c r="AI139" i="40"/>
  <c r="AN9" i="40"/>
  <c r="Z139" i="40"/>
  <c r="AE9" i="40"/>
  <c r="AB166" i="40"/>
  <c r="AF139" i="40"/>
  <c r="AK9" i="40"/>
  <c r="AI166" i="40"/>
  <c r="L10" i="21"/>
  <c r="L137" i="21" s="1"/>
  <c r="P10" i="21"/>
  <c r="L94" i="21"/>
  <c r="P94" i="21" s="1"/>
  <c r="L49" i="21"/>
  <c r="L142" i="21" s="1"/>
  <c r="O49" i="21"/>
  <c r="M49" i="21"/>
  <c r="X2" i="21"/>
  <c r="Z2" i="21" s="1"/>
  <c r="L149" i="21" l="1"/>
  <c r="O92" i="5"/>
  <c r="O75" i="5"/>
  <c r="O75" i="6"/>
  <c r="P53" i="6"/>
  <c r="P68" i="6"/>
  <c r="AP166" i="40"/>
  <c r="AT166" i="40" s="1"/>
  <c r="AN139" i="40"/>
  <c r="AN166" i="40"/>
  <c r="AR166" i="40" s="1"/>
  <c r="AK139" i="40"/>
  <c r="AG166" i="40"/>
  <c r="AJ9" i="40"/>
  <c r="AE139" i="40"/>
  <c r="AJ166" i="40"/>
  <c r="AH139" i="40"/>
  <c r="AM9" i="40"/>
  <c r="L129" i="21"/>
  <c r="L131" i="21" s="1"/>
  <c r="P49" i="21"/>
  <c r="H92" i="31"/>
  <c r="H93" i="31" s="1"/>
  <c r="G92" i="31"/>
  <c r="G93" i="31" s="1"/>
  <c r="F92" i="31"/>
  <c r="F93" i="31" s="1"/>
  <c r="E675" i="22"/>
  <c r="F550" i="22"/>
  <c r="E550" i="22"/>
  <c r="D728" i="22"/>
  <c r="C482" i="22"/>
  <c r="D482" i="22" s="1"/>
  <c r="E482" i="22" s="1"/>
  <c r="F482" i="22" s="1"/>
  <c r="G482" i="22" s="1"/>
  <c r="H482" i="22" s="1"/>
  <c r="I482" i="22" s="1"/>
  <c r="J482" i="22" s="1"/>
  <c r="C481" i="22"/>
  <c r="D481" i="22" s="1"/>
  <c r="E481" i="22" s="1"/>
  <c r="B482" i="22"/>
  <c r="B481" i="22"/>
  <c r="B480" i="22"/>
  <c r="A480" i="22"/>
  <c r="AB67" i="21"/>
  <c r="X67" i="21"/>
  <c r="T67" i="21"/>
  <c r="P67" i="21"/>
  <c r="K67" i="21"/>
  <c r="C477" i="22"/>
  <c r="D477" i="22" s="1"/>
  <c r="E477" i="22" s="1"/>
  <c r="F477" i="22" s="1"/>
  <c r="G477" i="22" s="1"/>
  <c r="H477" i="22" s="1"/>
  <c r="I477" i="22" s="1"/>
  <c r="J477" i="22" s="1"/>
  <c r="B477" i="22"/>
  <c r="C293" i="22"/>
  <c r="B293" i="22"/>
  <c r="B292" i="22"/>
  <c r="A292" i="22"/>
  <c r="D293" i="22"/>
  <c r="E293" i="22" s="1"/>
  <c r="AB44" i="21"/>
  <c r="X44" i="21"/>
  <c r="T44" i="21"/>
  <c r="P44" i="21"/>
  <c r="K44" i="21"/>
  <c r="AA21" i="21"/>
  <c r="Z21" i="21"/>
  <c r="Y21" i="21"/>
  <c r="W21" i="21"/>
  <c r="V21" i="21"/>
  <c r="U21" i="21"/>
  <c r="O21" i="21"/>
  <c r="N21" i="21"/>
  <c r="M21" i="21"/>
  <c r="J21" i="21"/>
  <c r="I21" i="21"/>
  <c r="H21" i="21"/>
  <c r="C276" i="22"/>
  <c r="D276" i="22" s="1"/>
  <c r="B275" i="22"/>
  <c r="A275" i="22"/>
  <c r="AB40" i="21"/>
  <c r="X40" i="21"/>
  <c r="T40" i="21"/>
  <c r="P40" i="21"/>
  <c r="K40" i="21"/>
  <c r="L154" i="21" l="1"/>
  <c r="L156" i="21" s="1"/>
  <c r="I94" i="31"/>
  <c r="J94" i="31" s="1"/>
  <c r="K94" i="31" s="1"/>
  <c r="L94" i="31" s="1"/>
  <c r="M94" i="31" s="1"/>
  <c r="AL166" i="40"/>
  <c r="AQ166" i="40" s="1"/>
  <c r="AJ139" i="40"/>
  <c r="AO166" i="40"/>
  <c r="AS166" i="40" s="1"/>
  <c r="AM139" i="40"/>
  <c r="F481" i="22"/>
  <c r="E483" i="22"/>
  <c r="E67" i="21" s="1"/>
  <c r="D483" i="22"/>
  <c r="D67" i="21" s="1"/>
  <c r="F293" i="22"/>
  <c r="F295" i="22" s="1"/>
  <c r="F44" i="21" s="1"/>
  <c r="E295" i="22"/>
  <c r="E44" i="21" s="1"/>
  <c r="D295" i="22"/>
  <c r="E276" i="22"/>
  <c r="F483" i="22" l="1"/>
  <c r="F67" i="21" s="1"/>
  <c r="G67" i="21" s="1"/>
  <c r="G481" i="22"/>
  <c r="K295" i="22"/>
  <c r="D44" i="21"/>
  <c r="G44" i="21" s="1"/>
  <c r="K483" i="22"/>
  <c r="E278" i="22"/>
  <c r="E40" i="21" s="1"/>
  <c r="F276" i="22"/>
  <c r="F278" i="22" s="1"/>
  <c r="F40" i="21" s="1"/>
  <c r="G483" i="22" l="1"/>
  <c r="H481" i="22"/>
  <c r="J50" i="21"/>
  <c r="I50" i="21"/>
  <c r="H50" i="21"/>
  <c r="B151" i="21"/>
  <c r="A151" i="21"/>
  <c r="I481" i="22" l="1"/>
  <c r="H483" i="22"/>
  <c r="J69" i="40" s="1"/>
  <c r="I69" i="40"/>
  <c r="AB125" i="21"/>
  <c r="X125" i="21"/>
  <c r="T125" i="21"/>
  <c r="K125" i="21"/>
  <c r="G125" i="21"/>
  <c r="B374" i="22"/>
  <c r="C374" i="22"/>
  <c r="D374" i="22" s="1"/>
  <c r="E374" i="22" s="1"/>
  <c r="B373" i="22"/>
  <c r="A373" i="22"/>
  <c r="AB62" i="21"/>
  <c r="X62" i="21"/>
  <c r="T62" i="21"/>
  <c r="K62" i="21"/>
  <c r="AA105" i="21"/>
  <c r="Z105" i="21"/>
  <c r="Y105" i="21"/>
  <c r="W105" i="21"/>
  <c r="V105" i="21"/>
  <c r="U105" i="21"/>
  <c r="S105" i="21"/>
  <c r="R105" i="21"/>
  <c r="Q105" i="21"/>
  <c r="J105" i="21"/>
  <c r="I105" i="21"/>
  <c r="H105" i="21"/>
  <c r="A722" i="22"/>
  <c r="B722" i="22"/>
  <c r="B723" i="22"/>
  <c r="C117" i="40" s="1"/>
  <c r="J481" i="22" l="1"/>
  <c r="J483" i="22" s="1"/>
  <c r="L69" i="40" s="1"/>
  <c r="I483" i="22"/>
  <c r="S94" i="21"/>
  <c r="W94" i="21" s="1"/>
  <c r="Z145" i="40"/>
  <c r="P125" i="21"/>
  <c r="F374" i="22"/>
  <c r="E375" i="22"/>
  <c r="E62" i="21" s="1"/>
  <c r="D375" i="22"/>
  <c r="D62" i="21" s="1"/>
  <c r="B683" i="22"/>
  <c r="A683" i="22"/>
  <c r="AA95" i="21"/>
  <c r="Z95" i="21"/>
  <c r="Y95" i="21"/>
  <c r="W95" i="21"/>
  <c r="V95" i="21"/>
  <c r="U95" i="21"/>
  <c r="S95" i="21"/>
  <c r="R95" i="21"/>
  <c r="Q95" i="21"/>
  <c r="J95" i="21"/>
  <c r="I95" i="21"/>
  <c r="H95" i="21"/>
  <c r="B674" i="22"/>
  <c r="B673" i="22"/>
  <c r="B669" i="22"/>
  <c r="B672" i="22"/>
  <c r="A672" i="22"/>
  <c r="B667" i="22"/>
  <c r="A667" i="22"/>
  <c r="F668" i="22"/>
  <c r="E668" i="22"/>
  <c r="F561" i="22"/>
  <c r="E561" i="22"/>
  <c r="D561" i="22"/>
  <c r="F167" i="21"/>
  <c r="E167" i="21"/>
  <c r="D167" i="21"/>
  <c r="F168" i="21"/>
  <c r="E168" i="21"/>
  <c r="D168" i="21"/>
  <c r="D222" i="33"/>
  <c r="D221" i="33"/>
  <c r="D220" i="33"/>
  <c r="D219" i="33"/>
  <c r="D218" i="33"/>
  <c r="D217" i="33"/>
  <c r="D216" i="33"/>
  <c r="B206" i="33"/>
  <c r="A206" i="33"/>
  <c r="F221" i="33"/>
  <c r="E220" i="33"/>
  <c r="F219" i="33"/>
  <c r="E219" i="33"/>
  <c r="F218" i="33"/>
  <c r="E218" i="33"/>
  <c r="F217" i="33"/>
  <c r="E217" i="33"/>
  <c r="E216" i="33"/>
  <c r="B531" i="22"/>
  <c r="B530" i="22"/>
  <c r="C476" i="22"/>
  <c r="D476" i="22" s="1"/>
  <c r="D478" i="22" s="1"/>
  <c r="B476" i="22"/>
  <c r="E389" i="22"/>
  <c r="F389" i="22" s="1"/>
  <c r="D389" i="22"/>
  <c r="C42" i="22"/>
  <c r="C272" i="22" s="1"/>
  <c r="D272" i="22" s="1"/>
  <c r="E272" i="22" s="1"/>
  <c r="F272" i="22" s="1"/>
  <c r="G272" i="22" s="1"/>
  <c r="H272" i="22" s="1"/>
  <c r="I272" i="22" s="1"/>
  <c r="J272" i="22" s="1"/>
  <c r="B272" i="22"/>
  <c r="B268" i="22"/>
  <c r="A268" i="22"/>
  <c r="G221" i="33" l="1"/>
  <c r="K69" i="40"/>
  <c r="L483" i="22"/>
  <c r="F375" i="22"/>
  <c r="F62" i="21" s="1"/>
  <c r="G62" i="21" s="1"/>
  <c r="G374" i="22"/>
  <c r="M69" i="40"/>
  <c r="AB152" i="40"/>
  <c r="AB157" i="40" s="1"/>
  <c r="AB159" i="40" s="1"/>
  <c r="AB132" i="40"/>
  <c r="AB134" i="40" s="1"/>
  <c r="R94" i="21"/>
  <c r="V94" i="21" s="1"/>
  <c r="Q94" i="21"/>
  <c r="U94" i="21" s="1"/>
  <c r="AD51" i="40"/>
  <c r="Z140" i="40"/>
  <c r="AD10" i="40"/>
  <c r="AC132" i="40"/>
  <c r="G220" i="33"/>
  <c r="G218" i="33"/>
  <c r="P62" i="21"/>
  <c r="G219" i="33"/>
  <c r="G216" i="33"/>
  <c r="G217" i="33"/>
  <c r="D66" i="21"/>
  <c r="E476" i="22"/>
  <c r="E478" i="22" s="1"/>
  <c r="G222" i="33" l="1"/>
  <c r="G223" i="33" s="1"/>
  <c r="C531" i="22" s="1"/>
  <c r="D531" i="22" s="1"/>
  <c r="K375" i="22"/>
  <c r="H374" i="22"/>
  <c r="G375" i="22"/>
  <c r="AA132" i="40"/>
  <c r="Z132" i="40"/>
  <c r="AD145" i="40"/>
  <c r="AC157" i="40"/>
  <c r="X94" i="21"/>
  <c r="Z152" i="40"/>
  <c r="Z157" i="40" s="1"/>
  <c r="Z158" i="40" s="1"/>
  <c r="AD96" i="40"/>
  <c r="AD132" i="40" s="1"/>
  <c r="T94" i="21"/>
  <c r="AD140" i="40"/>
  <c r="AA152" i="40"/>
  <c r="AA157" i="40" s="1"/>
  <c r="E531" i="22"/>
  <c r="F531" i="22" s="1"/>
  <c r="D534" i="22"/>
  <c r="D78" i="21" s="1"/>
  <c r="E66" i="21"/>
  <c r="F476" i="22"/>
  <c r="Z133" i="40" l="1"/>
  <c r="I64" i="40"/>
  <c r="I374" i="22"/>
  <c r="H375" i="22"/>
  <c r="J64" i="40" s="1"/>
  <c r="F534" i="22"/>
  <c r="F78" i="21" s="1"/>
  <c r="G531" i="22"/>
  <c r="F478" i="22"/>
  <c r="F66" i="21" s="1"/>
  <c r="G476" i="22"/>
  <c r="AD157" i="40"/>
  <c r="AD152" i="40"/>
  <c r="E534" i="22"/>
  <c r="E78" i="21" s="1"/>
  <c r="J374" i="22" l="1"/>
  <c r="J375" i="22" s="1"/>
  <c r="L64" i="40" s="1"/>
  <c r="I375" i="22"/>
  <c r="L375" i="22" s="1"/>
  <c r="K478" i="22"/>
  <c r="G478" i="22"/>
  <c r="H476" i="22"/>
  <c r="H531" i="22"/>
  <c r="G534" i="22"/>
  <c r="K534" i="22"/>
  <c r="C196" i="22"/>
  <c r="D196" i="22" s="1"/>
  <c r="E196" i="22" s="1"/>
  <c r="F196" i="22" s="1"/>
  <c r="G196" i="22" s="1"/>
  <c r="H196" i="22" s="1"/>
  <c r="I196" i="22" s="1"/>
  <c r="J196" i="22" s="1"/>
  <c r="C198" i="22"/>
  <c r="B198" i="22"/>
  <c r="C29" i="40" s="1"/>
  <c r="B196" i="22"/>
  <c r="C104" i="39"/>
  <c r="C103" i="39"/>
  <c r="C105" i="39" s="1"/>
  <c r="C98" i="39"/>
  <c r="C97" i="39"/>
  <c r="C96" i="39"/>
  <c r="C99" i="39" s="1"/>
  <c r="Y91" i="39"/>
  <c r="Z91" i="39" s="1"/>
  <c r="U91" i="39"/>
  <c r="AA91" i="39" s="1"/>
  <c r="D69" i="41" s="1"/>
  <c r="S91" i="39"/>
  <c r="T91" i="39" s="1"/>
  <c r="AA90" i="39"/>
  <c r="Y90" i="39"/>
  <c r="Z90" i="39" s="1"/>
  <c r="AC90" i="39" s="1"/>
  <c r="S90" i="39"/>
  <c r="T90" i="39" s="1"/>
  <c r="H88" i="39"/>
  <c r="Y86" i="39"/>
  <c r="Z86" i="39" s="1"/>
  <c r="R86" i="39"/>
  <c r="Q86" i="39"/>
  <c r="P86" i="39"/>
  <c r="L86" i="39"/>
  <c r="H86" i="39"/>
  <c r="Y85" i="39"/>
  <c r="Z85" i="39" s="1"/>
  <c r="R85" i="39"/>
  <c r="P85" i="39"/>
  <c r="Q85" i="39" s="1"/>
  <c r="L85" i="39"/>
  <c r="H85" i="39"/>
  <c r="Y84" i="39"/>
  <c r="Z84" i="39" s="1"/>
  <c r="R84" i="39"/>
  <c r="Q84" i="39"/>
  <c r="P84" i="39"/>
  <c r="L84" i="39"/>
  <c r="H84" i="39"/>
  <c r="Y83" i="39"/>
  <c r="Z83" i="39" s="1"/>
  <c r="R83" i="39"/>
  <c r="P83" i="39"/>
  <c r="Q83" i="39" s="1"/>
  <c r="L83" i="39"/>
  <c r="L82" i="39" s="1"/>
  <c r="H83" i="39"/>
  <c r="AC82" i="39"/>
  <c r="W82" i="39"/>
  <c r="Z82" i="39" s="1"/>
  <c r="K82" i="39"/>
  <c r="J82" i="39"/>
  <c r="H82" i="39"/>
  <c r="F82" i="39"/>
  <c r="D82" i="39"/>
  <c r="C82" i="39"/>
  <c r="C84" i="39" s="1"/>
  <c r="Y81" i="39"/>
  <c r="Z81" i="39" s="1"/>
  <c r="R81" i="39"/>
  <c r="P81" i="39"/>
  <c r="Q81" i="39" s="1"/>
  <c r="H81" i="39"/>
  <c r="C81" i="39"/>
  <c r="E81" i="39" s="1"/>
  <c r="Y80" i="39"/>
  <c r="Z80" i="39" s="1"/>
  <c r="R80" i="39"/>
  <c r="P80" i="39"/>
  <c r="L80" i="39"/>
  <c r="H80" i="39"/>
  <c r="C80" i="39"/>
  <c r="G80" i="39" s="1"/>
  <c r="R79" i="39"/>
  <c r="P79" i="39"/>
  <c r="Q79" i="39" s="1"/>
  <c r="L79" i="39"/>
  <c r="H79" i="39"/>
  <c r="C79" i="39"/>
  <c r="R78" i="39"/>
  <c r="P78" i="39"/>
  <c r="Q78" i="39" s="1"/>
  <c r="H78" i="39"/>
  <c r="C78" i="39"/>
  <c r="E78" i="39" s="1"/>
  <c r="R77" i="39"/>
  <c r="P77" i="39"/>
  <c r="Q77" i="39" s="1"/>
  <c r="H77" i="39"/>
  <c r="C77" i="39"/>
  <c r="E77" i="39" s="1"/>
  <c r="Y76" i="39"/>
  <c r="Z76" i="39" s="1"/>
  <c r="R76" i="39"/>
  <c r="P76" i="39"/>
  <c r="Q76" i="39" s="1"/>
  <c r="L76" i="39"/>
  <c r="L75" i="39" s="1"/>
  <c r="H76" i="39"/>
  <c r="C76" i="39"/>
  <c r="G76" i="39" s="1"/>
  <c r="K75" i="39"/>
  <c r="J75" i="39"/>
  <c r="F75" i="39"/>
  <c r="D75" i="39"/>
  <c r="H75" i="39" s="1"/>
  <c r="R74" i="39"/>
  <c r="Q74" i="39"/>
  <c r="S74" i="39" s="1"/>
  <c r="P74" i="39"/>
  <c r="H74" i="39"/>
  <c r="G74" i="39"/>
  <c r="E74" i="39"/>
  <c r="R73" i="39"/>
  <c r="P73" i="39"/>
  <c r="Q73" i="39" s="1"/>
  <c r="H73" i="39"/>
  <c r="C73" i="39"/>
  <c r="G73" i="39" s="1"/>
  <c r="R72" i="39"/>
  <c r="P72" i="39"/>
  <c r="Q72" i="39" s="1"/>
  <c r="L72" i="39"/>
  <c r="H72" i="39"/>
  <c r="C72" i="39"/>
  <c r="G72" i="39" s="1"/>
  <c r="Y71" i="39"/>
  <c r="Z71" i="39" s="1"/>
  <c r="R71" i="39"/>
  <c r="P71" i="39"/>
  <c r="Q71" i="39" s="1"/>
  <c r="L71" i="39"/>
  <c r="L67" i="39" s="1"/>
  <c r="H71" i="39"/>
  <c r="C71" i="39"/>
  <c r="E71" i="39" s="1"/>
  <c r="R70" i="39"/>
  <c r="P70" i="39"/>
  <c r="Q70" i="39" s="1"/>
  <c r="H70" i="39"/>
  <c r="C70" i="39"/>
  <c r="G70" i="39" s="1"/>
  <c r="R69" i="39"/>
  <c r="P69" i="39"/>
  <c r="Q69" i="39" s="1"/>
  <c r="H69" i="39"/>
  <c r="C69" i="39"/>
  <c r="E69" i="39" s="1"/>
  <c r="R68" i="39"/>
  <c r="Q68" i="39"/>
  <c r="P68" i="39"/>
  <c r="H68" i="39"/>
  <c r="C68" i="39"/>
  <c r="G68" i="39" s="1"/>
  <c r="K67" i="39"/>
  <c r="J67" i="39"/>
  <c r="F67" i="39"/>
  <c r="D67" i="39"/>
  <c r="H67" i="39" s="1"/>
  <c r="Y66" i="39"/>
  <c r="Z66" i="39" s="1"/>
  <c r="R66" i="39"/>
  <c r="P66" i="39"/>
  <c r="H66" i="39"/>
  <c r="C66" i="39"/>
  <c r="E66" i="39" s="1"/>
  <c r="R65" i="39"/>
  <c r="P65" i="39"/>
  <c r="Q65" i="39" s="1"/>
  <c r="H65" i="39"/>
  <c r="C65" i="39"/>
  <c r="G65" i="39" s="1"/>
  <c r="R64" i="39"/>
  <c r="P64" i="39"/>
  <c r="Q64" i="39" s="1"/>
  <c r="L64" i="39"/>
  <c r="H64" i="39"/>
  <c r="C64" i="39"/>
  <c r="G64" i="39" s="1"/>
  <c r="R63" i="39"/>
  <c r="P63" i="39"/>
  <c r="Q63" i="39" s="1"/>
  <c r="L63" i="39"/>
  <c r="L57" i="39" s="1"/>
  <c r="H63" i="39"/>
  <c r="C63" i="39"/>
  <c r="G63" i="39" s="1"/>
  <c r="R62" i="39"/>
  <c r="Q62" i="39"/>
  <c r="P62" i="39"/>
  <c r="H62" i="39"/>
  <c r="C62" i="39"/>
  <c r="G62" i="39" s="1"/>
  <c r="R61" i="39"/>
  <c r="P61" i="39"/>
  <c r="Q61" i="39" s="1"/>
  <c r="L61" i="39"/>
  <c r="H61" i="39"/>
  <c r="C61" i="39"/>
  <c r="E61" i="39" s="1"/>
  <c r="R60" i="39"/>
  <c r="P60" i="39"/>
  <c r="Q60" i="39" s="1"/>
  <c r="L60" i="39"/>
  <c r="H60" i="39"/>
  <c r="C60" i="39"/>
  <c r="G60" i="39" s="1"/>
  <c r="R59" i="39"/>
  <c r="P59" i="39"/>
  <c r="Q59" i="39" s="1"/>
  <c r="H59" i="39"/>
  <c r="C59" i="39"/>
  <c r="E59" i="39" s="1"/>
  <c r="R58" i="39"/>
  <c r="P58" i="39"/>
  <c r="Q58" i="39" s="1"/>
  <c r="H58" i="39"/>
  <c r="C58" i="39"/>
  <c r="E58" i="39" s="1"/>
  <c r="K57" i="39"/>
  <c r="J57" i="39"/>
  <c r="F57" i="39"/>
  <c r="D57" i="39"/>
  <c r="H57" i="39" s="1"/>
  <c r="Y56" i="39"/>
  <c r="R56" i="39"/>
  <c r="P56" i="39"/>
  <c r="Q56" i="39" s="1"/>
  <c r="H56" i="39"/>
  <c r="C56" i="39"/>
  <c r="R55" i="39"/>
  <c r="P55" i="39"/>
  <c r="Q55" i="39" s="1"/>
  <c r="L55" i="39"/>
  <c r="H55" i="39"/>
  <c r="C55" i="39"/>
  <c r="E55" i="39" s="1"/>
  <c r="Y54" i="39"/>
  <c r="Z54" i="39" s="1"/>
  <c r="R54" i="39"/>
  <c r="P54" i="39"/>
  <c r="Q54" i="39" s="1"/>
  <c r="L54" i="39"/>
  <c r="H54" i="39"/>
  <c r="C54" i="39"/>
  <c r="K53" i="39"/>
  <c r="J53" i="39"/>
  <c r="F53" i="39"/>
  <c r="D53" i="39"/>
  <c r="R52" i="39"/>
  <c r="P52" i="39"/>
  <c r="Q52" i="39" s="1"/>
  <c r="H52" i="39"/>
  <c r="C52" i="39"/>
  <c r="E52" i="39" s="1"/>
  <c r="R51" i="39"/>
  <c r="P51" i="39"/>
  <c r="Q51" i="39" s="1"/>
  <c r="H51" i="39"/>
  <c r="C51" i="39"/>
  <c r="R50" i="39"/>
  <c r="P50" i="39"/>
  <c r="Q50" i="39" s="1"/>
  <c r="H50" i="39"/>
  <c r="C50" i="39"/>
  <c r="E50" i="39" s="1"/>
  <c r="R49" i="39"/>
  <c r="Q49" i="39"/>
  <c r="P49" i="39"/>
  <c r="L49" i="39"/>
  <c r="H49" i="39"/>
  <c r="C49" i="39"/>
  <c r="E49" i="39" s="1"/>
  <c r="R48" i="39"/>
  <c r="P48" i="39"/>
  <c r="Q48" i="39" s="1"/>
  <c r="H48" i="39"/>
  <c r="C48" i="39"/>
  <c r="G48" i="39" s="1"/>
  <c r="Y47" i="39"/>
  <c r="Z47" i="39" s="1"/>
  <c r="R47" i="39"/>
  <c r="P47" i="39"/>
  <c r="Q47" i="39" s="1"/>
  <c r="L47" i="39"/>
  <c r="H47" i="39"/>
  <c r="C47" i="39"/>
  <c r="G47" i="39" s="1"/>
  <c r="Y46" i="39"/>
  <c r="Z46" i="39" s="1"/>
  <c r="R46" i="39"/>
  <c r="P46" i="39"/>
  <c r="Q46" i="39" s="1"/>
  <c r="L46" i="39"/>
  <c r="L45" i="39" s="1"/>
  <c r="H46" i="39"/>
  <c r="C46" i="39"/>
  <c r="G46" i="39" s="1"/>
  <c r="K45" i="39"/>
  <c r="J45" i="39"/>
  <c r="F45" i="39"/>
  <c r="D45" i="39"/>
  <c r="H45" i="39" s="1"/>
  <c r="Y44" i="39"/>
  <c r="Z44" i="39" s="1"/>
  <c r="R44" i="39"/>
  <c r="P44" i="39"/>
  <c r="Q44" i="39" s="1"/>
  <c r="L44" i="39"/>
  <c r="H44" i="39"/>
  <c r="C44" i="39"/>
  <c r="E44" i="39" s="1"/>
  <c r="R43" i="39"/>
  <c r="P43" i="39"/>
  <c r="Q43" i="39" s="1"/>
  <c r="H43" i="39"/>
  <c r="C43" i="39"/>
  <c r="G43" i="39" s="1"/>
  <c r="Y42" i="39"/>
  <c r="R42" i="39"/>
  <c r="P42" i="39"/>
  <c r="Q42" i="39" s="1"/>
  <c r="L42" i="39"/>
  <c r="H42" i="39"/>
  <c r="C42" i="39"/>
  <c r="E42" i="39" s="1"/>
  <c r="Y41" i="39"/>
  <c r="Z41" i="39" s="1"/>
  <c r="R41" i="39"/>
  <c r="P41" i="39"/>
  <c r="Q41" i="39" s="1"/>
  <c r="L41" i="39"/>
  <c r="H41" i="39"/>
  <c r="C41" i="39"/>
  <c r="R40" i="39"/>
  <c r="P40" i="39"/>
  <c r="Q40" i="39" s="1"/>
  <c r="H40" i="39"/>
  <c r="C40" i="39"/>
  <c r="G40" i="39" s="1"/>
  <c r="R39" i="39"/>
  <c r="P39" i="39"/>
  <c r="Q39" i="39" s="1"/>
  <c r="H39" i="39"/>
  <c r="C39" i="39"/>
  <c r="G39" i="39" s="1"/>
  <c r="R38" i="39"/>
  <c r="Q38" i="39"/>
  <c r="P38" i="39"/>
  <c r="H38" i="39"/>
  <c r="C38" i="39"/>
  <c r="G38" i="39" s="1"/>
  <c r="R37" i="39"/>
  <c r="P37" i="39"/>
  <c r="Q37" i="39" s="1"/>
  <c r="H37" i="39"/>
  <c r="C37" i="39"/>
  <c r="E37" i="39" s="1"/>
  <c r="Z36" i="39"/>
  <c r="Y36" i="39"/>
  <c r="R36" i="39"/>
  <c r="P36" i="39"/>
  <c r="Q36" i="39" s="1"/>
  <c r="H36" i="39"/>
  <c r="C36" i="39"/>
  <c r="G36" i="39" s="1"/>
  <c r="L35" i="39"/>
  <c r="K35" i="39"/>
  <c r="J35" i="39"/>
  <c r="F35" i="39"/>
  <c r="D35" i="39"/>
  <c r="H35" i="39" s="1"/>
  <c r="Z34" i="39"/>
  <c r="Y34" i="39"/>
  <c r="R34" i="39"/>
  <c r="P34" i="39"/>
  <c r="Q34" i="39" s="1"/>
  <c r="L34" i="39"/>
  <c r="H34" i="39"/>
  <c r="C34" i="39"/>
  <c r="G34" i="39" s="1"/>
  <c r="R33" i="39"/>
  <c r="P33" i="39"/>
  <c r="Q33" i="39" s="1"/>
  <c r="H33" i="39"/>
  <c r="C33" i="39"/>
  <c r="S33" i="39" s="1"/>
  <c r="Y32" i="39"/>
  <c r="Z32" i="39" s="1"/>
  <c r="R32" i="39"/>
  <c r="P32" i="39"/>
  <c r="Q32" i="39" s="1"/>
  <c r="L32" i="39"/>
  <c r="H32" i="39"/>
  <c r="C32" i="39"/>
  <c r="G32" i="39" s="1"/>
  <c r="Y31" i="39"/>
  <c r="Z31" i="39" s="1"/>
  <c r="R31" i="39"/>
  <c r="P31" i="39"/>
  <c r="Q31" i="39" s="1"/>
  <c r="L31" i="39"/>
  <c r="H31" i="39"/>
  <c r="C31" i="39"/>
  <c r="G31" i="39" s="1"/>
  <c r="R30" i="39"/>
  <c r="P30" i="39"/>
  <c r="Q30" i="39" s="1"/>
  <c r="H30" i="39"/>
  <c r="C30" i="39"/>
  <c r="G30" i="39" s="1"/>
  <c r="R29" i="39"/>
  <c r="P29" i="39"/>
  <c r="Q29" i="39" s="1"/>
  <c r="H29" i="39"/>
  <c r="C29" i="39"/>
  <c r="G29" i="39" s="1"/>
  <c r="Y28" i="39"/>
  <c r="Z28" i="39" s="1"/>
  <c r="R28" i="39"/>
  <c r="P28" i="39"/>
  <c r="Q28" i="39" s="1"/>
  <c r="L28" i="39"/>
  <c r="L27" i="39" s="1"/>
  <c r="H28" i="39"/>
  <c r="C28" i="39"/>
  <c r="G28" i="39" s="1"/>
  <c r="K27" i="39"/>
  <c r="J27" i="39"/>
  <c r="F27" i="39"/>
  <c r="D27" i="39"/>
  <c r="Y26" i="39"/>
  <c r="Z26" i="39" s="1"/>
  <c r="R26" i="39"/>
  <c r="Q26" i="39"/>
  <c r="P26" i="39"/>
  <c r="L26" i="39"/>
  <c r="H26" i="39"/>
  <c r="C26" i="39"/>
  <c r="S26" i="39" s="1"/>
  <c r="Y25" i="39"/>
  <c r="Z25" i="39" s="1"/>
  <c r="R25" i="39"/>
  <c r="P25" i="39"/>
  <c r="Q25" i="39" s="1"/>
  <c r="L25" i="39"/>
  <c r="H25" i="39"/>
  <c r="C25" i="39"/>
  <c r="Y24" i="39"/>
  <c r="Z24" i="39" s="1"/>
  <c r="R24" i="39"/>
  <c r="P24" i="39"/>
  <c r="Q24" i="39" s="1"/>
  <c r="L24" i="39"/>
  <c r="L22" i="39" s="1"/>
  <c r="H24" i="39"/>
  <c r="C24" i="39"/>
  <c r="Y23" i="39"/>
  <c r="R23" i="39"/>
  <c r="P23" i="39"/>
  <c r="Q23" i="39" s="1"/>
  <c r="H23" i="39"/>
  <c r="C23" i="39"/>
  <c r="G23" i="39" s="1"/>
  <c r="K22" i="39"/>
  <c r="J22" i="39"/>
  <c r="F22" i="39"/>
  <c r="D22" i="39"/>
  <c r="Z21" i="39"/>
  <c r="Y21" i="39"/>
  <c r="R21" i="39"/>
  <c r="P21" i="39"/>
  <c r="Q21" i="39" s="1"/>
  <c r="L21" i="39"/>
  <c r="H21" i="39"/>
  <c r="C21" i="39"/>
  <c r="G21" i="39" s="1"/>
  <c r="R20" i="39"/>
  <c r="P20" i="39"/>
  <c r="Q20" i="39" s="1"/>
  <c r="L20" i="39"/>
  <c r="H20" i="39"/>
  <c r="C20" i="39"/>
  <c r="G20" i="39" s="1"/>
  <c r="Z19" i="39"/>
  <c r="Y19" i="39"/>
  <c r="R19" i="39"/>
  <c r="P19" i="39"/>
  <c r="Q19" i="39" s="1"/>
  <c r="L19" i="39"/>
  <c r="H19" i="39"/>
  <c r="C19" i="39"/>
  <c r="G19" i="39" s="1"/>
  <c r="R18" i="39"/>
  <c r="P18" i="39"/>
  <c r="Q18" i="39" s="1"/>
  <c r="L18" i="39"/>
  <c r="H18" i="39"/>
  <c r="C18" i="39"/>
  <c r="G18" i="39" s="1"/>
  <c r="Y17" i="39"/>
  <c r="Z17" i="39" s="1"/>
  <c r="R17" i="39"/>
  <c r="P17" i="39"/>
  <c r="Q17" i="39" s="1"/>
  <c r="L17" i="39"/>
  <c r="H17" i="39"/>
  <c r="C17" i="39"/>
  <c r="G17" i="39" s="1"/>
  <c r="R16" i="39"/>
  <c r="P16" i="39"/>
  <c r="Q16" i="39" s="1"/>
  <c r="H16" i="39"/>
  <c r="C16" i="39"/>
  <c r="G16" i="39" s="1"/>
  <c r="R15" i="39"/>
  <c r="P15" i="39"/>
  <c r="Q15" i="39" s="1"/>
  <c r="L15" i="39"/>
  <c r="H15" i="39"/>
  <c r="C15" i="39"/>
  <c r="Z14" i="39"/>
  <c r="Y14" i="39"/>
  <c r="R14" i="39"/>
  <c r="P14" i="39"/>
  <c r="Q14" i="39" s="1"/>
  <c r="L14" i="39"/>
  <c r="H14" i="39"/>
  <c r="C14" i="39"/>
  <c r="G14" i="39" s="1"/>
  <c r="K13" i="39"/>
  <c r="J13" i="39"/>
  <c r="F13" i="39"/>
  <c r="D13" i="39"/>
  <c r="H13" i="39" s="1"/>
  <c r="R12" i="39"/>
  <c r="P12" i="39"/>
  <c r="Q12" i="39" s="1"/>
  <c r="H12" i="39"/>
  <c r="C12" i="39"/>
  <c r="G12" i="39" s="1"/>
  <c r="R11" i="39"/>
  <c r="P11" i="39"/>
  <c r="Q11" i="39" s="1"/>
  <c r="S11" i="39" s="1"/>
  <c r="H11" i="39"/>
  <c r="R10" i="39"/>
  <c r="P10" i="39"/>
  <c r="C10" i="39"/>
  <c r="R9" i="39"/>
  <c r="Q9" i="39"/>
  <c r="P9" i="39"/>
  <c r="L9" i="39"/>
  <c r="H9" i="39"/>
  <c r="C9" i="39"/>
  <c r="S9" i="39" s="1"/>
  <c r="Q8" i="39"/>
  <c r="L8" i="39"/>
  <c r="L7" i="39" s="1"/>
  <c r="H8" i="39"/>
  <c r="C8" i="39"/>
  <c r="S8" i="39" s="1"/>
  <c r="K7" i="39"/>
  <c r="J7" i="39"/>
  <c r="F7" i="39"/>
  <c r="D7" i="39"/>
  <c r="D87" i="39" s="1"/>
  <c r="Q82" i="39" l="1"/>
  <c r="F87" i="39"/>
  <c r="S15" i="39"/>
  <c r="S25" i="39"/>
  <c r="D177" i="41"/>
  <c r="D176" i="41"/>
  <c r="J87" i="39"/>
  <c r="J89" i="39" s="1"/>
  <c r="J92" i="39" s="1"/>
  <c r="S10" i="39"/>
  <c r="Q10" i="39" s="1"/>
  <c r="T10" i="39" s="1"/>
  <c r="S24" i="39"/>
  <c r="Q45" i="39"/>
  <c r="P45" i="39" s="1"/>
  <c r="S51" i="39"/>
  <c r="D67" i="41"/>
  <c r="D68" i="41"/>
  <c r="E69" i="41"/>
  <c r="F69" i="41"/>
  <c r="G69" i="41" s="1"/>
  <c r="H69" i="41"/>
  <c r="K87" i="39"/>
  <c r="K89" i="39" s="1"/>
  <c r="K92" i="39" s="1"/>
  <c r="L13" i="39"/>
  <c r="H27" i="39"/>
  <c r="S41" i="39"/>
  <c r="S54" i="39"/>
  <c r="S79" i="39"/>
  <c r="AB90" i="39"/>
  <c r="K64" i="40"/>
  <c r="M64" i="40" s="1"/>
  <c r="I476" i="22"/>
  <c r="H478" i="22"/>
  <c r="J68" i="40" s="1"/>
  <c r="I80" i="40"/>
  <c r="I531" i="22"/>
  <c r="H534" i="22"/>
  <c r="J80" i="40" s="1"/>
  <c r="I68" i="40"/>
  <c r="S16" i="39"/>
  <c r="C35" i="39"/>
  <c r="G35" i="39" s="1"/>
  <c r="E60" i="39"/>
  <c r="G78" i="39"/>
  <c r="S78" i="39"/>
  <c r="E80" i="39"/>
  <c r="G10" i="39"/>
  <c r="S55" i="39"/>
  <c r="T55" i="39" s="1"/>
  <c r="U55" i="39" s="1"/>
  <c r="AA55" i="39" s="1"/>
  <c r="G55" i="39"/>
  <c r="S38" i="39"/>
  <c r="T38" i="39" s="1"/>
  <c r="E63" i="39"/>
  <c r="S63" i="39"/>
  <c r="T63" i="39" s="1"/>
  <c r="U63" i="39" s="1"/>
  <c r="AA63" i="39" s="1"/>
  <c r="E29" i="39"/>
  <c r="E62" i="39"/>
  <c r="E38" i="39"/>
  <c r="E48" i="39"/>
  <c r="C57" i="39"/>
  <c r="G57" i="39" s="1"/>
  <c r="E31" i="39"/>
  <c r="S31" i="39"/>
  <c r="T31" i="39" s="1"/>
  <c r="U31" i="39" s="1"/>
  <c r="E32" i="39"/>
  <c r="S32" i="39"/>
  <c r="T32" i="39" s="1"/>
  <c r="U32" i="39" s="1"/>
  <c r="S39" i="39"/>
  <c r="T39" i="39" s="1"/>
  <c r="E46" i="39"/>
  <c r="C67" i="39"/>
  <c r="G67" i="39" s="1"/>
  <c r="G26" i="39"/>
  <c r="S29" i="39"/>
  <c r="T29" i="39" s="1"/>
  <c r="S30" i="39"/>
  <c r="T30" i="39" s="1"/>
  <c r="E36" i="39"/>
  <c r="E40" i="39"/>
  <c r="S60" i="39"/>
  <c r="T60" i="39" s="1"/>
  <c r="U60" i="39" s="1"/>
  <c r="AA60" i="39" s="1"/>
  <c r="G66" i="39"/>
  <c r="S66" i="39"/>
  <c r="T66" i="39" s="1"/>
  <c r="U66" i="39" s="1"/>
  <c r="AA66" i="39" s="1"/>
  <c r="S68" i="39"/>
  <c r="T68" i="39" s="1"/>
  <c r="S36" i="39"/>
  <c r="T36" i="39" s="1"/>
  <c r="S37" i="39"/>
  <c r="T37" i="39" s="1"/>
  <c r="G58" i="39"/>
  <c r="G61" i="39"/>
  <c r="S61" i="39"/>
  <c r="T61" i="39" s="1"/>
  <c r="U61" i="39" s="1"/>
  <c r="S69" i="39"/>
  <c r="T69" i="39" s="1"/>
  <c r="S70" i="39"/>
  <c r="T70" i="39" s="1"/>
  <c r="E18" i="39"/>
  <c r="S18" i="39"/>
  <c r="T18" i="39" s="1"/>
  <c r="U18" i="39" s="1"/>
  <c r="AA18" i="39" s="1"/>
  <c r="E21" i="39"/>
  <c r="S21" i="39"/>
  <c r="T21" i="39" s="1"/>
  <c r="U21" i="39" s="1"/>
  <c r="E33" i="39"/>
  <c r="T33" i="39"/>
  <c r="G37" i="39"/>
  <c r="G41" i="39"/>
  <c r="E43" i="39"/>
  <c r="G49" i="39"/>
  <c r="E51" i="39"/>
  <c r="S58" i="39"/>
  <c r="T58" i="39" s="1"/>
  <c r="S80" i="39"/>
  <c r="C86" i="39"/>
  <c r="G86" i="39" s="1"/>
  <c r="S12" i="39"/>
  <c r="S7" i="39" s="1"/>
  <c r="E17" i="39"/>
  <c r="S17" i="39"/>
  <c r="T17" i="39" s="1"/>
  <c r="U17" i="39" s="1"/>
  <c r="G33" i="39"/>
  <c r="S43" i="39"/>
  <c r="T43" i="39" s="1"/>
  <c r="G51" i="39"/>
  <c r="S59" i="39"/>
  <c r="T59" i="39" s="1"/>
  <c r="E70" i="39"/>
  <c r="S71" i="39"/>
  <c r="T71" i="39" s="1"/>
  <c r="U71" i="39" s="1"/>
  <c r="E72" i="39"/>
  <c r="G81" i="39"/>
  <c r="S81" i="39"/>
  <c r="T81" i="39" s="1"/>
  <c r="E82" i="39"/>
  <c r="C85" i="39"/>
  <c r="S85" i="39" s="1"/>
  <c r="T85" i="39" s="1"/>
  <c r="U85" i="39" s="1"/>
  <c r="T16" i="39"/>
  <c r="U16" i="39" s="1"/>
  <c r="AA16" i="39" s="1"/>
  <c r="E19" i="39"/>
  <c r="S19" i="39"/>
  <c r="T19" i="39" s="1"/>
  <c r="U19" i="39" s="1"/>
  <c r="E20" i="39"/>
  <c r="S20" i="39"/>
  <c r="T20" i="39" s="1"/>
  <c r="U20" i="39" s="1"/>
  <c r="AA20" i="39" s="1"/>
  <c r="S23" i="39"/>
  <c r="S22" i="39" s="1"/>
  <c r="C27" i="39"/>
  <c r="E28" i="39"/>
  <c r="S28" i="39"/>
  <c r="T28" i="39" s="1"/>
  <c r="S40" i="39"/>
  <c r="T40" i="39" s="1"/>
  <c r="E47" i="39"/>
  <c r="S47" i="39"/>
  <c r="T47" i="39" s="1"/>
  <c r="U47" i="39" s="1"/>
  <c r="S48" i="39"/>
  <c r="T48" i="39" s="1"/>
  <c r="S49" i="39"/>
  <c r="T49" i="39" s="1"/>
  <c r="U49" i="39" s="1"/>
  <c r="AA49" i="39" s="1"/>
  <c r="G59" i="39"/>
  <c r="E65" i="39"/>
  <c r="E76" i="39"/>
  <c r="G77" i="39"/>
  <c r="G82" i="39"/>
  <c r="C83" i="39"/>
  <c r="S83" i="39" s="1"/>
  <c r="T83" i="39" s="1"/>
  <c r="Q22" i="39"/>
  <c r="P22" i="39" s="1"/>
  <c r="Q27" i="39"/>
  <c r="P27" i="39" s="1"/>
  <c r="T15" i="39"/>
  <c r="U15" i="39" s="1"/>
  <c r="AA15" i="39" s="1"/>
  <c r="Q35" i="39"/>
  <c r="P35" i="39" s="1"/>
  <c r="T8" i="39"/>
  <c r="T25" i="39"/>
  <c r="U25" i="39" s="1"/>
  <c r="T26" i="39"/>
  <c r="U26" i="39" s="1"/>
  <c r="T9" i="39"/>
  <c r="U9" i="39" s="1"/>
  <c r="AA9" i="39" s="1"/>
  <c r="T24" i="39"/>
  <c r="U24" i="39" s="1"/>
  <c r="Q7" i="39"/>
  <c r="E9" i="39"/>
  <c r="E10" i="39"/>
  <c r="T11" i="39"/>
  <c r="Q13" i="39"/>
  <c r="P13" i="39" s="1"/>
  <c r="E15" i="39"/>
  <c r="E16" i="39"/>
  <c r="C22" i="39"/>
  <c r="G22" i="39" s="1"/>
  <c r="E23" i="39"/>
  <c r="E24" i="39"/>
  <c r="E25" i="39"/>
  <c r="E26" i="39"/>
  <c r="E41" i="39"/>
  <c r="S42" i="39"/>
  <c r="T42" i="39" s="1"/>
  <c r="U42" i="39" s="1"/>
  <c r="S44" i="39"/>
  <c r="T44" i="39" s="1"/>
  <c r="U44" i="39" s="1"/>
  <c r="C45" i="39"/>
  <c r="S46" i="39"/>
  <c r="T51" i="39"/>
  <c r="G52" i="39"/>
  <c r="L53" i="39"/>
  <c r="L87" i="39" s="1"/>
  <c r="L89" i="39" s="1"/>
  <c r="L92" i="39" s="1"/>
  <c r="S56" i="39"/>
  <c r="T79" i="39"/>
  <c r="U79" i="39" s="1"/>
  <c r="AA79" i="39" s="1"/>
  <c r="F89" i="39"/>
  <c r="G9" i="39"/>
  <c r="S14" i="39"/>
  <c r="G15" i="39"/>
  <c r="H22" i="39"/>
  <c r="G24" i="39"/>
  <c r="G25" i="39"/>
  <c r="S34" i="39"/>
  <c r="T41" i="39"/>
  <c r="U41" i="39" s="1"/>
  <c r="S50" i="39"/>
  <c r="T50" i="39" s="1"/>
  <c r="E54" i="39"/>
  <c r="C53" i="39"/>
  <c r="E53" i="39" s="1"/>
  <c r="G56" i="39"/>
  <c r="E56" i="39"/>
  <c r="C7" i="39"/>
  <c r="G7" i="39" s="1"/>
  <c r="E8" i="39"/>
  <c r="E12" i="39"/>
  <c r="C13" i="39"/>
  <c r="G13" i="39" s="1"/>
  <c r="E14" i="39"/>
  <c r="E30" i="39"/>
  <c r="E34" i="39"/>
  <c r="E39" i="39"/>
  <c r="G42" i="39"/>
  <c r="G44" i="39"/>
  <c r="G50" i="39"/>
  <c r="G54" i="39"/>
  <c r="Q53" i="39"/>
  <c r="P53" i="39" s="1"/>
  <c r="T54" i="39"/>
  <c r="D89" i="39"/>
  <c r="H87" i="39"/>
  <c r="H7" i="39"/>
  <c r="G8" i="39"/>
  <c r="S52" i="39"/>
  <c r="T52" i="39" s="1"/>
  <c r="H53" i="39"/>
  <c r="Q57" i="39"/>
  <c r="P57" i="39" s="1"/>
  <c r="Q67" i="39"/>
  <c r="P67" i="39" s="1"/>
  <c r="S65" i="39"/>
  <c r="T65" i="39" s="1"/>
  <c r="S72" i="39"/>
  <c r="T72" i="39" s="1"/>
  <c r="U72" i="39" s="1"/>
  <c r="AA72" i="39" s="1"/>
  <c r="E73" i="39"/>
  <c r="S76" i="39"/>
  <c r="T78" i="39"/>
  <c r="E79" i="39"/>
  <c r="Q80" i="39"/>
  <c r="S73" i="39"/>
  <c r="T73" i="39" s="1"/>
  <c r="T74" i="39"/>
  <c r="S77" i="39"/>
  <c r="T77" i="39" s="1"/>
  <c r="G79" i="39"/>
  <c r="S84" i="39"/>
  <c r="G84" i="39"/>
  <c r="E84" i="39"/>
  <c r="S62" i="39"/>
  <c r="T62" i="39" s="1"/>
  <c r="E64" i="39"/>
  <c r="E68" i="39"/>
  <c r="G69" i="39"/>
  <c r="G71" i="39"/>
  <c r="C75" i="39"/>
  <c r="G75" i="39" s="1"/>
  <c r="P82" i="39"/>
  <c r="S64" i="39"/>
  <c r="T64" i="39" s="1"/>
  <c r="U64" i="39" s="1"/>
  <c r="AA64" i="39" s="1"/>
  <c r="V91" i="39"/>
  <c r="D125" i="41" l="1"/>
  <c r="D126" i="41"/>
  <c r="BH69" i="41"/>
  <c r="BF69" i="41"/>
  <c r="BN69" i="41"/>
  <c r="BJ69" i="41"/>
  <c r="BM69" i="41"/>
  <c r="BG69" i="41"/>
  <c r="BL69" i="41"/>
  <c r="BI69" i="41"/>
  <c r="BC69" i="41"/>
  <c r="BK69" i="41"/>
  <c r="BD69" i="41"/>
  <c r="BE69" i="41"/>
  <c r="H176" i="41"/>
  <c r="E176" i="41"/>
  <c r="F176" i="41"/>
  <c r="G176" i="41" s="1"/>
  <c r="F68" i="41"/>
  <c r="G68" i="41" s="1"/>
  <c r="E68" i="41"/>
  <c r="H68" i="41"/>
  <c r="E177" i="41"/>
  <c r="F177" i="41"/>
  <c r="G177" i="41" s="1"/>
  <c r="H177" i="41"/>
  <c r="I69" i="41"/>
  <c r="J69" i="41"/>
  <c r="K69" i="41" s="1"/>
  <c r="L69" i="41"/>
  <c r="E67" i="41"/>
  <c r="H67" i="41"/>
  <c r="F67" i="41"/>
  <c r="G67" i="41" s="1"/>
  <c r="E85" i="39"/>
  <c r="E57" i="39"/>
  <c r="J531" i="22"/>
  <c r="J534" i="22" s="1"/>
  <c r="L80" i="40" s="1"/>
  <c r="I534" i="22"/>
  <c r="L534" i="22" s="1"/>
  <c r="J476" i="22"/>
  <c r="J478" i="22" s="1"/>
  <c r="L68" i="40" s="1"/>
  <c r="I478" i="22"/>
  <c r="L478" i="22" s="1"/>
  <c r="E35" i="39"/>
  <c r="G83" i="39"/>
  <c r="E67" i="39"/>
  <c r="D47" i="41"/>
  <c r="D53" i="41"/>
  <c r="D17" i="41"/>
  <c r="D46" i="41"/>
  <c r="T23" i="39"/>
  <c r="T22" i="39" s="1"/>
  <c r="D22" i="41"/>
  <c r="D18" i="41"/>
  <c r="D20" i="41"/>
  <c r="D41" i="41"/>
  <c r="D44" i="41"/>
  <c r="G53" i="39"/>
  <c r="D15" i="41"/>
  <c r="D51" i="41"/>
  <c r="D39" i="41"/>
  <c r="D48" i="41"/>
  <c r="G85" i="39"/>
  <c r="E86" i="39"/>
  <c r="S53" i="39"/>
  <c r="R53" i="39" s="1"/>
  <c r="AA31" i="39"/>
  <c r="V31" i="39"/>
  <c r="AB31" i="39" s="1"/>
  <c r="S27" i="39"/>
  <c r="R27" i="39" s="1"/>
  <c r="S35" i="39"/>
  <c r="R35" i="39" s="1"/>
  <c r="T56" i="39"/>
  <c r="U56" i="39" s="1"/>
  <c r="V56" i="39" s="1"/>
  <c r="AB56" i="39" s="1"/>
  <c r="W66" i="39"/>
  <c r="AC66" i="39" s="1"/>
  <c r="AA61" i="39"/>
  <c r="W61" i="39"/>
  <c r="AC61" i="39" s="1"/>
  <c r="V61" i="39"/>
  <c r="AB61" i="39" s="1"/>
  <c r="E83" i="39"/>
  <c r="S75" i="39"/>
  <c r="S13" i="39"/>
  <c r="R13" i="39" s="1"/>
  <c r="AA32" i="39"/>
  <c r="V32" i="39"/>
  <c r="AB32" i="39" s="1"/>
  <c r="W32" i="39"/>
  <c r="AC32" i="39" s="1"/>
  <c r="E75" i="39"/>
  <c r="T80" i="39"/>
  <c r="U80" i="39" s="1"/>
  <c r="V80" i="39" s="1"/>
  <c r="AB80" i="39" s="1"/>
  <c r="V66" i="39"/>
  <c r="AB66" i="39" s="1"/>
  <c r="S86" i="39"/>
  <c r="T86" i="39" s="1"/>
  <c r="U86" i="39" s="1"/>
  <c r="AA86" i="39" s="1"/>
  <c r="W16" i="39"/>
  <c r="AC16" i="39" s="1"/>
  <c r="V16" i="39"/>
  <c r="AB16" i="39" s="1"/>
  <c r="W47" i="39"/>
  <c r="AC47" i="39" s="1"/>
  <c r="AA47" i="39"/>
  <c r="V47" i="39"/>
  <c r="AB47" i="39" s="1"/>
  <c r="V17" i="39"/>
  <c r="AB17" i="39" s="1"/>
  <c r="W17" i="39"/>
  <c r="AC17" i="39" s="1"/>
  <c r="AA17" i="39"/>
  <c r="T35" i="39"/>
  <c r="T84" i="39"/>
  <c r="U84" i="39" s="1"/>
  <c r="V84" i="39" s="1"/>
  <c r="AB84" i="39" s="1"/>
  <c r="E22" i="39"/>
  <c r="T12" i="39"/>
  <c r="T7" i="39" s="1"/>
  <c r="G27" i="39"/>
  <c r="E27" i="39"/>
  <c r="U81" i="39"/>
  <c r="W81" i="39" s="1"/>
  <c r="AC81" i="39" s="1"/>
  <c r="U58" i="39"/>
  <c r="AA58" i="39" s="1"/>
  <c r="D43" i="41" s="1"/>
  <c r="T67" i="39"/>
  <c r="U36" i="39"/>
  <c r="U54" i="39"/>
  <c r="S57" i="39"/>
  <c r="R57" i="39" s="1"/>
  <c r="T34" i="39"/>
  <c r="U34" i="39" s="1"/>
  <c r="V21" i="39"/>
  <c r="AB21" i="39" s="1"/>
  <c r="AA21" i="39"/>
  <c r="T14" i="39"/>
  <c r="C87" i="39"/>
  <c r="T57" i="39"/>
  <c r="T76" i="39"/>
  <c r="T46" i="39"/>
  <c r="S45" i="39"/>
  <c r="R45" i="39" s="1"/>
  <c r="V26" i="39"/>
  <c r="AB26" i="39" s="1"/>
  <c r="AA26" i="39"/>
  <c r="U28" i="39"/>
  <c r="V19" i="39"/>
  <c r="AB19" i="39" s="1"/>
  <c r="AA19" i="39"/>
  <c r="W71" i="39"/>
  <c r="AC71" i="39" s="1"/>
  <c r="AA71" i="39"/>
  <c r="V71" i="39"/>
  <c r="AB71" i="39" s="1"/>
  <c r="V85" i="39"/>
  <c r="AB85" i="39" s="1"/>
  <c r="AA85" i="39"/>
  <c r="S67" i="39"/>
  <c r="R67" i="39" s="1"/>
  <c r="V44" i="39"/>
  <c r="AB44" i="39" s="1"/>
  <c r="AA44" i="39"/>
  <c r="AB91" i="39"/>
  <c r="D127" i="41" s="1"/>
  <c r="W91" i="39"/>
  <c r="AC91" i="39" s="1"/>
  <c r="D178" i="41" s="1"/>
  <c r="U70" i="39"/>
  <c r="AA80" i="39"/>
  <c r="AA41" i="39"/>
  <c r="V41" i="39"/>
  <c r="AB41" i="39" s="1"/>
  <c r="W41" i="39"/>
  <c r="AC41" i="39" s="1"/>
  <c r="F92" i="39"/>
  <c r="Q75" i="39"/>
  <c r="P75" i="39" s="1"/>
  <c r="E45" i="39"/>
  <c r="G45" i="39"/>
  <c r="E13" i="39"/>
  <c r="Q87" i="39"/>
  <c r="P7" i="39"/>
  <c r="R7" i="39" s="1"/>
  <c r="V25" i="39"/>
  <c r="AB25" i="39" s="1"/>
  <c r="AA25" i="39"/>
  <c r="U83" i="39"/>
  <c r="D92" i="39"/>
  <c r="H89" i="39"/>
  <c r="V42" i="39"/>
  <c r="AB42" i="39" s="1"/>
  <c r="W42" i="39"/>
  <c r="AC42" i="39" s="1"/>
  <c r="AA42" i="39"/>
  <c r="E7" i="39"/>
  <c r="V24" i="39"/>
  <c r="AB24" i="39" s="1"/>
  <c r="AA24" i="39"/>
  <c r="R22" i="39"/>
  <c r="H139" i="22"/>
  <c r="I139" i="22" l="1"/>
  <c r="E17" i="40"/>
  <c r="H127" i="41"/>
  <c r="E127" i="41"/>
  <c r="F127" i="41"/>
  <c r="G127" i="41" s="1"/>
  <c r="M69" i="41"/>
  <c r="N69" i="41"/>
  <c r="O69" i="41" s="1"/>
  <c r="J68" i="41"/>
  <c r="K68" i="41" s="1"/>
  <c r="I68" i="41"/>
  <c r="L68" i="41"/>
  <c r="BM176" i="41"/>
  <c r="BE176" i="41"/>
  <c r="BJ176" i="41"/>
  <c r="BL176" i="41"/>
  <c r="BF176" i="41"/>
  <c r="BH176" i="41"/>
  <c r="BN176" i="41"/>
  <c r="BC176" i="41"/>
  <c r="BG176" i="41"/>
  <c r="BD176" i="41"/>
  <c r="BI176" i="41"/>
  <c r="BK176" i="41"/>
  <c r="L177" i="41"/>
  <c r="I177" i="41"/>
  <c r="J177" i="41"/>
  <c r="K177" i="41" s="1"/>
  <c r="BE68" i="41"/>
  <c r="BM68" i="41"/>
  <c r="BH68" i="41"/>
  <c r="BC68" i="41"/>
  <c r="BJ68" i="41"/>
  <c r="BL68" i="41"/>
  <c r="BN68" i="41"/>
  <c r="BF68" i="41"/>
  <c r="BG68" i="41"/>
  <c r="BD68" i="41"/>
  <c r="BI68" i="41"/>
  <c r="BK68" i="41"/>
  <c r="L176" i="41"/>
  <c r="J176" i="41"/>
  <c r="K176" i="41" s="1"/>
  <c r="I176" i="41"/>
  <c r="BO69" i="41"/>
  <c r="J67" i="41"/>
  <c r="K67" i="41" s="1"/>
  <c r="L67" i="41"/>
  <c r="I67" i="41"/>
  <c r="BR69" i="41"/>
  <c r="BZ69" i="41"/>
  <c r="BV69" i="41"/>
  <c r="BY69" i="41"/>
  <c r="BW69" i="41"/>
  <c r="BU69" i="41"/>
  <c r="BS69" i="41"/>
  <c r="BT69" i="41"/>
  <c r="CA69" i="41"/>
  <c r="BQ69" i="41"/>
  <c r="BP69" i="41"/>
  <c r="CB69" i="41" s="1"/>
  <c r="AO69" i="41" s="1"/>
  <c r="BX69" i="41"/>
  <c r="E126" i="41"/>
  <c r="H126" i="41"/>
  <c r="F126" i="41"/>
  <c r="G126" i="41" s="1"/>
  <c r="F178" i="41"/>
  <c r="G178" i="41" s="1"/>
  <c r="E178" i="41"/>
  <c r="H178" i="41"/>
  <c r="BK67" i="41"/>
  <c r="BC67" i="41"/>
  <c r="BG67" i="41"/>
  <c r="BE67" i="41"/>
  <c r="BH67" i="41"/>
  <c r="BJ67" i="41"/>
  <c r="BM67" i="41"/>
  <c r="BF67" i="41"/>
  <c r="BD67" i="41"/>
  <c r="BI67" i="41"/>
  <c r="BN67" i="41"/>
  <c r="BL67" i="41"/>
  <c r="BL177" i="41"/>
  <c r="BH177" i="41"/>
  <c r="BF177" i="41"/>
  <c r="BK177" i="41"/>
  <c r="BN177" i="41"/>
  <c r="BC177" i="41"/>
  <c r="BG177" i="41"/>
  <c r="BD177" i="41"/>
  <c r="BM177" i="41"/>
  <c r="BJ177" i="41"/>
  <c r="BI177" i="41"/>
  <c r="BE177" i="41"/>
  <c r="H125" i="41"/>
  <c r="E125" i="41"/>
  <c r="F125" i="41"/>
  <c r="G125" i="41" s="1"/>
  <c r="U23" i="39"/>
  <c r="K68" i="40"/>
  <c r="M68" i="40" s="1"/>
  <c r="K80" i="40"/>
  <c r="M80" i="40" s="1"/>
  <c r="AA84" i="39"/>
  <c r="D58" i="41" s="1"/>
  <c r="D59" i="41"/>
  <c r="D60" i="41"/>
  <c r="D105" i="41"/>
  <c r="H51" i="41"/>
  <c r="E51" i="41"/>
  <c r="F51" i="41"/>
  <c r="G51" i="41" s="1"/>
  <c r="F53" i="41"/>
  <c r="G53" i="41" s="1"/>
  <c r="E53" i="41"/>
  <c r="H53" i="41"/>
  <c r="D54" i="41"/>
  <c r="D36" i="41"/>
  <c r="D168" i="41"/>
  <c r="D117" i="41"/>
  <c r="D21" i="41"/>
  <c r="D88" i="41"/>
  <c r="H43" i="41"/>
  <c r="E43" i="41"/>
  <c r="F43" i="41"/>
  <c r="G43" i="41" s="1"/>
  <c r="D19" i="41"/>
  <c r="D155" i="41"/>
  <c r="D108" i="41"/>
  <c r="D95" i="41"/>
  <c r="D158" i="41"/>
  <c r="E44" i="41"/>
  <c r="H44" i="41"/>
  <c r="F44" i="41"/>
  <c r="G44" i="41" s="1"/>
  <c r="H20" i="41"/>
  <c r="E20" i="41"/>
  <c r="F20" i="41"/>
  <c r="G20" i="41" s="1"/>
  <c r="H22" i="41"/>
  <c r="E22" i="41"/>
  <c r="F22" i="41"/>
  <c r="G22" i="41" s="1"/>
  <c r="D100" i="41"/>
  <c r="D34" i="41"/>
  <c r="D38" i="41"/>
  <c r="D29" i="41"/>
  <c r="E46" i="41"/>
  <c r="F46" i="41"/>
  <c r="G46" i="41" s="1"/>
  <c r="H46" i="41"/>
  <c r="D35" i="41"/>
  <c r="D26" i="41"/>
  <c r="D152" i="41"/>
  <c r="D101" i="41"/>
  <c r="D110" i="41"/>
  <c r="D87" i="41"/>
  <c r="D27" i="41"/>
  <c r="D165" i="41"/>
  <c r="D164" i="41"/>
  <c r="D145" i="41"/>
  <c r="D85" i="41"/>
  <c r="D112" i="41"/>
  <c r="D30" i="41"/>
  <c r="D45" i="41"/>
  <c r="H39" i="41"/>
  <c r="E39" i="41"/>
  <c r="F39" i="41"/>
  <c r="G39" i="41" s="1"/>
  <c r="E15" i="41"/>
  <c r="F15" i="41"/>
  <c r="G15" i="41" s="1"/>
  <c r="H15" i="41"/>
  <c r="E17" i="41"/>
  <c r="F17" i="41"/>
  <c r="G17" i="41" s="1"/>
  <c r="H17" i="41"/>
  <c r="H47" i="41"/>
  <c r="E47" i="41"/>
  <c r="F47" i="41"/>
  <c r="G47" i="41" s="1"/>
  <c r="D90" i="41"/>
  <c r="D161" i="41"/>
  <c r="D23" i="41"/>
  <c r="D148" i="41"/>
  <c r="D107" i="41"/>
  <c r="E48" i="41"/>
  <c r="H48" i="41"/>
  <c r="F48" i="41"/>
  <c r="G48" i="41" s="1"/>
  <c r="D25" i="41"/>
  <c r="D153" i="41"/>
  <c r="D167" i="41"/>
  <c r="D116" i="41"/>
  <c r="D91" i="41"/>
  <c r="D99" i="41"/>
  <c r="D50" i="41"/>
  <c r="D92" i="41"/>
  <c r="D86" i="41"/>
  <c r="D103" i="41"/>
  <c r="D144" i="41"/>
  <c r="D159" i="41"/>
  <c r="D94" i="41"/>
  <c r="F41" i="41"/>
  <c r="G41" i="41" s="1"/>
  <c r="E41" i="41"/>
  <c r="H41" i="41"/>
  <c r="H18" i="41"/>
  <c r="E18" i="41"/>
  <c r="F18" i="41"/>
  <c r="G18" i="41" s="1"/>
  <c r="W56" i="39"/>
  <c r="AC56" i="39" s="1"/>
  <c r="D156" i="41" s="1"/>
  <c r="T53" i="39"/>
  <c r="U57" i="39"/>
  <c r="AA56" i="39"/>
  <c r="V81" i="39"/>
  <c r="AB81" i="39" s="1"/>
  <c r="R75" i="39"/>
  <c r="W80" i="39"/>
  <c r="AC80" i="39" s="1"/>
  <c r="U8" i="39"/>
  <c r="U7" i="39" s="1"/>
  <c r="V58" i="39"/>
  <c r="V57" i="39" s="1"/>
  <c r="W58" i="39"/>
  <c r="W57" i="39" s="1"/>
  <c r="V86" i="39"/>
  <c r="AB86" i="39" s="1"/>
  <c r="T82" i="39"/>
  <c r="T27" i="39"/>
  <c r="S82" i="39"/>
  <c r="R82" i="39" s="1"/>
  <c r="AA81" i="39"/>
  <c r="H92" i="39"/>
  <c r="U14" i="39"/>
  <c r="T13" i="39"/>
  <c r="V54" i="39"/>
  <c r="U53" i="39"/>
  <c r="AA54" i="39"/>
  <c r="D40" i="41" s="1"/>
  <c r="W23" i="39"/>
  <c r="U22" i="39"/>
  <c r="V23" i="39"/>
  <c r="AA23" i="39"/>
  <c r="D24" i="41" s="1"/>
  <c r="W28" i="39"/>
  <c r="AA28" i="39"/>
  <c r="D28" i="41" s="1"/>
  <c r="V28" i="39"/>
  <c r="U27" i="39"/>
  <c r="U46" i="39"/>
  <c r="T45" i="39"/>
  <c r="V83" i="39"/>
  <c r="U82" i="39"/>
  <c r="AA83" i="39"/>
  <c r="D57" i="41" s="1"/>
  <c r="U76" i="39"/>
  <c r="T75" i="39"/>
  <c r="W34" i="39"/>
  <c r="AC34" i="39" s="1"/>
  <c r="AA34" i="39"/>
  <c r="V34" i="39"/>
  <c r="AB34" i="39" s="1"/>
  <c r="AA57" i="39"/>
  <c r="Q89" i="39"/>
  <c r="P87" i="39"/>
  <c r="AA70" i="39"/>
  <c r="D49" i="41" s="1"/>
  <c r="W70" i="39"/>
  <c r="U67" i="39"/>
  <c r="V70" i="39"/>
  <c r="C89" i="39"/>
  <c r="G87" i="39"/>
  <c r="E87" i="39"/>
  <c r="W36" i="39"/>
  <c r="U35" i="39"/>
  <c r="AA36" i="39"/>
  <c r="V36" i="39"/>
  <c r="BM125" i="41" l="1"/>
  <c r="BJ125" i="41"/>
  <c r="BE125" i="41"/>
  <c r="BL125" i="41"/>
  <c r="BI125" i="41"/>
  <c r="BH125" i="41"/>
  <c r="BC125" i="41"/>
  <c r="BN125" i="41"/>
  <c r="BD125" i="41"/>
  <c r="BK125" i="41"/>
  <c r="BF125" i="41"/>
  <c r="BG125" i="41"/>
  <c r="BO67" i="41"/>
  <c r="CA67" i="41"/>
  <c r="BS67" i="41"/>
  <c r="BR67" i="41"/>
  <c r="BT67" i="41"/>
  <c r="BY67" i="41"/>
  <c r="BV67" i="41"/>
  <c r="BZ67" i="41"/>
  <c r="BQ67" i="41"/>
  <c r="BU67" i="41"/>
  <c r="BP67" i="41"/>
  <c r="BW67" i="41"/>
  <c r="BX67" i="41"/>
  <c r="BT176" i="41"/>
  <c r="BQ176" i="41"/>
  <c r="BR176" i="41"/>
  <c r="CA176" i="41"/>
  <c r="BS176" i="41"/>
  <c r="BU176" i="41"/>
  <c r="BX176" i="41"/>
  <c r="BV176" i="41"/>
  <c r="BW176" i="41"/>
  <c r="BP176" i="41"/>
  <c r="BY176" i="41"/>
  <c r="BZ176" i="41"/>
  <c r="BY177" i="41"/>
  <c r="BT177" i="41"/>
  <c r="BX177" i="41"/>
  <c r="BQ177" i="41"/>
  <c r="BR177" i="41"/>
  <c r="BZ177" i="41"/>
  <c r="BS177" i="41"/>
  <c r="BP177" i="41"/>
  <c r="BU177" i="41"/>
  <c r="BW177" i="41"/>
  <c r="BV177" i="41"/>
  <c r="CA177" i="41"/>
  <c r="BI127" i="41"/>
  <c r="BK127" i="41"/>
  <c r="BG127" i="41"/>
  <c r="BC127" i="41"/>
  <c r="BL127" i="41"/>
  <c r="BJ127" i="41"/>
  <c r="BH127" i="41"/>
  <c r="BF127" i="41"/>
  <c r="BN127" i="41"/>
  <c r="BD127" i="41"/>
  <c r="BE127" i="41"/>
  <c r="BM127" i="41"/>
  <c r="L125" i="41"/>
  <c r="J125" i="41"/>
  <c r="K125" i="41" s="1"/>
  <c r="I125" i="41"/>
  <c r="M67" i="41"/>
  <c r="N67" i="41"/>
  <c r="O67" i="41" s="1"/>
  <c r="BO68" i="41"/>
  <c r="M177" i="41"/>
  <c r="N177" i="41"/>
  <c r="O177" i="41" s="1"/>
  <c r="L127" i="41"/>
  <c r="J127" i="41"/>
  <c r="K127" i="41" s="1"/>
  <c r="I127" i="41"/>
  <c r="BO177" i="41"/>
  <c r="L178" i="41"/>
  <c r="J178" i="41"/>
  <c r="K178" i="41" s="1"/>
  <c r="I178" i="41"/>
  <c r="J126" i="41"/>
  <c r="K126" i="41" s="1"/>
  <c r="L126" i="41"/>
  <c r="I126" i="41"/>
  <c r="N176" i="41"/>
  <c r="O176" i="41" s="1"/>
  <c r="M176" i="41"/>
  <c r="BO176" i="41"/>
  <c r="N68" i="41"/>
  <c r="O68" i="41" s="1"/>
  <c r="M68" i="41"/>
  <c r="CK69" i="41"/>
  <c r="CI69" i="41"/>
  <c r="CF69" i="41"/>
  <c r="CM69" i="41"/>
  <c r="CG69" i="41"/>
  <c r="CE69" i="41"/>
  <c r="CL69" i="41"/>
  <c r="CN69" i="41"/>
  <c r="CC69" i="41"/>
  <c r="CO69" i="41" s="1"/>
  <c r="BB69" i="41" s="1"/>
  <c r="CJ69" i="41"/>
  <c r="CH69" i="41"/>
  <c r="CD69" i="41"/>
  <c r="BN178" i="41"/>
  <c r="BH178" i="41"/>
  <c r="BG178" i="41"/>
  <c r="BF178" i="41"/>
  <c r="BI178" i="41"/>
  <c r="BM178" i="41"/>
  <c r="BE178" i="41"/>
  <c r="BD178" i="41"/>
  <c r="BJ178" i="41"/>
  <c r="BC178" i="41"/>
  <c r="BL178" i="41"/>
  <c r="BK178" i="41"/>
  <c r="BH126" i="41"/>
  <c r="BK126" i="41"/>
  <c r="BN126" i="41"/>
  <c r="BG126" i="41"/>
  <c r="BC126" i="41"/>
  <c r="BL126" i="41"/>
  <c r="BF126" i="41"/>
  <c r="BI126" i="41"/>
  <c r="BE126" i="41"/>
  <c r="BJ126" i="41"/>
  <c r="BD126" i="41"/>
  <c r="BM126" i="41"/>
  <c r="AB69" i="41"/>
  <c r="BR68" i="41"/>
  <c r="BQ68" i="41"/>
  <c r="BY68" i="41"/>
  <c r="BV68" i="41"/>
  <c r="BW68" i="41"/>
  <c r="BP68" i="41"/>
  <c r="BX68" i="41"/>
  <c r="CA68" i="41"/>
  <c r="BU68" i="41"/>
  <c r="BZ68" i="41"/>
  <c r="BT68" i="41"/>
  <c r="BS68" i="41"/>
  <c r="J139" i="22"/>
  <c r="G17" i="40" s="1"/>
  <c r="F17" i="40"/>
  <c r="W8" i="39"/>
  <c r="AC58" i="39"/>
  <c r="D157" i="41" s="1"/>
  <c r="E157" i="41" s="1"/>
  <c r="W53" i="39"/>
  <c r="AA8" i="39"/>
  <c r="D14" i="41" s="1"/>
  <c r="H14" i="41" s="1"/>
  <c r="X57" i="39"/>
  <c r="D33" i="41"/>
  <c r="D32" i="41"/>
  <c r="H110" i="41"/>
  <c r="E110" i="41"/>
  <c r="F110" i="41"/>
  <c r="G110" i="41" s="1"/>
  <c r="H152" i="41"/>
  <c r="E152" i="41"/>
  <c r="F152" i="41"/>
  <c r="G152" i="41" s="1"/>
  <c r="I46" i="41"/>
  <c r="J46" i="41"/>
  <c r="K46" i="41" s="1"/>
  <c r="L46" i="41"/>
  <c r="L20" i="41"/>
  <c r="J20" i="41"/>
  <c r="K20" i="41" s="1"/>
  <c r="I20" i="41"/>
  <c r="H108" i="41"/>
  <c r="F108" i="41"/>
  <c r="G108" i="41" s="1"/>
  <c r="E108" i="41"/>
  <c r="I43" i="41"/>
  <c r="L43" i="41"/>
  <c r="J43" i="41"/>
  <c r="K43" i="41" s="1"/>
  <c r="I53" i="41"/>
  <c r="L53" i="41"/>
  <c r="J53" i="41"/>
  <c r="K53" i="41" s="1"/>
  <c r="H156" i="41"/>
  <c r="F156" i="41"/>
  <c r="G156" i="41" s="1"/>
  <c r="E156" i="41"/>
  <c r="D96" i="41"/>
  <c r="H28" i="41"/>
  <c r="E28" i="41"/>
  <c r="F28" i="41"/>
  <c r="G28" i="41" s="1"/>
  <c r="H24" i="41"/>
  <c r="E24" i="41"/>
  <c r="F24" i="41"/>
  <c r="G24" i="41" s="1"/>
  <c r="D169" i="41"/>
  <c r="D118" i="41"/>
  <c r="BL18" i="41"/>
  <c r="BG18" i="41"/>
  <c r="BC18" i="41"/>
  <c r="BK18" i="41"/>
  <c r="BM18" i="41"/>
  <c r="BE18" i="41"/>
  <c r="BF18" i="41"/>
  <c r="BI18" i="41"/>
  <c r="BJ18" i="41"/>
  <c r="BN18" i="41"/>
  <c r="BH18" i="41"/>
  <c r="BD18" i="41"/>
  <c r="E167" i="41"/>
  <c r="H167" i="41"/>
  <c r="F167" i="41"/>
  <c r="G167" i="41" s="1"/>
  <c r="H107" i="41"/>
  <c r="F107" i="41"/>
  <c r="G107" i="41" s="1"/>
  <c r="E107" i="41"/>
  <c r="E23" i="41"/>
  <c r="F23" i="41"/>
  <c r="G23" i="41" s="1"/>
  <c r="H23" i="41"/>
  <c r="H90" i="41"/>
  <c r="E90" i="41"/>
  <c r="F90" i="41"/>
  <c r="G90" i="41" s="1"/>
  <c r="I47" i="41"/>
  <c r="L47" i="41"/>
  <c r="J47" i="41"/>
  <c r="K47" i="41" s="1"/>
  <c r="I15" i="41"/>
  <c r="J15" i="41"/>
  <c r="K15" i="41" s="1"/>
  <c r="L15" i="41"/>
  <c r="BK39" i="41"/>
  <c r="BI39" i="41"/>
  <c r="BH39" i="41"/>
  <c r="BF39" i="41"/>
  <c r="BD39" i="41"/>
  <c r="BE39" i="41"/>
  <c r="BC39" i="41"/>
  <c r="BN39" i="41"/>
  <c r="BM39" i="41"/>
  <c r="BL39" i="41"/>
  <c r="BJ39" i="41"/>
  <c r="BG39" i="41"/>
  <c r="H30" i="41"/>
  <c r="E30" i="41"/>
  <c r="F30" i="41"/>
  <c r="G30" i="41" s="1"/>
  <c r="E85" i="41"/>
  <c r="F85" i="41"/>
  <c r="G85" i="41" s="1"/>
  <c r="H85" i="41"/>
  <c r="E164" i="41"/>
  <c r="F164" i="41"/>
  <c r="G164" i="41" s="1"/>
  <c r="H164" i="41"/>
  <c r="E38" i="41"/>
  <c r="H38" i="41"/>
  <c r="F38" i="41"/>
  <c r="G38" i="41" s="1"/>
  <c r="H100" i="41"/>
  <c r="F100" i="41"/>
  <c r="G100" i="41" s="1"/>
  <c r="E100" i="41"/>
  <c r="I22" i="41"/>
  <c r="L22" i="41"/>
  <c r="J22" i="41"/>
  <c r="K22" i="41" s="1"/>
  <c r="H88" i="41"/>
  <c r="F88" i="41"/>
  <c r="G88" i="41" s="1"/>
  <c r="E88" i="41"/>
  <c r="H117" i="41"/>
  <c r="E117" i="41"/>
  <c r="F117" i="41"/>
  <c r="G117" i="41" s="1"/>
  <c r="E54" i="41"/>
  <c r="H54" i="41"/>
  <c r="F54" i="41"/>
  <c r="G54" i="41" s="1"/>
  <c r="BI53" i="41"/>
  <c r="BK53" i="41"/>
  <c r="BG53" i="41"/>
  <c r="BC53" i="41"/>
  <c r="BL53" i="41"/>
  <c r="BM53" i="41"/>
  <c r="BN53" i="41"/>
  <c r="BH53" i="41"/>
  <c r="BJ53" i="41"/>
  <c r="BD53" i="41"/>
  <c r="BE53" i="41"/>
  <c r="BF53" i="41"/>
  <c r="L51" i="41"/>
  <c r="J51" i="41"/>
  <c r="K51" i="41" s="1"/>
  <c r="I51" i="41"/>
  <c r="F57" i="41"/>
  <c r="G57" i="41" s="1"/>
  <c r="E57" i="41"/>
  <c r="H57" i="41"/>
  <c r="D55" i="41"/>
  <c r="D56" i="41"/>
  <c r="F159" i="41"/>
  <c r="G159" i="41" s="1"/>
  <c r="H159" i="41"/>
  <c r="E159" i="41"/>
  <c r="H99" i="41"/>
  <c r="E99" i="41"/>
  <c r="F99" i="41"/>
  <c r="G99" i="41" s="1"/>
  <c r="BJ48" i="41"/>
  <c r="BH48" i="41"/>
  <c r="BF48" i="41"/>
  <c r="BN48" i="41"/>
  <c r="BK48" i="41"/>
  <c r="BD48" i="41"/>
  <c r="BM48" i="41"/>
  <c r="BG48" i="41"/>
  <c r="BL48" i="41"/>
  <c r="BI48" i="41"/>
  <c r="BC48" i="41"/>
  <c r="BE48" i="41"/>
  <c r="BK47" i="41"/>
  <c r="BI47" i="41"/>
  <c r="BC47" i="41"/>
  <c r="BN47" i="41"/>
  <c r="BM47" i="41"/>
  <c r="BH47" i="41"/>
  <c r="BE47" i="41"/>
  <c r="BD47" i="41"/>
  <c r="BG47" i="41"/>
  <c r="BJ47" i="41"/>
  <c r="BL47" i="41"/>
  <c r="BF47" i="41"/>
  <c r="BL22" i="41"/>
  <c r="BG22" i="41"/>
  <c r="BC22" i="41"/>
  <c r="BK22" i="41"/>
  <c r="BM22" i="41"/>
  <c r="BE22" i="41"/>
  <c r="BI22" i="41"/>
  <c r="BF22" i="41"/>
  <c r="BJ22" i="41"/>
  <c r="BN22" i="41"/>
  <c r="BH22" i="41"/>
  <c r="BD22" i="41"/>
  <c r="H158" i="41"/>
  <c r="E158" i="41"/>
  <c r="F158" i="41"/>
  <c r="G158" i="41" s="1"/>
  <c r="E19" i="41"/>
  <c r="F19" i="41"/>
  <c r="G19" i="41" s="1"/>
  <c r="H19" i="41"/>
  <c r="E60" i="41"/>
  <c r="H60" i="41"/>
  <c r="F60" i="41"/>
  <c r="G60" i="41" s="1"/>
  <c r="D31" i="41"/>
  <c r="H157" i="41"/>
  <c r="D42" i="41"/>
  <c r="J18" i="41"/>
  <c r="K18" i="41" s="1"/>
  <c r="I18" i="41"/>
  <c r="L18" i="41"/>
  <c r="H94" i="41"/>
  <c r="E94" i="41"/>
  <c r="F94" i="41"/>
  <c r="G94" i="41" s="1"/>
  <c r="H144" i="41"/>
  <c r="E144" i="41"/>
  <c r="F144" i="41"/>
  <c r="G144" i="41" s="1"/>
  <c r="H86" i="41"/>
  <c r="E86" i="41"/>
  <c r="F86" i="41"/>
  <c r="G86" i="41" s="1"/>
  <c r="E50" i="41"/>
  <c r="H50" i="41"/>
  <c r="F50" i="41"/>
  <c r="G50" i="41" s="1"/>
  <c r="H91" i="41"/>
  <c r="E91" i="41"/>
  <c r="F91" i="41"/>
  <c r="G91" i="41" s="1"/>
  <c r="H153" i="41"/>
  <c r="E153" i="41"/>
  <c r="F153" i="41"/>
  <c r="G153" i="41" s="1"/>
  <c r="I17" i="41"/>
  <c r="J17" i="41"/>
  <c r="K17" i="41" s="1"/>
  <c r="L17" i="41"/>
  <c r="I39" i="41"/>
  <c r="L39" i="41"/>
  <c r="J39" i="41"/>
  <c r="K39" i="41" s="1"/>
  <c r="H165" i="41"/>
  <c r="E165" i="41"/>
  <c r="F165" i="41"/>
  <c r="G165" i="41" s="1"/>
  <c r="E87" i="41"/>
  <c r="F87" i="41"/>
  <c r="G87" i="41" s="1"/>
  <c r="H87" i="41"/>
  <c r="E101" i="41"/>
  <c r="F101" i="41"/>
  <c r="G101" i="41" s="1"/>
  <c r="H101" i="41"/>
  <c r="H26" i="41"/>
  <c r="E26" i="41"/>
  <c r="F26" i="41"/>
  <c r="G26" i="41" s="1"/>
  <c r="E35" i="41"/>
  <c r="F35" i="41"/>
  <c r="G35" i="41" s="1"/>
  <c r="H35" i="41"/>
  <c r="BH46" i="41"/>
  <c r="BF46" i="41"/>
  <c r="BN46" i="41"/>
  <c r="BJ46" i="41"/>
  <c r="BG46" i="41"/>
  <c r="BE46" i="41"/>
  <c r="BC46" i="41"/>
  <c r="BM46" i="41"/>
  <c r="BD46" i="41"/>
  <c r="BK46" i="41"/>
  <c r="BI46" i="41"/>
  <c r="BL46" i="41"/>
  <c r="I44" i="41"/>
  <c r="J44" i="41"/>
  <c r="K44" i="41" s="1"/>
  <c r="L44" i="41"/>
  <c r="E95" i="41"/>
  <c r="H95" i="41"/>
  <c r="F95" i="41"/>
  <c r="G95" i="41" s="1"/>
  <c r="H155" i="41"/>
  <c r="E155" i="41"/>
  <c r="F155" i="41"/>
  <c r="G155" i="41" s="1"/>
  <c r="H168" i="41"/>
  <c r="E168" i="41"/>
  <c r="F168" i="41"/>
  <c r="G168" i="41" s="1"/>
  <c r="H105" i="41"/>
  <c r="E105" i="41"/>
  <c r="F105" i="41"/>
  <c r="G105" i="41" s="1"/>
  <c r="H59" i="41"/>
  <c r="F59" i="41"/>
  <c r="G59" i="41" s="1"/>
  <c r="E59" i="41"/>
  <c r="BK41" i="41"/>
  <c r="BJ41" i="41"/>
  <c r="BD41" i="41"/>
  <c r="BF41" i="41"/>
  <c r="BE41" i="41"/>
  <c r="BI41" i="41"/>
  <c r="BC41" i="41"/>
  <c r="BL41" i="41"/>
  <c r="BM41" i="41"/>
  <c r="BH41" i="41"/>
  <c r="BG41" i="41"/>
  <c r="BN41" i="41"/>
  <c r="E103" i="41"/>
  <c r="F103" i="41"/>
  <c r="G103" i="41" s="1"/>
  <c r="H103" i="41"/>
  <c r="H92" i="41"/>
  <c r="F92" i="41"/>
  <c r="G92" i="41" s="1"/>
  <c r="E92" i="41"/>
  <c r="H116" i="41"/>
  <c r="E116" i="41"/>
  <c r="F116" i="41"/>
  <c r="G116" i="41" s="1"/>
  <c r="E25" i="41"/>
  <c r="F25" i="41"/>
  <c r="G25" i="41" s="1"/>
  <c r="H25" i="41"/>
  <c r="BC17" i="41"/>
  <c r="BI17" i="41"/>
  <c r="BD17" i="41"/>
  <c r="BN17" i="41"/>
  <c r="BE17" i="41"/>
  <c r="BJ17" i="41"/>
  <c r="BK17" i="41"/>
  <c r="BF17" i="41"/>
  <c r="BL17" i="41"/>
  <c r="BG17" i="41"/>
  <c r="BM17" i="41"/>
  <c r="BH17" i="41"/>
  <c r="E27" i="41"/>
  <c r="F27" i="41"/>
  <c r="G27" i="41" s="1"/>
  <c r="H27" i="41"/>
  <c r="E58" i="41"/>
  <c r="F58" i="41"/>
  <c r="G58" i="41" s="1"/>
  <c r="H58" i="41"/>
  <c r="BI51" i="41"/>
  <c r="BG51" i="41"/>
  <c r="BN51" i="41"/>
  <c r="BK51" i="41"/>
  <c r="BH51" i="41"/>
  <c r="BC51" i="41"/>
  <c r="BE51" i="41"/>
  <c r="BD51" i="41"/>
  <c r="BM51" i="41"/>
  <c r="BJ51" i="41"/>
  <c r="BL51" i="41"/>
  <c r="BF51" i="41"/>
  <c r="F49" i="41"/>
  <c r="G49" i="41" s="1"/>
  <c r="E49" i="41"/>
  <c r="H49" i="41"/>
  <c r="D149" i="41"/>
  <c r="E40" i="41"/>
  <c r="H40" i="41"/>
  <c r="F40" i="41"/>
  <c r="G40" i="41" s="1"/>
  <c r="D163" i="41"/>
  <c r="D113" i="41"/>
  <c r="D114" i="41"/>
  <c r="J41" i="41"/>
  <c r="K41" i="41" s="1"/>
  <c r="L41" i="41"/>
  <c r="I41" i="41"/>
  <c r="I48" i="41"/>
  <c r="J48" i="41"/>
  <c r="K48" i="41" s="1"/>
  <c r="L48" i="41"/>
  <c r="H148" i="41"/>
  <c r="E148" i="41"/>
  <c r="F148" i="41"/>
  <c r="G148" i="41" s="1"/>
  <c r="E161" i="41"/>
  <c r="F161" i="41"/>
  <c r="G161" i="41" s="1"/>
  <c r="H161" i="41"/>
  <c r="BM15" i="41"/>
  <c r="BK15" i="41"/>
  <c r="BJ15" i="41"/>
  <c r="BI15" i="41"/>
  <c r="BG15" i="41"/>
  <c r="BF15" i="41"/>
  <c r="BE15" i="41"/>
  <c r="BC15" i="41"/>
  <c r="BL15" i="41"/>
  <c r="BD15" i="41"/>
  <c r="BH15" i="41"/>
  <c r="BN15" i="41"/>
  <c r="F45" i="41"/>
  <c r="G45" i="41" s="1"/>
  <c r="E45" i="41"/>
  <c r="H45" i="41"/>
  <c r="H112" i="41"/>
  <c r="F112" i="41"/>
  <c r="G112" i="41" s="1"/>
  <c r="E112" i="41"/>
  <c r="H145" i="41"/>
  <c r="E145" i="41"/>
  <c r="F145" i="41"/>
  <c r="G145" i="41" s="1"/>
  <c r="E29" i="41"/>
  <c r="F29" i="41"/>
  <c r="G29" i="41" s="1"/>
  <c r="H29" i="41"/>
  <c r="H34" i="41"/>
  <c r="E34" i="41"/>
  <c r="F34" i="41"/>
  <c r="G34" i="41" s="1"/>
  <c r="BN20" i="41"/>
  <c r="BK20" i="41"/>
  <c r="BC20" i="41"/>
  <c r="BD20" i="41"/>
  <c r="BE20" i="41"/>
  <c r="BH20" i="41"/>
  <c r="BI20" i="41"/>
  <c r="BL20" i="41"/>
  <c r="BM20" i="41"/>
  <c r="BG20" i="41"/>
  <c r="BF20" i="41"/>
  <c r="BJ20" i="41"/>
  <c r="BN44" i="41"/>
  <c r="BJ44" i="41"/>
  <c r="BH44" i="41"/>
  <c r="BF44" i="41"/>
  <c r="BK44" i="41"/>
  <c r="BD44" i="41"/>
  <c r="BM44" i="41"/>
  <c r="BG44" i="41"/>
  <c r="BL44" i="41"/>
  <c r="BI44" i="41"/>
  <c r="BC44" i="41"/>
  <c r="BE44" i="41"/>
  <c r="BK43" i="41"/>
  <c r="BI43" i="41"/>
  <c r="BH43" i="41"/>
  <c r="BF43" i="41"/>
  <c r="BD43" i="41"/>
  <c r="BE43" i="41"/>
  <c r="BC43" i="41"/>
  <c r="BN43" i="41"/>
  <c r="BM43" i="41"/>
  <c r="BL43" i="41"/>
  <c r="BJ43" i="41"/>
  <c r="BG43" i="41"/>
  <c r="E21" i="41"/>
  <c r="F21" i="41"/>
  <c r="G21" i="41" s="1"/>
  <c r="H21" i="41"/>
  <c r="H36" i="41"/>
  <c r="E36" i="41"/>
  <c r="F36" i="41"/>
  <c r="G36" i="41" s="1"/>
  <c r="V8" i="39"/>
  <c r="AB8" i="39" s="1"/>
  <c r="D83" i="41" s="1"/>
  <c r="AB58" i="39"/>
  <c r="S87" i="39"/>
  <c r="R87" i="39" s="1"/>
  <c r="T87" i="39"/>
  <c r="T89" i="39" s="1"/>
  <c r="T92" i="39" s="1"/>
  <c r="AA35" i="39"/>
  <c r="X35" i="39" s="1"/>
  <c r="AC70" i="39"/>
  <c r="D160" i="41" s="1"/>
  <c r="W67" i="39"/>
  <c r="AC8" i="39"/>
  <c r="D142" i="41" s="1"/>
  <c r="W7" i="39"/>
  <c r="AC28" i="39"/>
  <c r="D147" i="41" s="1"/>
  <c r="W27" i="39"/>
  <c r="AB54" i="39"/>
  <c r="D104" i="41" s="1"/>
  <c r="V53" i="39"/>
  <c r="W14" i="39"/>
  <c r="AA14" i="39"/>
  <c r="D16" i="41" s="1"/>
  <c r="V14" i="39"/>
  <c r="U13" i="39"/>
  <c r="AA67" i="39"/>
  <c r="X67" i="39" s="1"/>
  <c r="AC53" i="39"/>
  <c r="AA82" i="39"/>
  <c r="X82" i="39" s="1"/>
  <c r="AC23" i="39"/>
  <c r="D146" i="41" s="1"/>
  <c r="W22" i="39"/>
  <c r="P89" i="39"/>
  <c r="Q92" i="39"/>
  <c r="P92" i="39" s="1"/>
  <c r="W35" i="39"/>
  <c r="AC36" i="39"/>
  <c r="C92" i="39"/>
  <c r="E89" i="39"/>
  <c r="G89" i="39"/>
  <c r="AB70" i="39"/>
  <c r="D109" i="41" s="1"/>
  <c r="V67" i="39"/>
  <c r="AA76" i="39"/>
  <c r="D52" i="41" s="1"/>
  <c r="V76" i="39"/>
  <c r="U75" i="39"/>
  <c r="W76" i="39"/>
  <c r="W46" i="39"/>
  <c r="V46" i="39"/>
  <c r="U45" i="39"/>
  <c r="AA46" i="39"/>
  <c r="D37" i="41" s="1"/>
  <c r="AB28" i="39"/>
  <c r="D93" i="41" s="1"/>
  <c r="V27" i="39"/>
  <c r="AA22" i="39"/>
  <c r="X22" i="39" s="1"/>
  <c r="AA53" i="39"/>
  <c r="X53" i="39" s="1"/>
  <c r="V35" i="39"/>
  <c r="AB36" i="39"/>
  <c r="AB83" i="39"/>
  <c r="V82" i="39"/>
  <c r="AA27" i="39"/>
  <c r="X27" i="39" s="1"/>
  <c r="V22" i="39"/>
  <c r="AB23" i="39"/>
  <c r="D89" i="41" s="1"/>
  <c r="CB68" i="41" l="1"/>
  <c r="AO68" i="41" s="1"/>
  <c r="CN68" i="41"/>
  <c r="CH68" i="41"/>
  <c r="CE68" i="41"/>
  <c r="CD68" i="41"/>
  <c r="CK68" i="41"/>
  <c r="CG68" i="41"/>
  <c r="CC68" i="41"/>
  <c r="CJ68" i="41"/>
  <c r="CM68" i="41"/>
  <c r="CF68" i="41"/>
  <c r="CI68" i="41"/>
  <c r="CL68" i="41"/>
  <c r="BR178" i="41"/>
  <c r="BU178" i="41"/>
  <c r="BT178" i="41"/>
  <c r="BP178" i="41"/>
  <c r="BY178" i="41"/>
  <c r="CA178" i="41"/>
  <c r="BX178" i="41"/>
  <c r="BZ178" i="41"/>
  <c r="BS178" i="41"/>
  <c r="BQ178" i="41"/>
  <c r="BV178" i="41"/>
  <c r="BW178" i="41"/>
  <c r="BP127" i="41"/>
  <c r="BU127" i="41"/>
  <c r="BS127" i="41"/>
  <c r="BX127" i="41"/>
  <c r="BV127" i="41"/>
  <c r="BT127" i="41"/>
  <c r="BR127" i="41"/>
  <c r="CA127" i="41"/>
  <c r="BZ127" i="41"/>
  <c r="BY127" i="41"/>
  <c r="BW127" i="41"/>
  <c r="BQ127" i="41"/>
  <c r="CK177" i="41"/>
  <c r="CE177" i="41"/>
  <c r="CD177" i="41"/>
  <c r="CG177" i="41"/>
  <c r="CI177" i="41"/>
  <c r="CF177" i="41"/>
  <c r="CL177" i="41"/>
  <c r="CM177" i="41"/>
  <c r="CC177" i="41"/>
  <c r="CN177" i="41"/>
  <c r="CH177" i="41"/>
  <c r="CJ177" i="41"/>
  <c r="BX125" i="41"/>
  <c r="BS125" i="41"/>
  <c r="BR125" i="41"/>
  <c r="BT125" i="41"/>
  <c r="CA125" i="41"/>
  <c r="BW125" i="41"/>
  <c r="BP125" i="41"/>
  <c r="BV125" i="41"/>
  <c r="BZ125" i="41"/>
  <c r="BY125" i="41"/>
  <c r="BQ125" i="41"/>
  <c r="BU125" i="41"/>
  <c r="BO126" i="41"/>
  <c r="BY126" i="41"/>
  <c r="BR126" i="41"/>
  <c r="BX126" i="41"/>
  <c r="BP126" i="41"/>
  <c r="BU126" i="41"/>
  <c r="BZ126" i="41"/>
  <c r="CA126" i="41"/>
  <c r="BQ126" i="41"/>
  <c r="BT126" i="41"/>
  <c r="BW126" i="41"/>
  <c r="BS126" i="41"/>
  <c r="BV126" i="41"/>
  <c r="AB68" i="41"/>
  <c r="CB176" i="41"/>
  <c r="AO176" i="41" s="1"/>
  <c r="CB67" i="41"/>
  <c r="AO67" i="41" s="1"/>
  <c r="BO125" i="41"/>
  <c r="CP69" i="41"/>
  <c r="BO178" i="41"/>
  <c r="AB176" i="41"/>
  <c r="M126" i="41"/>
  <c r="N126" i="41"/>
  <c r="O126" i="41" s="1"/>
  <c r="N178" i="41"/>
  <c r="O178" i="41" s="1"/>
  <c r="M178" i="41"/>
  <c r="N127" i="41"/>
  <c r="O127" i="41" s="1"/>
  <c r="M127" i="41"/>
  <c r="N125" i="41"/>
  <c r="O125" i="41" s="1"/>
  <c r="M125" i="41"/>
  <c r="CE176" i="41"/>
  <c r="CH176" i="41"/>
  <c r="CK176" i="41"/>
  <c r="CN176" i="41"/>
  <c r="CG176" i="41"/>
  <c r="CC176" i="41"/>
  <c r="CJ176" i="41"/>
  <c r="CI176" i="41"/>
  <c r="CM176" i="41"/>
  <c r="CF176" i="41"/>
  <c r="CD176" i="41"/>
  <c r="CL176" i="41"/>
  <c r="AB177" i="41"/>
  <c r="CL67" i="41"/>
  <c r="CD67" i="41"/>
  <c r="CM67" i="41"/>
  <c r="CK67" i="41"/>
  <c r="CF67" i="41"/>
  <c r="CJ67" i="41"/>
  <c r="CG67" i="41"/>
  <c r="CN67" i="41"/>
  <c r="CH67" i="41"/>
  <c r="CC67" i="41"/>
  <c r="CI67" i="41"/>
  <c r="CE67" i="41"/>
  <c r="BO127" i="41"/>
  <c r="CB177" i="41"/>
  <c r="AO177" i="41" s="1"/>
  <c r="AB67" i="41"/>
  <c r="F157" i="41"/>
  <c r="G157" i="41" s="1"/>
  <c r="AC57" i="39"/>
  <c r="Z57" i="39" s="1"/>
  <c r="Z53" i="39"/>
  <c r="S89" i="39"/>
  <c r="S92" i="39" s="1"/>
  <c r="R92" i="39" s="1"/>
  <c r="AA7" i="39"/>
  <c r="X7" i="39" s="1"/>
  <c r="E14" i="41"/>
  <c r="BK14" i="41" s="1"/>
  <c r="V7" i="39"/>
  <c r="F14" i="41"/>
  <c r="G14" i="41" s="1"/>
  <c r="BO53" i="41"/>
  <c r="AB53" i="41" s="1"/>
  <c r="BO22" i="41"/>
  <c r="AB22" i="41" s="1"/>
  <c r="BO44" i="41"/>
  <c r="AB44" i="41" s="1"/>
  <c r="H83" i="41"/>
  <c r="F83" i="41"/>
  <c r="G83" i="41" s="1"/>
  <c r="E83" i="41"/>
  <c r="E109" i="41"/>
  <c r="H109" i="41"/>
  <c r="F109" i="41"/>
  <c r="G109" i="41" s="1"/>
  <c r="E52" i="41"/>
  <c r="H52" i="41"/>
  <c r="F52" i="41"/>
  <c r="G52" i="41" s="1"/>
  <c r="BN36" i="41"/>
  <c r="BK36" i="41"/>
  <c r="BC36" i="41"/>
  <c r="BD36" i="41"/>
  <c r="BE36" i="41"/>
  <c r="BH36" i="41"/>
  <c r="BI36" i="41"/>
  <c r="BL36" i="41"/>
  <c r="BM36" i="41"/>
  <c r="BF36" i="41"/>
  <c r="BG36" i="41"/>
  <c r="BJ36" i="41"/>
  <c r="BN21" i="41"/>
  <c r="BI21" i="41"/>
  <c r="BD21" i="41"/>
  <c r="BK21" i="41"/>
  <c r="BJ21" i="41"/>
  <c r="BE21" i="41"/>
  <c r="BG21" i="41"/>
  <c r="BF21" i="41"/>
  <c r="BL21" i="41"/>
  <c r="BC21" i="41"/>
  <c r="BM21" i="41"/>
  <c r="BH21" i="41"/>
  <c r="BO20" i="41"/>
  <c r="BL34" i="41"/>
  <c r="BG34" i="41"/>
  <c r="BC34" i="41"/>
  <c r="BK34" i="41"/>
  <c r="BM34" i="41"/>
  <c r="BE34" i="41"/>
  <c r="BF34" i="41"/>
  <c r="BI34" i="41"/>
  <c r="BJ34" i="41"/>
  <c r="BH34" i="41"/>
  <c r="BD34" i="41"/>
  <c r="BN34" i="41"/>
  <c r="BG29" i="41"/>
  <c r="BF29" i="41"/>
  <c r="BL29" i="41"/>
  <c r="BC29" i="41"/>
  <c r="BM29" i="41"/>
  <c r="BH29" i="41"/>
  <c r="BN29" i="41"/>
  <c r="BI29" i="41"/>
  <c r="BD29" i="41"/>
  <c r="BJ29" i="41"/>
  <c r="BE29" i="41"/>
  <c r="BK29" i="41"/>
  <c r="BH112" i="41"/>
  <c r="BC112" i="41"/>
  <c r="BK112" i="41"/>
  <c r="BD112" i="41"/>
  <c r="BM112" i="41"/>
  <c r="BN112" i="41"/>
  <c r="BL112" i="41"/>
  <c r="BI112" i="41"/>
  <c r="BG112" i="41"/>
  <c r="BF112" i="41"/>
  <c r="BE112" i="41"/>
  <c r="BJ112" i="41"/>
  <c r="BK45" i="41"/>
  <c r="BI45" i="41"/>
  <c r="BF45" i="41"/>
  <c r="BE45" i="41"/>
  <c r="BC45" i="41"/>
  <c r="BL45" i="41"/>
  <c r="BM45" i="41"/>
  <c r="BJ45" i="41"/>
  <c r="BG45" i="41"/>
  <c r="BH45" i="41"/>
  <c r="BD45" i="41"/>
  <c r="BN45" i="41"/>
  <c r="BH161" i="41"/>
  <c r="BJ161" i="41"/>
  <c r="BF161" i="41"/>
  <c r="BN161" i="41"/>
  <c r="BM161" i="41"/>
  <c r="BL161" i="41"/>
  <c r="BK161" i="41"/>
  <c r="BI161" i="41"/>
  <c r="BG161" i="41"/>
  <c r="BE161" i="41"/>
  <c r="BC161" i="41"/>
  <c r="BD161" i="41"/>
  <c r="M48" i="41"/>
  <c r="N48" i="41"/>
  <c r="O48" i="41" s="1"/>
  <c r="BV41" i="41"/>
  <c r="BP41" i="41"/>
  <c r="BS41" i="41"/>
  <c r="BZ41" i="41"/>
  <c r="BR41" i="41"/>
  <c r="BW41" i="41"/>
  <c r="BY41" i="41"/>
  <c r="BT41" i="41"/>
  <c r="BX41" i="41"/>
  <c r="BU41" i="41"/>
  <c r="BQ41" i="41"/>
  <c r="CA41" i="41"/>
  <c r="E114" i="41"/>
  <c r="F114" i="41"/>
  <c r="G114" i="41" s="1"/>
  <c r="H114" i="41"/>
  <c r="L14" i="41"/>
  <c r="J14" i="41"/>
  <c r="K14" i="41" s="1"/>
  <c r="I14" i="41"/>
  <c r="L58" i="41"/>
  <c r="J58" i="41"/>
  <c r="K58" i="41" s="1"/>
  <c r="I58" i="41"/>
  <c r="BO17" i="41"/>
  <c r="BF103" i="41"/>
  <c r="BJ103" i="41"/>
  <c r="BN103" i="41"/>
  <c r="BI103" i="41"/>
  <c r="BC103" i="41"/>
  <c r="BE103" i="41"/>
  <c r="BD103" i="41"/>
  <c r="BH103" i="41"/>
  <c r="BL103" i="41"/>
  <c r="BM103" i="41"/>
  <c r="BK103" i="41"/>
  <c r="BG103" i="41"/>
  <c r="BM168" i="41"/>
  <c r="BI168" i="41"/>
  <c r="BL168" i="41"/>
  <c r="BJ168" i="41"/>
  <c r="BC168" i="41"/>
  <c r="BH168" i="41"/>
  <c r="BF168" i="41"/>
  <c r="BE168" i="41"/>
  <c r="BD168" i="41"/>
  <c r="BG168" i="41"/>
  <c r="BN168" i="41"/>
  <c r="BK168" i="41"/>
  <c r="I155" i="41"/>
  <c r="J155" i="41"/>
  <c r="K155" i="41" s="1"/>
  <c r="L155" i="41"/>
  <c r="N44" i="41"/>
  <c r="O44" i="41" s="1"/>
  <c r="M44" i="41"/>
  <c r="BO46" i="41"/>
  <c r="L26" i="41"/>
  <c r="J26" i="41"/>
  <c r="K26" i="41" s="1"/>
  <c r="I26" i="41"/>
  <c r="I87" i="41"/>
  <c r="L87" i="41"/>
  <c r="J87" i="41"/>
  <c r="K87" i="41" s="1"/>
  <c r="BM165" i="41"/>
  <c r="BG165" i="41"/>
  <c r="BF165" i="41"/>
  <c r="BI165" i="41"/>
  <c r="BC165" i="41"/>
  <c r="BL165" i="41"/>
  <c r="BJ165" i="41"/>
  <c r="BN165" i="41"/>
  <c r="BE165" i="41"/>
  <c r="BD165" i="41"/>
  <c r="BK165" i="41"/>
  <c r="BH165" i="41"/>
  <c r="M39" i="41"/>
  <c r="N39" i="41"/>
  <c r="O39" i="41" s="1"/>
  <c r="BW17" i="41"/>
  <c r="BU17" i="41"/>
  <c r="BP17" i="41"/>
  <c r="BS17" i="41"/>
  <c r="BQ17" i="41"/>
  <c r="BZ17" i="41"/>
  <c r="BV17" i="41"/>
  <c r="BX17" i="41"/>
  <c r="BR17" i="41"/>
  <c r="CA17" i="41"/>
  <c r="BT17" i="41"/>
  <c r="BY17" i="41"/>
  <c r="I50" i="41"/>
  <c r="J50" i="41"/>
  <c r="K50" i="41" s="1"/>
  <c r="L50" i="41"/>
  <c r="I86" i="41"/>
  <c r="L86" i="41"/>
  <c r="J86" i="41"/>
  <c r="K86" i="41" s="1"/>
  <c r="BP18" i="41"/>
  <c r="BV18" i="41"/>
  <c r="BQ18" i="41"/>
  <c r="BZ18" i="41"/>
  <c r="CA18" i="41"/>
  <c r="BR18" i="41"/>
  <c r="BW18" i="41"/>
  <c r="BX18" i="41"/>
  <c r="BS18" i="41"/>
  <c r="BY18" i="41"/>
  <c r="BT18" i="41"/>
  <c r="BU18" i="41"/>
  <c r="BK157" i="41"/>
  <c r="BI157" i="41"/>
  <c r="BJ157" i="41"/>
  <c r="BG157" i="41"/>
  <c r="BE157" i="41"/>
  <c r="BL157" i="41"/>
  <c r="BC157" i="41"/>
  <c r="BN157" i="41"/>
  <c r="BD157" i="41"/>
  <c r="BM157" i="41"/>
  <c r="BF157" i="41"/>
  <c r="BH157" i="41"/>
  <c r="I60" i="41"/>
  <c r="L60" i="41"/>
  <c r="J60" i="41"/>
  <c r="K60" i="41" s="1"/>
  <c r="BM19" i="41"/>
  <c r="BH19" i="41"/>
  <c r="BC19" i="41"/>
  <c r="BI19" i="41"/>
  <c r="BD19" i="41"/>
  <c r="BN19" i="41"/>
  <c r="BE19" i="41"/>
  <c r="BK19" i="41"/>
  <c r="BJ19" i="41"/>
  <c r="BL19" i="41"/>
  <c r="BG19" i="41"/>
  <c r="BF19" i="41"/>
  <c r="L159" i="41"/>
  <c r="I159" i="41"/>
  <c r="J159" i="41"/>
  <c r="K159" i="41" s="1"/>
  <c r="BX51" i="41"/>
  <c r="BV51" i="41"/>
  <c r="BS51" i="41"/>
  <c r="BT51" i="41"/>
  <c r="BR51" i="41"/>
  <c r="BY51" i="41"/>
  <c r="BP51" i="41"/>
  <c r="BU51" i="41"/>
  <c r="BQ51" i="41"/>
  <c r="CA51" i="41"/>
  <c r="BW51" i="41"/>
  <c r="BZ51" i="41"/>
  <c r="J54" i="41"/>
  <c r="K54" i="41" s="1"/>
  <c r="I54" i="41"/>
  <c r="L54" i="41"/>
  <c r="L117" i="41"/>
  <c r="I117" i="41"/>
  <c r="J117" i="41"/>
  <c r="K117" i="41" s="1"/>
  <c r="BN38" i="41"/>
  <c r="BJ38" i="41"/>
  <c r="BH38" i="41"/>
  <c r="BF38" i="41"/>
  <c r="BG38" i="41"/>
  <c r="BE38" i="41"/>
  <c r="BC38" i="41"/>
  <c r="BM38" i="41"/>
  <c r="BD38" i="41"/>
  <c r="BK38" i="41"/>
  <c r="BI38" i="41"/>
  <c r="BL38" i="41"/>
  <c r="J85" i="41"/>
  <c r="K85" i="41" s="1"/>
  <c r="I85" i="41"/>
  <c r="L85" i="41"/>
  <c r="BL30" i="41"/>
  <c r="BG30" i="41"/>
  <c r="BC30" i="41"/>
  <c r="BK30" i="41"/>
  <c r="BM30" i="41"/>
  <c r="BE30" i="41"/>
  <c r="BI30" i="41"/>
  <c r="BN30" i="41"/>
  <c r="BF30" i="41"/>
  <c r="BH30" i="41"/>
  <c r="BJ30" i="41"/>
  <c r="BD30" i="41"/>
  <c r="BY15" i="41"/>
  <c r="CA15" i="41"/>
  <c r="BV15" i="41"/>
  <c r="BU15" i="41"/>
  <c r="BW15" i="41"/>
  <c r="BR15" i="41"/>
  <c r="BQ15" i="41"/>
  <c r="BS15" i="41"/>
  <c r="BX15" i="41"/>
  <c r="BT15" i="41"/>
  <c r="BP15" i="41"/>
  <c r="BZ15" i="41"/>
  <c r="J107" i="41"/>
  <c r="K107" i="41" s="1"/>
  <c r="L107" i="41"/>
  <c r="I107" i="41"/>
  <c r="J24" i="41"/>
  <c r="K24" i="41" s="1"/>
  <c r="I24" i="41"/>
  <c r="L24" i="41"/>
  <c r="J28" i="41"/>
  <c r="K28" i="41" s="1"/>
  <c r="I28" i="41"/>
  <c r="L28" i="41"/>
  <c r="BJ156" i="41"/>
  <c r="BD156" i="41"/>
  <c r="BC156" i="41"/>
  <c r="BF156" i="41"/>
  <c r="BM156" i="41"/>
  <c r="BK156" i="41"/>
  <c r="BL156" i="41"/>
  <c r="BE156" i="41"/>
  <c r="BG156" i="41"/>
  <c r="BH156" i="41"/>
  <c r="BI156" i="41"/>
  <c r="BN156" i="41"/>
  <c r="N53" i="41"/>
  <c r="O53" i="41" s="1"/>
  <c r="M53" i="41"/>
  <c r="BU43" i="41"/>
  <c r="BX43" i="41"/>
  <c r="BV43" i="41"/>
  <c r="BY43" i="41"/>
  <c r="BT43" i="41"/>
  <c r="BR43" i="41"/>
  <c r="BP43" i="41"/>
  <c r="BQ43" i="41"/>
  <c r="CA43" i="41"/>
  <c r="BS43" i="41"/>
  <c r="BW43" i="41"/>
  <c r="BZ43" i="41"/>
  <c r="BZ20" i="41"/>
  <c r="BU20" i="41"/>
  <c r="BP20" i="41"/>
  <c r="BV20" i="41"/>
  <c r="BQ20" i="41"/>
  <c r="CA20" i="41"/>
  <c r="BR20" i="41"/>
  <c r="BX20" i="41"/>
  <c r="BW20" i="41"/>
  <c r="BT20" i="41"/>
  <c r="BS20" i="41"/>
  <c r="BY20" i="41"/>
  <c r="J152" i="41"/>
  <c r="K152" i="41" s="1"/>
  <c r="I152" i="41"/>
  <c r="L152" i="41"/>
  <c r="D98" i="41"/>
  <c r="D97" i="41"/>
  <c r="E93" i="41"/>
  <c r="H93" i="41"/>
  <c r="F93" i="41"/>
  <c r="G93" i="41" s="1"/>
  <c r="H146" i="41"/>
  <c r="F146" i="41"/>
  <c r="G146" i="41" s="1"/>
  <c r="E146" i="41"/>
  <c r="L36" i="41"/>
  <c r="J36" i="41"/>
  <c r="K36" i="41" s="1"/>
  <c r="I36" i="41"/>
  <c r="L34" i="41"/>
  <c r="J34" i="41"/>
  <c r="K34" i="41" s="1"/>
  <c r="I34" i="41"/>
  <c r="N41" i="41"/>
  <c r="O41" i="41" s="1"/>
  <c r="M41" i="41"/>
  <c r="F113" i="41"/>
  <c r="G113" i="41" s="1"/>
  <c r="E113" i="41"/>
  <c r="H113" i="41"/>
  <c r="I40" i="41"/>
  <c r="J40" i="41"/>
  <c r="K40" i="41" s="1"/>
  <c r="L40" i="41"/>
  <c r="D61" i="41"/>
  <c r="J49" i="41"/>
  <c r="K49" i="41" s="1"/>
  <c r="L49" i="41"/>
  <c r="I49" i="41"/>
  <c r="BM27" i="41"/>
  <c r="BH27" i="41"/>
  <c r="BC27" i="41"/>
  <c r="BI27" i="41"/>
  <c r="BD27" i="41"/>
  <c r="BN27" i="41"/>
  <c r="BE27" i="41"/>
  <c r="BK27" i="41"/>
  <c r="BJ27" i="41"/>
  <c r="BG27" i="41"/>
  <c r="BF27" i="41"/>
  <c r="BL27" i="41"/>
  <c r="I25" i="41"/>
  <c r="L25" i="41"/>
  <c r="J25" i="41"/>
  <c r="K25" i="41" s="1"/>
  <c r="BI116" i="41"/>
  <c r="BG116" i="41"/>
  <c r="BC116" i="41"/>
  <c r="BK116" i="41"/>
  <c r="BD116" i="41"/>
  <c r="BE116" i="41"/>
  <c r="BN116" i="41"/>
  <c r="BM116" i="41"/>
  <c r="BL116" i="41"/>
  <c r="BJ116" i="41"/>
  <c r="BH116" i="41"/>
  <c r="BF116" i="41"/>
  <c r="J92" i="41"/>
  <c r="K92" i="41" s="1"/>
  <c r="L92" i="41"/>
  <c r="I92" i="41"/>
  <c r="BG59" i="41"/>
  <c r="BN59" i="41"/>
  <c r="BK59" i="41"/>
  <c r="BL59" i="41"/>
  <c r="BJ59" i="41"/>
  <c r="BH59" i="41"/>
  <c r="BF59" i="41"/>
  <c r="BC59" i="41"/>
  <c r="BE59" i="41"/>
  <c r="BD59" i="41"/>
  <c r="BI59" i="41"/>
  <c r="BM59" i="41"/>
  <c r="BM105" i="41"/>
  <c r="BF105" i="41"/>
  <c r="BH105" i="41"/>
  <c r="BN105" i="41"/>
  <c r="BK105" i="41"/>
  <c r="BI105" i="41"/>
  <c r="BJ105" i="41"/>
  <c r="BG105" i="41"/>
  <c r="BE105" i="41"/>
  <c r="BD105" i="41"/>
  <c r="BC105" i="41"/>
  <c r="BL105" i="41"/>
  <c r="I168" i="41"/>
  <c r="J168" i="41"/>
  <c r="K168" i="41" s="1"/>
  <c r="L168" i="41"/>
  <c r="BM35" i="41"/>
  <c r="BH35" i="41"/>
  <c r="BC35" i="41"/>
  <c r="BI35" i="41"/>
  <c r="BD35" i="41"/>
  <c r="BN35" i="41"/>
  <c r="BE35" i="41"/>
  <c r="BK35" i="41"/>
  <c r="BJ35" i="41"/>
  <c r="BL35" i="41"/>
  <c r="BG35" i="41"/>
  <c r="BF35" i="41"/>
  <c r="L101" i="41"/>
  <c r="J101" i="41"/>
  <c r="K101" i="41" s="1"/>
  <c r="I101" i="41"/>
  <c r="L165" i="41"/>
  <c r="I165" i="41"/>
  <c r="J165" i="41"/>
  <c r="K165" i="41" s="1"/>
  <c r="BU39" i="41"/>
  <c r="BP39" i="41"/>
  <c r="BZ39" i="41"/>
  <c r="BQ39" i="41"/>
  <c r="BX39" i="41"/>
  <c r="BV39" i="41"/>
  <c r="BY39" i="41"/>
  <c r="BT39" i="41"/>
  <c r="CA39" i="41"/>
  <c r="BR39" i="41"/>
  <c r="BW39" i="41"/>
  <c r="BS39" i="41"/>
  <c r="BM91" i="41"/>
  <c r="BG91" i="41"/>
  <c r="BJ91" i="41"/>
  <c r="BK91" i="41"/>
  <c r="BI91" i="41"/>
  <c r="BC91" i="41"/>
  <c r="BL91" i="41"/>
  <c r="BD91" i="41"/>
  <c r="BE91" i="41"/>
  <c r="BN91" i="41"/>
  <c r="BH91" i="41"/>
  <c r="BF91" i="41"/>
  <c r="BF50" i="41"/>
  <c r="BN50" i="41"/>
  <c r="BJ50" i="41"/>
  <c r="BH50" i="41"/>
  <c r="BG50" i="41"/>
  <c r="BE50" i="41"/>
  <c r="BC50" i="41"/>
  <c r="BM50" i="41"/>
  <c r="BD50" i="41"/>
  <c r="BL50" i="41"/>
  <c r="BK50" i="41"/>
  <c r="BI50" i="41"/>
  <c r="BM94" i="41"/>
  <c r="BI94" i="41"/>
  <c r="BL94" i="41"/>
  <c r="BH94" i="41"/>
  <c r="BF94" i="41"/>
  <c r="BE94" i="41"/>
  <c r="BD94" i="41"/>
  <c r="BK94" i="41"/>
  <c r="BN94" i="41"/>
  <c r="BJ94" i="41"/>
  <c r="BC94" i="41"/>
  <c r="BG94" i="41"/>
  <c r="E31" i="41"/>
  <c r="F31" i="41"/>
  <c r="G31" i="41" s="1"/>
  <c r="H31" i="41"/>
  <c r="BH60" i="41"/>
  <c r="BK60" i="41"/>
  <c r="BD60" i="41"/>
  <c r="BM60" i="41"/>
  <c r="BG60" i="41"/>
  <c r="BL60" i="41"/>
  <c r="BI60" i="41"/>
  <c r="BC60" i="41"/>
  <c r="BE60" i="41"/>
  <c r="BF60" i="41"/>
  <c r="BN60" i="41"/>
  <c r="BJ60" i="41"/>
  <c r="BO47" i="41"/>
  <c r="BO48" i="41"/>
  <c r="BI99" i="41"/>
  <c r="BC99" i="41"/>
  <c r="BD99" i="41"/>
  <c r="BE99" i="41"/>
  <c r="BJ99" i="41"/>
  <c r="BL99" i="41"/>
  <c r="BK99" i="41"/>
  <c r="BN99" i="41"/>
  <c r="BH99" i="41"/>
  <c r="BG99" i="41"/>
  <c r="BF99" i="41"/>
  <c r="BM99" i="41"/>
  <c r="L57" i="41"/>
  <c r="I57" i="41"/>
  <c r="J57" i="41"/>
  <c r="K57" i="41" s="1"/>
  <c r="BJ54" i="41"/>
  <c r="BH54" i="41"/>
  <c r="BM54" i="41"/>
  <c r="BL54" i="41"/>
  <c r="BG54" i="41"/>
  <c r="BD54" i="41"/>
  <c r="BC54" i="41"/>
  <c r="BI54" i="41"/>
  <c r="BF54" i="41"/>
  <c r="BK54" i="41"/>
  <c r="BE54" i="41"/>
  <c r="BN54" i="41"/>
  <c r="BG88" i="41"/>
  <c r="BN88" i="41"/>
  <c r="BH88" i="41"/>
  <c r="BI88" i="41"/>
  <c r="BJ88" i="41"/>
  <c r="BD88" i="41"/>
  <c r="BF88" i="41"/>
  <c r="BM88" i="41"/>
  <c r="BE88" i="41"/>
  <c r="BL88" i="41"/>
  <c r="BC88" i="41"/>
  <c r="BK88" i="41"/>
  <c r="N22" i="41"/>
  <c r="O22" i="41" s="1"/>
  <c r="M22" i="41"/>
  <c r="L100" i="41"/>
  <c r="I100" i="41"/>
  <c r="J100" i="41"/>
  <c r="K100" i="41" s="1"/>
  <c r="J164" i="41"/>
  <c r="K164" i="41" s="1"/>
  <c r="L164" i="41"/>
  <c r="I164" i="41"/>
  <c r="L30" i="41"/>
  <c r="J30" i="41"/>
  <c r="K30" i="41" s="1"/>
  <c r="I30" i="41"/>
  <c r="BG90" i="41"/>
  <c r="BC90" i="41"/>
  <c r="BI90" i="41"/>
  <c r="BK90" i="41"/>
  <c r="BH90" i="41"/>
  <c r="BF90" i="41"/>
  <c r="BD90" i="41"/>
  <c r="BE90" i="41"/>
  <c r="BM90" i="41"/>
  <c r="BL90" i="41"/>
  <c r="BN90" i="41"/>
  <c r="BJ90" i="41"/>
  <c r="BM23" i="41"/>
  <c r="BH23" i="41"/>
  <c r="BC23" i="41"/>
  <c r="BI23" i="41"/>
  <c r="BD23" i="41"/>
  <c r="BN23" i="41"/>
  <c r="BE23" i="41"/>
  <c r="BK23" i="41"/>
  <c r="BJ23" i="41"/>
  <c r="BL23" i="41"/>
  <c r="BG23" i="41"/>
  <c r="BF23" i="41"/>
  <c r="BX53" i="41"/>
  <c r="CA53" i="41"/>
  <c r="BW53" i="41"/>
  <c r="BZ53" i="41"/>
  <c r="BT53" i="41"/>
  <c r="BS53" i="41"/>
  <c r="BV53" i="41"/>
  <c r="BP53" i="41"/>
  <c r="BY53" i="41"/>
  <c r="BR53" i="41"/>
  <c r="BU53" i="41"/>
  <c r="BQ53" i="41"/>
  <c r="BI108" i="41"/>
  <c r="BG108" i="41"/>
  <c r="BM108" i="41"/>
  <c r="BE108" i="41"/>
  <c r="BF108" i="41"/>
  <c r="BC108" i="41"/>
  <c r="BL108" i="41"/>
  <c r="BK108" i="41"/>
  <c r="BN108" i="41"/>
  <c r="BJ108" i="41"/>
  <c r="BH108" i="41"/>
  <c r="BD108" i="41"/>
  <c r="BT46" i="41"/>
  <c r="BV46" i="41"/>
  <c r="BR46" i="41"/>
  <c r="BZ46" i="41"/>
  <c r="BY46" i="41"/>
  <c r="BX46" i="41"/>
  <c r="CA46" i="41"/>
  <c r="BU46" i="41"/>
  <c r="BW46" i="41"/>
  <c r="BQ46" i="41"/>
  <c r="BP46" i="41"/>
  <c r="BS46" i="41"/>
  <c r="H89" i="41"/>
  <c r="E89" i="41"/>
  <c r="F89" i="41"/>
  <c r="G89" i="41" s="1"/>
  <c r="D115" i="41"/>
  <c r="D166" i="41"/>
  <c r="E37" i="41"/>
  <c r="F37" i="41"/>
  <c r="G37" i="41" s="1"/>
  <c r="H37" i="41"/>
  <c r="H104" i="41"/>
  <c r="E104" i="41"/>
  <c r="F104" i="41"/>
  <c r="G104" i="41" s="1"/>
  <c r="F142" i="41"/>
  <c r="G142" i="41" s="1"/>
  <c r="H142" i="41"/>
  <c r="E142" i="41"/>
  <c r="L21" i="41"/>
  <c r="I21" i="41"/>
  <c r="J21" i="41"/>
  <c r="K21" i="41" s="1"/>
  <c r="BO43" i="41"/>
  <c r="J29" i="41"/>
  <c r="K29" i="41" s="1"/>
  <c r="I29" i="41"/>
  <c r="L29" i="41"/>
  <c r="BI145" i="41"/>
  <c r="BC145" i="41"/>
  <c r="BD145" i="41"/>
  <c r="BM145" i="41"/>
  <c r="BE145" i="41"/>
  <c r="BN145" i="41"/>
  <c r="BL145" i="41"/>
  <c r="BJ145" i="41"/>
  <c r="BK145" i="41"/>
  <c r="BF145" i="41"/>
  <c r="BH145" i="41"/>
  <c r="BG145" i="41"/>
  <c r="J112" i="41"/>
  <c r="K112" i="41" s="1"/>
  <c r="L112" i="41"/>
  <c r="I112" i="41"/>
  <c r="BO15" i="41"/>
  <c r="J161" i="41"/>
  <c r="K161" i="41" s="1"/>
  <c r="I161" i="41"/>
  <c r="L161" i="41"/>
  <c r="BE148" i="41"/>
  <c r="BH148" i="41"/>
  <c r="BD148" i="41"/>
  <c r="BN148" i="41"/>
  <c r="BC148" i="41"/>
  <c r="BJ148" i="41"/>
  <c r="BG148" i="41"/>
  <c r="BF148" i="41"/>
  <c r="BI148" i="41"/>
  <c r="BK148" i="41"/>
  <c r="BM148" i="41"/>
  <c r="BL148" i="41"/>
  <c r="BT48" i="41"/>
  <c r="BZ48" i="41"/>
  <c r="BV48" i="41"/>
  <c r="BR48" i="41"/>
  <c r="BU48" i="41"/>
  <c r="BS48" i="41"/>
  <c r="BQ48" i="41"/>
  <c r="BP48" i="41"/>
  <c r="CA48" i="41"/>
  <c r="BX48" i="41"/>
  <c r="BY48" i="41"/>
  <c r="BW48" i="41"/>
  <c r="F163" i="41"/>
  <c r="G163" i="41" s="1"/>
  <c r="E163" i="41"/>
  <c r="H163" i="41"/>
  <c r="BF40" i="41"/>
  <c r="BN40" i="41"/>
  <c r="BJ40" i="41"/>
  <c r="BH40" i="41"/>
  <c r="BK40" i="41"/>
  <c r="BD40" i="41"/>
  <c r="BM40" i="41"/>
  <c r="BG40" i="41"/>
  <c r="BL40" i="41"/>
  <c r="BI40" i="41"/>
  <c r="BC40" i="41"/>
  <c r="BE40" i="41"/>
  <c r="BK49" i="41"/>
  <c r="BC49" i="41"/>
  <c r="BL49" i="41"/>
  <c r="BM49" i="41"/>
  <c r="BI49" i="41"/>
  <c r="BH49" i="41"/>
  <c r="BN49" i="41"/>
  <c r="BD49" i="41"/>
  <c r="BJ49" i="41"/>
  <c r="BE49" i="41"/>
  <c r="BF49" i="41"/>
  <c r="BG49" i="41"/>
  <c r="BO51" i="41"/>
  <c r="BH58" i="41"/>
  <c r="BJ58" i="41"/>
  <c r="BF58" i="41"/>
  <c r="BN58" i="41"/>
  <c r="BC58" i="41"/>
  <c r="BD58" i="41"/>
  <c r="BM58" i="41"/>
  <c r="BL58" i="41"/>
  <c r="BK58" i="41"/>
  <c r="BI58" i="41"/>
  <c r="BG58" i="41"/>
  <c r="BE58" i="41"/>
  <c r="J116" i="41"/>
  <c r="K116" i="41" s="1"/>
  <c r="I116" i="41"/>
  <c r="L116" i="41"/>
  <c r="J103" i="41"/>
  <c r="K103" i="41" s="1"/>
  <c r="I103" i="41"/>
  <c r="L103" i="41"/>
  <c r="BO41" i="41"/>
  <c r="I105" i="41"/>
  <c r="J105" i="41"/>
  <c r="K105" i="41" s="1"/>
  <c r="L105" i="41"/>
  <c r="I95" i="41"/>
  <c r="J95" i="41"/>
  <c r="K95" i="41" s="1"/>
  <c r="L95" i="41"/>
  <c r="BT44" i="41"/>
  <c r="BZ44" i="41"/>
  <c r="BV44" i="41"/>
  <c r="BR44" i="41"/>
  <c r="BY44" i="41"/>
  <c r="BW44" i="41"/>
  <c r="BU44" i="41"/>
  <c r="BS44" i="41"/>
  <c r="BQ44" i="41"/>
  <c r="BP44" i="41"/>
  <c r="CA44" i="41"/>
  <c r="BX44" i="41"/>
  <c r="BJ87" i="41"/>
  <c r="BF87" i="41"/>
  <c r="BN87" i="41"/>
  <c r="BE87" i="41"/>
  <c r="BD87" i="41"/>
  <c r="BK87" i="41"/>
  <c r="BL87" i="41"/>
  <c r="BG87" i="41"/>
  <c r="BH87" i="41"/>
  <c r="BC87" i="41"/>
  <c r="BM87" i="41"/>
  <c r="BI87" i="41"/>
  <c r="N17" i="41"/>
  <c r="O17" i="41" s="1"/>
  <c r="M17" i="41"/>
  <c r="BE153" i="41"/>
  <c r="BH153" i="41"/>
  <c r="BD153" i="41"/>
  <c r="BK153" i="41"/>
  <c r="BC153" i="41"/>
  <c r="BJ153" i="41"/>
  <c r="BM153" i="41"/>
  <c r="BF153" i="41"/>
  <c r="BL153" i="41"/>
  <c r="BI153" i="41"/>
  <c r="BN153" i="41"/>
  <c r="BG153" i="41"/>
  <c r="L91" i="41"/>
  <c r="I91" i="41"/>
  <c r="J91" i="41"/>
  <c r="K91" i="41" s="1"/>
  <c r="BI144" i="41"/>
  <c r="BC144" i="41"/>
  <c r="BG144" i="41"/>
  <c r="BK144" i="41"/>
  <c r="BH144" i="41"/>
  <c r="BF144" i="41"/>
  <c r="BD144" i="41"/>
  <c r="BE144" i="41"/>
  <c r="BN144" i="41"/>
  <c r="BM144" i="41"/>
  <c r="BJ144" i="41"/>
  <c r="BL144" i="41"/>
  <c r="I94" i="41"/>
  <c r="L94" i="41"/>
  <c r="J94" i="41"/>
  <c r="K94" i="41" s="1"/>
  <c r="I157" i="41"/>
  <c r="J157" i="41"/>
  <c r="K157" i="41" s="1"/>
  <c r="L157" i="41"/>
  <c r="L19" i="41"/>
  <c r="J19" i="41"/>
  <c r="K19" i="41" s="1"/>
  <c r="I19" i="41"/>
  <c r="BI158" i="41"/>
  <c r="BK158" i="41"/>
  <c r="BG158" i="41"/>
  <c r="BC158" i="41"/>
  <c r="BN158" i="41"/>
  <c r="BM158" i="41"/>
  <c r="BL158" i="41"/>
  <c r="BJ158" i="41"/>
  <c r="BH158" i="41"/>
  <c r="BF158" i="41"/>
  <c r="BE158" i="41"/>
  <c r="BD158" i="41"/>
  <c r="I99" i="41"/>
  <c r="J99" i="41"/>
  <c r="K99" i="41" s="1"/>
  <c r="L99" i="41"/>
  <c r="E56" i="41"/>
  <c r="F56" i="41"/>
  <c r="G56" i="41" s="1"/>
  <c r="H56" i="41"/>
  <c r="BI57" i="41"/>
  <c r="BL57" i="41"/>
  <c r="BM57" i="41"/>
  <c r="BN57" i="41"/>
  <c r="BH57" i="41"/>
  <c r="BJ57" i="41"/>
  <c r="BD57" i="41"/>
  <c r="BG57" i="41"/>
  <c r="BF57" i="41"/>
  <c r="BE57" i="41"/>
  <c r="BC57" i="41"/>
  <c r="BK57" i="41"/>
  <c r="N51" i="41"/>
  <c r="O51" i="41" s="1"/>
  <c r="M51" i="41"/>
  <c r="BP22" i="41"/>
  <c r="BZ22" i="41"/>
  <c r="BU22" i="41"/>
  <c r="CA22" i="41"/>
  <c r="BV22" i="41"/>
  <c r="BQ22" i="41"/>
  <c r="BX22" i="41"/>
  <c r="BW22" i="41"/>
  <c r="BR22" i="41"/>
  <c r="BY22" i="41"/>
  <c r="BT22" i="41"/>
  <c r="BS22" i="41"/>
  <c r="BN85" i="41"/>
  <c r="BJ85" i="41"/>
  <c r="BF85" i="41"/>
  <c r="BK85" i="41"/>
  <c r="BI85" i="41"/>
  <c r="BH85" i="41"/>
  <c r="BG85" i="41"/>
  <c r="BE85" i="41"/>
  <c r="BD85" i="41"/>
  <c r="BL85" i="41"/>
  <c r="BC85" i="41"/>
  <c r="BM85" i="41"/>
  <c r="M15" i="41"/>
  <c r="N15" i="41"/>
  <c r="O15" i="41" s="1"/>
  <c r="M47" i="41"/>
  <c r="N47" i="41"/>
  <c r="O47" i="41" s="1"/>
  <c r="L90" i="41"/>
  <c r="J90" i="41"/>
  <c r="K90" i="41" s="1"/>
  <c r="I90" i="41"/>
  <c r="BM107" i="41"/>
  <c r="BG107" i="41"/>
  <c r="BJ107" i="41"/>
  <c r="BI107" i="41"/>
  <c r="BC107" i="41"/>
  <c r="BL107" i="41"/>
  <c r="BE107" i="41"/>
  <c r="BN107" i="41"/>
  <c r="BH107" i="41"/>
  <c r="BF107" i="41"/>
  <c r="BD107" i="41"/>
  <c r="BK107" i="41"/>
  <c r="I167" i="41"/>
  <c r="J167" i="41"/>
  <c r="K167" i="41" s="1"/>
  <c r="L167" i="41"/>
  <c r="BO18" i="41"/>
  <c r="H118" i="41"/>
  <c r="E118" i="41"/>
  <c r="F118" i="41"/>
  <c r="G118" i="41" s="1"/>
  <c r="H96" i="41"/>
  <c r="E96" i="41"/>
  <c r="F96" i="41"/>
  <c r="G96" i="41" s="1"/>
  <c r="I156" i="41"/>
  <c r="J156" i="41"/>
  <c r="K156" i="41" s="1"/>
  <c r="L156" i="41"/>
  <c r="N20" i="41"/>
  <c r="O20" i="41" s="1"/>
  <c r="M20" i="41"/>
  <c r="BM110" i="41"/>
  <c r="BN110" i="41"/>
  <c r="BC110" i="41"/>
  <c r="BL110" i="41"/>
  <c r="BJ110" i="41"/>
  <c r="BG110" i="41"/>
  <c r="BH110" i="41"/>
  <c r="BF110" i="41"/>
  <c r="BE110" i="41"/>
  <c r="BI110" i="41"/>
  <c r="BD110" i="41"/>
  <c r="BK110" i="41"/>
  <c r="H32" i="41"/>
  <c r="E32" i="41"/>
  <c r="F32" i="41"/>
  <c r="G32" i="41" s="1"/>
  <c r="D151" i="41"/>
  <c r="D150" i="41"/>
  <c r="H16" i="41"/>
  <c r="E16" i="41"/>
  <c r="F16" i="41"/>
  <c r="G16" i="41" s="1"/>
  <c r="E147" i="41"/>
  <c r="F147" i="41"/>
  <c r="G147" i="41" s="1"/>
  <c r="H147" i="41"/>
  <c r="H160" i="41"/>
  <c r="F160" i="41"/>
  <c r="G160" i="41" s="1"/>
  <c r="E160" i="41"/>
  <c r="AB57" i="39"/>
  <c r="Y57" i="39" s="1"/>
  <c r="D106" i="41"/>
  <c r="L145" i="41"/>
  <c r="I145" i="41"/>
  <c r="J145" i="41"/>
  <c r="K145" i="41" s="1"/>
  <c r="J45" i="41"/>
  <c r="K45" i="41" s="1"/>
  <c r="I45" i="41"/>
  <c r="L45" i="41"/>
  <c r="I148" i="41"/>
  <c r="J148" i="41"/>
  <c r="K148" i="41" s="1"/>
  <c r="L148" i="41"/>
  <c r="E149" i="41"/>
  <c r="F149" i="41"/>
  <c r="G149" i="41" s="1"/>
  <c r="H149" i="41"/>
  <c r="I27" i="41"/>
  <c r="L27" i="41"/>
  <c r="J27" i="41"/>
  <c r="K27" i="41" s="1"/>
  <c r="BK25" i="41"/>
  <c r="BJ25" i="41"/>
  <c r="BE25" i="41"/>
  <c r="BG25" i="41"/>
  <c r="BF25" i="41"/>
  <c r="BL25" i="41"/>
  <c r="BC25" i="41"/>
  <c r="BM25" i="41"/>
  <c r="BH25" i="41"/>
  <c r="BN25" i="41"/>
  <c r="BI25" i="41"/>
  <c r="BD25" i="41"/>
  <c r="BM92" i="41"/>
  <c r="BI92" i="41"/>
  <c r="BE92" i="41"/>
  <c r="BG92" i="41"/>
  <c r="BJ92" i="41"/>
  <c r="BD92" i="41"/>
  <c r="BF92" i="41"/>
  <c r="BC92" i="41"/>
  <c r="BK92" i="41"/>
  <c r="BN92" i="41"/>
  <c r="BL92" i="41"/>
  <c r="BH92" i="41"/>
  <c r="I59" i="41"/>
  <c r="L59" i="41"/>
  <c r="J59" i="41"/>
  <c r="K59" i="41" s="1"/>
  <c r="BC155" i="41"/>
  <c r="BE155" i="41"/>
  <c r="BN155" i="41"/>
  <c r="BM155" i="41"/>
  <c r="BF155" i="41"/>
  <c r="BD155" i="41"/>
  <c r="BK155" i="41"/>
  <c r="BH155" i="41"/>
  <c r="BL155" i="41"/>
  <c r="BG155" i="41"/>
  <c r="BJ155" i="41"/>
  <c r="BI155" i="41"/>
  <c r="BN95" i="41"/>
  <c r="BJ95" i="41"/>
  <c r="BF95" i="41"/>
  <c r="BH95" i="41"/>
  <c r="BI95" i="41"/>
  <c r="BC95" i="41"/>
  <c r="BE95" i="41"/>
  <c r="BK95" i="41"/>
  <c r="BG95" i="41"/>
  <c r="BD95" i="41"/>
  <c r="BL95" i="41"/>
  <c r="BM95" i="41"/>
  <c r="L35" i="41"/>
  <c r="J35" i="41"/>
  <c r="K35" i="41" s="1"/>
  <c r="I35" i="41"/>
  <c r="BL26" i="41"/>
  <c r="BG26" i="41"/>
  <c r="BC26" i="41"/>
  <c r="BK26" i="41"/>
  <c r="BM26" i="41"/>
  <c r="BE26" i="41"/>
  <c r="BJ26" i="41"/>
  <c r="BN26" i="41"/>
  <c r="BI26" i="41"/>
  <c r="BH26" i="41"/>
  <c r="BF26" i="41"/>
  <c r="BD26" i="41"/>
  <c r="BJ101" i="41"/>
  <c r="BF101" i="41"/>
  <c r="BN101" i="41"/>
  <c r="BM101" i="41"/>
  <c r="BL101" i="41"/>
  <c r="BK101" i="41"/>
  <c r="BI101" i="41"/>
  <c r="BG101" i="41"/>
  <c r="BC101" i="41"/>
  <c r="BE101" i="41"/>
  <c r="BH101" i="41"/>
  <c r="BD101" i="41"/>
  <c r="J153" i="41"/>
  <c r="K153" i="41" s="1"/>
  <c r="L153" i="41"/>
  <c r="I153" i="41"/>
  <c r="BM86" i="41"/>
  <c r="BL86" i="41"/>
  <c r="BJ86" i="41"/>
  <c r="BC86" i="41"/>
  <c r="BN86" i="41"/>
  <c r="BE86" i="41"/>
  <c r="BF86" i="41"/>
  <c r="BH86" i="41"/>
  <c r="BG86" i="41"/>
  <c r="BK86" i="41"/>
  <c r="BI86" i="41"/>
  <c r="BD86" i="41"/>
  <c r="J144" i="41"/>
  <c r="K144" i="41" s="1"/>
  <c r="I144" i="41"/>
  <c r="L144" i="41"/>
  <c r="N18" i="41"/>
  <c r="O18" i="41" s="1"/>
  <c r="M18" i="41"/>
  <c r="E42" i="41"/>
  <c r="H42" i="41"/>
  <c r="F42" i="41"/>
  <c r="G42" i="41" s="1"/>
  <c r="L158" i="41"/>
  <c r="J158" i="41"/>
  <c r="K158" i="41" s="1"/>
  <c r="I158" i="41"/>
  <c r="BE159" i="41"/>
  <c r="BN159" i="41"/>
  <c r="BD159" i="41"/>
  <c r="BK159" i="41"/>
  <c r="BF159" i="41"/>
  <c r="BL159" i="41"/>
  <c r="BM159" i="41"/>
  <c r="BG159" i="41"/>
  <c r="BJ159" i="41"/>
  <c r="BI159" i="41"/>
  <c r="BC159" i="41"/>
  <c r="BH159" i="41"/>
  <c r="H55" i="41"/>
  <c r="F55" i="41"/>
  <c r="G55" i="41" s="1"/>
  <c r="E55" i="41"/>
  <c r="BI117" i="41"/>
  <c r="BC117" i="41"/>
  <c r="BL117" i="41"/>
  <c r="BG117" i="41"/>
  <c r="BE117" i="41"/>
  <c r="BN117" i="41"/>
  <c r="BD117" i="41"/>
  <c r="BK117" i="41"/>
  <c r="BF117" i="41"/>
  <c r="BH117" i="41"/>
  <c r="BM117" i="41"/>
  <c r="BJ117" i="41"/>
  <c r="I88" i="41"/>
  <c r="J88" i="41"/>
  <c r="K88" i="41" s="1"/>
  <c r="L88" i="41"/>
  <c r="BM100" i="41"/>
  <c r="BI100" i="41"/>
  <c r="BE100" i="41"/>
  <c r="BL100" i="41"/>
  <c r="BK100" i="41"/>
  <c r="BN100" i="41"/>
  <c r="BH100" i="41"/>
  <c r="BG100" i="41"/>
  <c r="BJ100" i="41"/>
  <c r="BF100" i="41"/>
  <c r="BD100" i="41"/>
  <c r="BC100" i="41"/>
  <c r="I38" i="41"/>
  <c r="J38" i="41"/>
  <c r="K38" i="41" s="1"/>
  <c r="L38" i="41"/>
  <c r="BC164" i="41"/>
  <c r="BE164" i="41"/>
  <c r="BD164" i="41"/>
  <c r="BM164" i="41"/>
  <c r="BF164" i="41"/>
  <c r="BI164" i="41"/>
  <c r="BK164" i="41"/>
  <c r="BH164" i="41"/>
  <c r="BL164" i="41"/>
  <c r="BG164" i="41"/>
  <c r="BJ164" i="41"/>
  <c r="BN164" i="41"/>
  <c r="BO39" i="41"/>
  <c r="BU47" i="41"/>
  <c r="BP47" i="41"/>
  <c r="BZ47" i="41"/>
  <c r="BQ47" i="41"/>
  <c r="BX47" i="41"/>
  <c r="BV47" i="41"/>
  <c r="BY47" i="41"/>
  <c r="CA47" i="41"/>
  <c r="BT47" i="41"/>
  <c r="BR47" i="41"/>
  <c r="BW47" i="41"/>
  <c r="BS47" i="41"/>
  <c r="I23" i="41"/>
  <c r="L23" i="41"/>
  <c r="J23" i="41"/>
  <c r="K23" i="41" s="1"/>
  <c r="BN167" i="41"/>
  <c r="BJ167" i="41"/>
  <c r="BF167" i="41"/>
  <c r="BH167" i="41"/>
  <c r="BC167" i="41"/>
  <c r="BM167" i="41"/>
  <c r="BD167" i="41"/>
  <c r="BK167" i="41"/>
  <c r="BI167" i="41"/>
  <c r="BL167" i="41"/>
  <c r="BG167" i="41"/>
  <c r="BE167" i="41"/>
  <c r="E169" i="41"/>
  <c r="F169" i="41"/>
  <c r="G169" i="41" s="1"/>
  <c r="H169" i="41"/>
  <c r="BN24" i="41"/>
  <c r="BK24" i="41"/>
  <c r="BC24" i="41"/>
  <c r="BH24" i="41"/>
  <c r="BE24" i="41"/>
  <c r="BG24" i="41"/>
  <c r="BL24" i="41"/>
  <c r="BI24" i="41"/>
  <c r="BM24" i="41"/>
  <c r="BF24" i="41"/>
  <c r="BD24" i="41"/>
  <c r="BJ24" i="41"/>
  <c r="BN28" i="41"/>
  <c r="BK28" i="41"/>
  <c r="BC28" i="41"/>
  <c r="BL28" i="41"/>
  <c r="BE28" i="41"/>
  <c r="BI28" i="41"/>
  <c r="BD28" i="41"/>
  <c r="BM28" i="41"/>
  <c r="BH28" i="41"/>
  <c r="BG28" i="41"/>
  <c r="BF28" i="41"/>
  <c r="BJ28" i="41"/>
  <c r="N43" i="41"/>
  <c r="O43" i="41" s="1"/>
  <c r="M43" i="41"/>
  <c r="J108" i="41"/>
  <c r="K108" i="41" s="1"/>
  <c r="L108" i="41"/>
  <c r="I108" i="41"/>
  <c r="M46" i="41"/>
  <c r="N46" i="41"/>
  <c r="O46" i="41" s="1"/>
  <c r="BG152" i="41"/>
  <c r="BC152" i="41"/>
  <c r="BI152" i="41"/>
  <c r="BK152" i="41"/>
  <c r="BL152" i="41"/>
  <c r="BJ152" i="41"/>
  <c r="BH152" i="41"/>
  <c r="BF152" i="41"/>
  <c r="BD152" i="41"/>
  <c r="BE152" i="41"/>
  <c r="BM152" i="41"/>
  <c r="BN152" i="41"/>
  <c r="I110" i="41"/>
  <c r="L110" i="41"/>
  <c r="J110" i="41"/>
  <c r="K110" i="41" s="1"/>
  <c r="E33" i="41"/>
  <c r="F33" i="41"/>
  <c r="G33" i="41" s="1"/>
  <c r="H33" i="41"/>
  <c r="U87" i="39"/>
  <c r="U89" i="39" s="1"/>
  <c r="U92" i="39" s="1"/>
  <c r="AB82" i="39"/>
  <c r="Y82" i="39" s="1"/>
  <c r="AB27" i="39"/>
  <c r="Y27" i="39" s="1"/>
  <c r="AB46" i="39"/>
  <c r="D102" i="41" s="1"/>
  <c r="V45" i="39"/>
  <c r="AA75" i="39"/>
  <c r="X75" i="39" s="1"/>
  <c r="AB67" i="39"/>
  <c r="Y67" i="39" s="1"/>
  <c r="E92" i="39"/>
  <c r="G92" i="39"/>
  <c r="AA13" i="39"/>
  <c r="X13" i="39" s="1"/>
  <c r="W45" i="39"/>
  <c r="AC46" i="39"/>
  <c r="D154" i="41" s="1"/>
  <c r="AC76" i="39"/>
  <c r="D162" i="41" s="1"/>
  <c r="W75" i="39"/>
  <c r="AC14" i="39"/>
  <c r="D143" i="41" s="1"/>
  <c r="W13" i="39"/>
  <c r="AC7" i="39"/>
  <c r="AB7" i="39"/>
  <c r="AA45" i="39"/>
  <c r="X45" i="39" s="1"/>
  <c r="AC67" i="39"/>
  <c r="Z67" i="39" s="1"/>
  <c r="AB22" i="39"/>
  <c r="Y22" i="39" s="1"/>
  <c r="AB35" i="39"/>
  <c r="Y35" i="39" s="1"/>
  <c r="AB76" i="39"/>
  <c r="D111" i="41" s="1"/>
  <c r="V75" i="39"/>
  <c r="AC35" i="39"/>
  <c r="Z35" i="39" s="1"/>
  <c r="AC22" i="39"/>
  <c r="Z22" i="39" s="1"/>
  <c r="AB14" i="39"/>
  <c r="D84" i="41" s="1"/>
  <c r="V13" i="39"/>
  <c r="AB53" i="39"/>
  <c r="Y53" i="39" s="1"/>
  <c r="AC27" i="39"/>
  <c r="Z27" i="39" s="1"/>
  <c r="CM126" i="41" l="1"/>
  <c r="CN126" i="41"/>
  <c r="CF126" i="41"/>
  <c r="CL126" i="41"/>
  <c r="CK126" i="41"/>
  <c r="CH126" i="41"/>
  <c r="CD126" i="41"/>
  <c r="CC126" i="41"/>
  <c r="CG126" i="41"/>
  <c r="CJ126" i="41"/>
  <c r="CI126" i="41"/>
  <c r="CE126" i="41"/>
  <c r="CB125" i="41"/>
  <c r="AO125" i="41" s="1"/>
  <c r="CO68" i="41"/>
  <c r="BB68" i="41" s="1"/>
  <c r="CO67" i="41"/>
  <c r="CH125" i="41"/>
  <c r="CE125" i="41"/>
  <c r="CK125" i="41"/>
  <c r="CN125" i="41"/>
  <c r="CD125" i="41"/>
  <c r="CC125" i="41"/>
  <c r="CJ125" i="41"/>
  <c r="CL125" i="41"/>
  <c r="CM125" i="41"/>
  <c r="CI125" i="41"/>
  <c r="CF125" i="41"/>
  <c r="CG125" i="41"/>
  <c r="CH178" i="41"/>
  <c r="CC178" i="41"/>
  <c r="CG178" i="41"/>
  <c r="CD178" i="41"/>
  <c r="CK178" i="41"/>
  <c r="CE178" i="41"/>
  <c r="CN178" i="41"/>
  <c r="CF178" i="41"/>
  <c r="CJ178" i="41"/>
  <c r="CL178" i="41"/>
  <c r="CI178" i="41"/>
  <c r="CM178" i="41"/>
  <c r="AB125" i="41"/>
  <c r="AB127" i="41"/>
  <c r="CB126" i="41"/>
  <c r="AO126" i="41" s="1"/>
  <c r="AB126" i="41"/>
  <c r="CO177" i="41"/>
  <c r="CB127" i="41"/>
  <c r="AO127" i="41" s="1"/>
  <c r="CO176" i="41"/>
  <c r="BB176" i="41" s="1"/>
  <c r="CN127" i="41"/>
  <c r="CH127" i="41"/>
  <c r="CG127" i="41"/>
  <c r="CD127" i="41"/>
  <c r="CI127" i="41"/>
  <c r="CF127" i="41"/>
  <c r="CC127" i="41"/>
  <c r="CJ127" i="41"/>
  <c r="CK127" i="41"/>
  <c r="CL127" i="41"/>
  <c r="CM127" i="41"/>
  <c r="CE127" i="41"/>
  <c r="AB178" i="41"/>
  <c r="CB178" i="41"/>
  <c r="AO178" i="41" s="1"/>
  <c r="R89" i="39"/>
  <c r="BH14" i="41"/>
  <c r="BG14" i="41"/>
  <c r="BM14" i="41"/>
  <c r="BF14" i="41"/>
  <c r="BL14" i="41"/>
  <c r="BE14" i="41"/>
  <c r="BJ14" i="41"/>
  <c r="BI14" i="41"/>
  <c r="BC14" i="41"/>
  <c r="BO94" i="41"/>
  <c r="AB94" i="41" s="1"/>
  <c r="BD14" i="41"/>
  <c r="BN14" i="41"/>
  <c r="BO34" i="41"/>
  <c r="AB34" i="41" s="1"/>
  <c r="BO59" i="41"/>
  <c r="AB59" i="41" s="1"/>
  <c r="CB43" i="41"/>
  <c r="AO43" i="41" s="1"/>
  <c r="D119" i="41"/>
  <c r="F119" i="41" s="1"/>
  <c r="G119" i="41" s="1"/>
  <c r="BO152" i="41"/>
  <c r="AB152" i="41" s="1"/>
  <c r="BO24" i="41"/>
  <c r="AB24" i="41" s="1"/>
  <c r="H61" i="41"/>
  <c r="I61" i="41" s="1"/>
  <c r="BO26" i="41"/>
  <c r="AB26" i="41" s="1"/>
  <c r="BO100" i="41"/>
  <c r="AB100" i="41" s="1"/>
  <c r="BO158" i="41"/>
  <c r="AB158" i="41" s="1"/>
  <c r="BO58" i="41"/>
  <c r="AB58" i="41" s="1"/>
  <c r="BO148" i="41"/>
  <c r="BO21" i="41"/>
  <c r="AB21" i="41" s="1"/>
  <c r="H143" i="41"/>
  <c r="E143" i="41"/>
  <c r="F143" i="41"/>
  <c r="G143" i="41" s="1"/>
  <c r="BO28" i="41"/>
  <c r="AB39" i="41"/>
  <c r="N158" i="41"/>
  <c r="O158" i="41" s="1"/>
  <c r="M158" i="41"/>
  <c r="BY35" i="41"/>
  <c r="BT35" i="41"/>
  <c r="BS35" i="41"/>
  <c r="BU35" i="41"/>
  <c r="BP35" i="41"/>
  <c r="BZ35" i="41"/>
  <c r="BQ35" i="41"/>
  <c r="CA35" i="41"/>
  <c r="BV35" i="41"/>
  <c r="BW35" i="41"/>
  <c r="BR35" i="41"/>
  <c r="BX35" i="41"/>
  <c r="BQ27" i="41"/>
  <c r="CA27" i="41"/>
  <c r="BV27" i="41"/>
  <c r="BX27" i="41"/>
  <c r="BW27" i="41"/>
  <c r="BR27" i="41"/>
  <c r="BY27" i="41"/>
  <c r="BT27" i="41"/>
  <c r="BS27" i="41"/>
  <c r="BP27" i="41"/>
  <c r="BZ27" i="41"/>
  <c r="BU27" i="41"/>
  <c r="BQ148" i="41"/>
  <c r="BU148" i="41"/>
  <c r="BX148" i="41"/>
  <c r="BV148" i="41"/>
  <c r="BW148" i="41"/>
  <c r="BT148" i="41"/>
  <c r="BR148" i="41"/>
  <c r="BY148" i="41"/>
  <c r="BP148" i="41"/>
  <c r="CA148" i="41"/>
  <c r="BZ148" i="41"/>
  <c r="BS148" i="41"/>
  <c r="J56" i="41"/>
  <c r="K56" i="41" s="1"/>
  <c r="I56" i="41"/>
  <c r="L56" i="41"/>
  <c r="BU103" i="41"/>
  <c r="BS103" i="41"/>
  <c r="BZ103" i="41"/>
  <c r="BQ103" i="41"/>
  <c r="BX103" i="41"/>
  <c r="BV103" i="41"/>
  <c r="CA103" i="41"/>
  <c r="BP103" i="41"/>
  <c r="BR103" i="41"/>
  <c r="BW103" i="41"/>
  <c r="BT103" i="41"/>
  <c r="BY103" i="41"/>
  <c r="BW21" i="41"/>
  <c r="BR21" i="41"/>
  <c r="BX21" i="41"/>
  <c r="BS21" i="41"/>
  <c r="BY21" i="41"/>
  <c r="BT21" i="41"/>
  <c r="BZ21" i="41"/>
  <c r="BU21" i="41"/>
  <c r="BP21" i="41"/>
  <c r="CA21" i="41"/>
  <c r="BV21" i="41"/>
  <c r="BQ21" i="41"/>
  <c r="BN37" i="41"/>
  <c r="BI37" i="41"/>
  <c r="BD37" i="41"/>
  <c r="BK37" i="41"/>
  <c r="BJ37" i="41"/>
  <c r="BE37" i="41"/>
  <c r="BG37" i="41"/>
  <c r="BF37" i="41"/>
  <c r="BL37" i="41"/>
  <c r="BM37" i="41"/>
  <c r="BH37" i="41"/>
  <c r="BC37" i="41"/>
  <c r="BR100" i="41"/>
  <c r="BW100" i="41"/>
  <c r="BY100" i="41"/>
  <c r="BX100" i="41"/>
  <c r="CA100" i="41"/>
  <c r="BU100" i="41"/>
  <c r="BZ100" i="41"/>
  <c r="BT100" i="41"/>
  <c r="BS100" i="41"/>
  <c r="BP100" i="41"/>
  <c r="BQ100" i="41"/>
  <c r="BV100" i="41"/>
  <c r="BQ165" i="41"/>
  <c r="BZ165" i="41"/>
  <c r="BP165" i="41"/>
  <c r="BS165" i="41"/>
  <c r="CA165" i="41"/>
  <c r="BR165" i="41"/>
  <c r="BX165" i="41"/>
  <c r="BT165" i="41"/>
  <c r="BY165" i="41"/>
  <c r="BW165" i="41"/>
  <c r="BV165" i="41"/>
  <c r="BU165" i="41"/>
  <c r="M25" i="41"/>
  <c r="N25" i="41"/>
  <c r="O25" i="41" s="1"/>
  <c r="BT40" i="41"/>
  <c r="BR40" i="41"/>
  <c r="BZ40" i="41"/>
  <c r="BV40" i="41"/>
  <c r="CA40" i="41"/>
  <c r="BX40" i="41"/>
  <c r="BY40" i="41"/>
  <c r="BW40" i="41"/>
  <c r="BU40" i="41"/>
  <c r="BS40" i="41"/>
  <c r="BQ40" i="41"/>
  <c r="BP40" i="41"/>
  <c r="BZ36" i="41"/>
  <c r="BU36" i="41"/>
  <c r="BP36" i="41"/>
  <c r="BV36" i="41"/>
  <c r="BQ36" i="41"/>
  <c r="CA36" i="41"/>
  <c r="BR36" i="41"/>
  <c r="BX36" i="41"/>
  <c r="BW36" i="41"/>
  <c r="BS36" i="41"/>
  <c r="BY36" i="41"/>
  <c r="BT36" i="41"/>
  <c r="BN93" i="41"/>
  <c r="BJ93" i="41"/>
  <c r="BF93" i="41"/>
  <c r="BH93" i="41"/>
  <c r="BG93" i="41"/>
  <c r="BE93" i="41"/>
  <c r="BC93" i="41"/>
  <c r="BD93" i="41"/>
  <c r="BK93" i="41"/>
  <c r="BL93" i="41"/>
  <c r="BM93" i="41"/>
  <c r="BI93" i="41"/>
  <c r="M24" i="41"/>
  <c r="N24" i="41"/>
  <c r="O24" i="41" s="1"/>
  <c r="BT50" i="41"/>
  <c r="BR50" i="41"/>
  <c r="BZ50" i="41"/>
  <c r="BV50" i="41"/>
  <c r="CA50" i="41"/>
  <c r="BU50" i="41"/>
  <c r="BW50" i="41"/>
  <c r="BQ50" i="41"/>
  <c r="BS50" i="41"/>
  <c r="BP50" i="41"/>
  <c r="BY50" i="41"/>
  <c r="BX50" i="41"/>
  <c r="AB46" i="41"/>
  <c r="BN114" i="41"/>
  <c r="BH114" i="41"/>
  <c r="BI114" i="41"/>
  <c r="BJ114" i="41"/>
  <c r="BD114" i="41"/>
  <c r="BG114" i="41"/>
  <c r="BE114" i="41"/>
  <c r="BF114" i="41"/>
  <c r="BM114" i="41"/>
  <c r="BK114" i="41"/>
  <c r="BL114" i="41"/>
  <c r="BC114" i="41"/>
  <c r="F162" i="41"/>
  <c r="G162" i="41" s="1"/>
  <c r="H162" i="41"/>
  <c r="E162" i="41"/>
  <c r="CM46" i="41"/>
  <c r="CG46" i="41"/>
  <c r="CL46" i="41"/>
  <c r="CI46" i="41"/>
  <c r="CC46" i="41"/>
  <c r="CD46" i="41"/>
  <c r="CE46" i="41"/>
  <c r="CN46" i="41"/>
  <c r="CJ46" i="41"/>
  <c r="CK46" i="41"/>
  <c r="CF46" i="41"/>
  <c r="CH46" i="41"/>
  <c r="CL43" i="41"/>
  <c r="CE43" i="41"/>
  <c r="CG43" i="41"/>
  <c r="CF43" i="41"/>
  <c r="CI43" i="41"/>
  <c r="CN43" i="41"/>
  <c r="CH43" i="41"/>
  <c r="CK43" i="41"/>
  <c r="CM43" i="41"/>
  <c r="CJ43" i="41"/>
  <c r="CD43" i="41"/>
  <c r="CC43" i="41"/>
  <c r="BF169" i="41"/>
  <c r="BN169" i="41"/>
  <c r="BH169" i="41"/>
  <c r="BJ169" i="41"/>
  <c r="BK169" i="41"/>
  <c r="BD169" i="41"/>
  <c r="BM169" i="41"/>
  <c r="BG169" i="41"/>
  <c r="BL169" i="41"/>
  <c r="BI169" i="41"/>
  <c r="BC169" i="41"/>
  <c r="BE169" i="41"/>
  <c r="N38" i="41"/>
  <c r="O38" i="41" s="1"/>
  <c r="M38" i="41"/>
  <c r="BO117" i="41"/>
  <c r="L55" i="41"/>
  <c r="J55" i="41"/>
  <c r="K55" i="41" s="1"/>
  <c r="I55" i="41"/>
  <c r="BO86" i="41"/>
  <c r="BY153" i="41"/>
  <c r="BV153" i="41"/>
  <c r="BW153" i="41"/>
  <c r="BS153" i="41"/>
  <c r="BU153" i="41"/>
  <c r="BP153" i="41"/>
  <c r="BR153" i="41"/>
  <c r="BQ153" i="41"/>
  <c r="BX153" i="41"/>
  <c r="BZ153" i="41"/>
  <c r="CA153" i="41"/>
  <c r="BT153" i="41"/>
  <c r="BO95" i="41"/>
  <c r="BZ59" i="41"/>
  <c r="BQ59" i="41"/>
  <c r="BS59" i="41"/>
  <c r="BP59" i="41"/>
  <c r="BX59" i="41"/>
  <c r="BV59" i="41"/>
  <c r="BW59" i="41"/>
  <c r="CA59" i="41"/>
  <c r="BT59" i="41"/>
  <c r="BR59" i="41"/>
  <c r="BU59" i="41"/>
  <c r="BY59" i="41"/>
  <c r="I149" i="41"/>
  <c r="L149" i="41"/>
  <c r="J149" i="41"/>
  <c r="K149" i="41" s="1"/>
  <c r="N45" i="41"/>
  <c r="O45" i="41" s="1"/>
  <c r="M45" i="41"/>
  <c r="BU145" i="41"/>
  <c r="BS145" i="41"/>
  <c r="BT145" i="41"/>
  <c r="BY145" i="41"/>
  <c r="BQ145" i="41"/>
  <c r="BV145" i="41"/>
  <c r="BX145" i="41"/>
  <c r="BR145" i="41"/>
  <c r="CA145" i="41"/>
  <c r="BZ145" i="41"/>
  <c r="BP145" i="41"/>
  <c r="BW145" i="41"/>
  <c r="BH147" i="41"/>
  <c r="BN147" i="41"/>
  <c r="BJ147" i="41"/>
  <c r="BF147" i="41"/>
  <c r="BG147" i="41"/>
  <c r="BE147" i="41"/>
  <c r="BC147" i="41"/>
  <c r="BD147" i="41"/>
  <c r="BM147" i="41"/>
  <c r="BL147" i="41"/>
  <c r="BI147" i="41"/>
  <c r="BK147" i="41"/>
  <c r="BO110" i="41"/>
  <c r="BG118" i="41"/>
  <c r="BE118" i="41"/>
  <c r="BI118" i="41"/>
  <c r="BM118" i="41"/>
  <c r="BF118" i="41"/>
  <c r="BC118" i="41"/>
  <c r="BL118" i="41"/>
  <c r="BK118" i="41"/>
  <c r="BN118" i="41"/>
  <c r="BH118" i="41"/>
  <c r="BD118" i="41"/>
  <c r="BJ118" i="41"/>
  <c r="N90" i="41"/>
  <c r="O90" i="41" s="1"/>
  <c r="M90" i="41"/>
  <c r="CK15" i="41"/>
  <c r="CM15" i="41"/>
  <c r="CH15" i="41"/>
  <c r="CG15" i="41"/>
  <c r="CI15" i="41"/>
  <c r="CD15" i="41"/>
  <c r="CN15" i="41"/>
  <c r="CL15" i="41"/>
  <c r="CC15" i="41"/>
  <c r="CE15" i="41"/>
  <c r="CJ15" i="41"/>
  <c r="CF15" i="41"/>
  <c r="CB22" i="41"/>
  <c r="BO57" i="41"/>
  <c r="BY99" i="41"/>
  <c r="BW99" i="41"/>
  <c r="BV99" i="41"/>
  <c r="BU99" i="41"/>
  <c r="BS99" i="41"/>
  <c r="BT99" i="41"/>
  <c r="BQ99" i="41"/>
  <c r="BZ99" i="41"/>
  <c r="BP99" i="41"/>
  <c r="CA99" i="41"/>
  <c r="BX99" i="41"/>
  <c r="BR99" i="41"/>
  <c r="M157" i="41"/>
  <c r="N157" i="41"/>
  <c r="O157" i="41" s="1"/>
  <c r="BY91" i="41"/>
  <c r="BW91" i="41"/>
  <c r="BR91" i="41"/>
  <c r="BU91" i="41"/>
  <c r="BS91" i="41"/>
  <c r="BX91" i="41"/>
  <c r="BQ91" i="41"/>
  <c r="BV91" i="41"/>
  <c r="BT91" i="41"/>
  <c r="BP91" i="41"/>
  <c r="CA91" i="41"/>
  <c r="BZ91" i="41"/>
  <c r="BW105" i="41"/>
  <c r="BQ105" i="41"/>
  <c r="BT105" i="41"/>
  <c r="CA105" i="41"/>
  <c r="BS105" i="41"/>
  <c r="BV105" i="41"/>
  <c r="BP105" i="41"/>
  <c r="BU105" i="41"/>
  <c r="BY105" i="41"/>
  <c r="BZ105" i="41"/>
  <c r="BX105" i="41"/>
  <c r="BR105" i="41"/>
  <c r="AB51" i="41"/>
  <c r="CB48" i="41"/>
  <c r="AO48" i="41" s="1"/>
  <c r="N161" i="41"/>
  <c r="O161" i="41" s="1"/>
  <c r="M161" i="41"/>
  <c r="BU112" i="41"/>
  <c r="BS112" i="41"/>
  <c r="BT112" i="41"/>
  <c r="BR112" i="41"/>
  <c r="BQ112" i="41"/>
  <c r="BV112" i="41"/>
  <c r="BX112" i="41"/>
  <c r="BY112" i="41"/>
  <c r="CA112" i="41"/>
  <c r="BZ112" i="41"/>
  <c r="BP112" i="41"/>
  <c r="BW112" i="41"/>
  <c r="BZ29" i="41"/>
  <c r="BU29" i="41"/>
  <c r="BP29" i="41"/>
  <c r="CA29" i="41"/>
  <c r="BV29" i="41"/>
  <c r="BQ29" i="41"/>
  <c r="BW29" i="41"/>
  <c r="BR29" i="41"/>
  <c r="BX29" i="41"/>
  <c r="BS29" i="41"/>
  <c r="BY29" i="41"/>
  <c r="BT29" i="41"/>
  <c r="N21" i="41"/>
  <c r="O21" i="41" s="1"/>
  <c r="M21" i="41"/>
  <c r="BG104" i="41"/>
  <c r="BL104" i="41"/>
  <c r="BE104" i="41"/>
  <c r="BN104" i="41"/>
  <c r="BH104" i="41"/>
  <c r="BI104" i="41"/>
  <c r="BM104" i="41"/>
  <c r="BJ104" i="41"/>
  <c r="BF104" i="41"/>
  <c r="BC104" i="41"/>
  <c r="BK104" i="41"/>
  <c r="BD104" i="41"/>
  <c r="CB53" i="41"/>
  <c r="CA30" i="41"/>
  <c r="BV30" i="41"/>
  <c r="BQ30" i="41"/>
  <c r="BZ30" i="41"/>
  <c r="BX30" i="41"/>
  <c r="BW30" i="41"/>
  <c r="BR30" i="41"/>
  <c r="BT30" i="41"/>
  <c r="BS30" i="41"/>
  <c r="BY30" i="41"/>
  <c r="BP30" i="41"/>
  <c r="BU30" i="41"/>
  <c r="M164" i="41"/>
  <c r="N164" i="41"/>
  <c r="O164" i="41" s="1"/>
  <c r="N100" i="41"/>
  <c r="O100" i="41" s="1"/>
  <c r="M100" i="41"/>
  <c r="BO88" i="41"/>
  <c r="BO54" i="41"/>
  <c r="BV57" i="41"/>
  <c r="BP57" i="41"/>
  <c r="BQ57" i="41"/>
  <c r="BZ57" i="41"/>
  <c r="BY57" i="41"/>
  <c r="BR57" i="41"/>
  <c r="CA57" i="41"/>
  <c r="BW57" i="41"/>
  <c r="BX57" i="41"/>
  <c r="BS57" i="41"/>
  <c r="BU57" i="41"/>
  <c r="BT57" i="41"/>
  <c r="BO99" i="41"/>
  <c r="BO60" i="41"/>
  <c r="J31" i="41"/>
  <c r="K31" i="41" s="1"/>
  <c r="I31" i="41"/>
  <c r="L31" i="41"/>
  <c r="BO91" i="41"/>
  <c r="CB39" i="41"/>
  <c r="AO39" i="41" s="1"/>
  <c r="N165" i="41"/>
  <c r="O165" i="41" s="1"/>
  <c r="M165" i="41"/>
  <c r="N168" i="41"/>
  <c r="O168" i="41" s="1"/>
  <c r="M168" i="41"/>
  <c r="BO105" i="41"/>
  <c r="M92" i="41"/>
  <c r="N92" i="41"/>
  <c r="O92" i="41" s="1"/>
  <c r="BS25" i="41"/>
  <c r="BY25" i="41"/>
  <c r="BT25" i="41"/>
  <c r="BZ25" i="41"/>
  <c r="BU25" i="41"/>
  <c r="BP25" i="41"/>
  <c r="CA25" i="41"/>
  <c r="BV25" i="41"/>
  <c r="BQ25" i="41"/>
  <c r="BR25" i="41"/>
  <c r="BX25" i="41"/>
  <c r="BW25" i="41"/>
  <c r="E61" i="41"/>
  <c r="F61" i="41"/>
  <c r="G61" i="41" s="1"/>
  <c r="J113" i="41"/>
  <c r="K113" i="41" s="1"/>
  <c r="L113" i="41"/>
  <c r="I113" i="41"/>
  <c r="CA34" i="41"/>
  <c r="BV34" i="41"/>
  <c r="BQ34" i="41"/>
  <c r="BX34" i="41"/>
  <c r="BW34" i="41"/>
  <c r="BR34" i="41"/>
  <c r="BT34" i="41"/>
  <c r="BS34" i="41"/>
  <c r="BY34" i="41"/>
  <c r="BP34" i="41"/>
  <c r="BZ34" i="41"/>
  <c r="BU34" i="41"/>
  <c r="J146" i="41"/>
  <c r="K146" i="41" s="1"/>
  <c r="L146" i="41"/>
  <c r="I146" i="41"/>
  <c r="F97" i="41"/>
  <c r="G97" i="41" s="1"/>
  <c r="E97" i="41"/>
  <c r="H97" i="41"/>
  <c r="BP152" i="41"/>
  <c r="BY152" i="41"/>
  <c r="CA152" i="41"/>
  <c r="BZ152" i="41"/>
  <c r="BQ152" i="41"/>
  <c r="BW152" i="41"/>
  <c r="BX152" i="41"/>
  <c r="BV152" i="41"/>
  <c r="BU152" i="41"/>
  <c r="BR152" i="41"/>
  <c r="BS152" i="41"/>
  <c r="BT152" i="41"/>
  <c r="N28" i="41"/>
  <c r="O28" i="41" s="1"/>
  <c r="M28" i="41"/>
  <c r="BV24" i="41"/>
  <c r="BQ24" i="41"/>
  <c r="CA24" i="41"/>
  <c r="BR24" i="41"/>
  <c r="BX24" i="41"/>
  <c r="BW24" i="41"/>
  <c r="BY24" i="41"/>
  <c r="BT24" i="41"/>
  <c r="BS24" i="41"/>
  <c r="BU24" i="41"/>
  <c r="BP24" i="41"/>
  <c r="BZ24" i="41"/>
  <c r="BO30" i="41"/>
  <c r="N85" i="41"/>
  <c r="O85" i="41" s="1"/>
  <c r="M85" i="41"/>
  <c r="BO38" i="41"/>
  <c r="CA117" i="41"/>
  <c r="BZ117" i="41"/>
  <c r="BP117" i="41"/>
  <c r="BX117" i="41"/>
  <c r="BY117" i="41"/>
  <c r="BW117" i="41"/>
  <c r="BR117" i="41"/>
  <c r="BV117" i="41"/>
  <c r="BU117" i="41"/>
  <c r="BS117" i="41"/>
  <c r="BT117" i="41"/>
  <c r="BQ117" i="41"/>
  <c r="CB51" i="41"/>
  <c r="AO51" i="41" s="1"/>
  <c r="BU159" i="41"/>
  <c r="BS159" i="41"/>
  <c r="BX159" i="41"/>
  <c r="BQ159" i="41"/>
  <c r="BV159" i="41"/>
  <c r="BP159" i="41"/>
  <c r="CA159" i="41"/>
  <c r="BZ159" i="41"/>
  <c r="BT159" i="41"/>
  <c r="BY159" i="41"/>
  <c r="BW159" i="41"/>
  <c r="BR159" i="41"/>
  <c r="BO157" i="41"/>
  <c r="BQ86" i="41"/>
  <c r="BU86" i="41"/>
  <c r="BP86" i="41"/>
  <c r="BW86" i="41"/>
  <c r="BY86" i="41"/>
  <c r="BZ86" i="41"/>
  <c r="CA86" i="41"/>
  <c r="BX86" i="41"/>
  <c r="BV86" i="41"/>
  <c r="BS86" i="41"/>
  <c r="BR86" i="41"/>
  <c r="BT86" i="41"/>
  <c r="BO165" i="41"/>
  <c r="BP26" i="41"/>
  <c r="BZ26" i="41"/>
  <c r="BU26" i="41"/>
  <c r="CA26" i="41"/>
  <c r="BV26" i="41"/>
  <c r="BQ26" i="41"/>
  <c r="BX26" i="41"/>
  <c r="BW26" i="41"/>
  <c r="BR26" i="41"/>
  <c r="BY26" i="41"/>
  <c r="BT26" i="41"/>
  <c r="BS26" i="41"/>
  <c r="CC44" i="41"/>
  <c r="CN44" i="41"/>
  <c r="CJ44" i="41"/>
  <c r="CM44" i="41"/>
  <c r="CF44" i="41"/>
  <c r="CH44" i="41"/>
  <c r="CK44" i="41"/>
  <c r="CI44" i="41"/>
  <c r="CL44" i="41"/>
  <c r="CE44" i="41"/>
  <c r="CD44" i="41"/>
  <c r="CG44" i="41"/>
  <c r="BS155" i="41"/>
  <c r="BU155" i="41"/>
  <c r="BT155" i="41"/>
  <c r="BX155" i="41"/>
  <c r="BP155" i="41"/>
  <c r="BY155" i="41"/>
  <c r="CA155" i="41"/>
  <c r="BR155" i="41"/>
  <c r="BQ155" i="41"/>
  <c r="BW155" i="41"/>
  <c r="BZ155" i="41"/>
  <c r="BV155" i="41"/>
  <c r="BO168" i="41"/>
  <c r="BO103" i="41"/>
  <c r="M58" i="41"/>
  <c r="N58" i="41"/>
  <c r="O58" i="41" s="1"/>
  <c r="N14" i="41"/>
  <c r="O14" i="41" s="1"/>
  <c r="M14" i="41"/>
  <c r="CK48" i="41"/>
  <c r="CI48" i="41"/>
  <c r="CL48" i="41"/>
  <c r="CG48" i="41"/>
  <c r="CE48" i="41"/>
  <c r="CD48" i="41"/>
  <c r="CC48" i="41"/>
  <c r="CN48" i="41"/>
  <c r="CJ48" i="41"/>
  <c r="CM48" i="41"/>
  <c r="CF48" i="41"/>
  <c r="CH48" i="41"/>
  <c r="BO112" i="41"/>
  <c r="BC33" i="41"/>
  <c r="BM33" i="41"/>
  <c r="BH33" i="41"/>
  <c r="BN33" i="41"/>
  <c r="BI33" i="41"/>
  <c r="BD33" i="41"/>
  <c r="BK33" i="41"/>
  <c r="BJ33" i="41"/>
  <c r="BE33" i="41"/>
  <c r="BF33" i="41"/>
  <c r="BL33" i="41"/>
  <c r="BG33" i="41"/>
  <c r="BO164" i="41"/>
  <c r="CM18" i="41"/>
  <c r="CH18" i="41"/>
  <c r="CC18" i="41"/>
  <c r="CN18" i="41"/>
  <c r="CI18" i="41"/>
  <c r="CD18" i="41"/>
  <c r="CJ18" i="41"/>
  <c r="CE18" i="41"/>
  <c r="CK18" i="41"/>
  <c r="CF18" i="41"/>
  <c r="CL18" i="41"/>
  <c r="CG18" i="41"/>
  <c r="N59" i="41"/>
  <c r="O59" i="41" s="1"/>
  <c r="M59" i="41"/>
  <c r="H151" i="41"/>
  <c r="E151" i="41"/>
  <c r="F151" i="41"/>
  <c r="G151" i="41" s="1"/>
  <c r="CK20" i="41"/>
  <c r="CJ20" i="41"/>
  <c r="CE20" i="41"/>
  <c r="CL20" i="41"/>
  <c r="CG20" i="41"/>
  <c r="CF20" i="41"/>
  <c r="CH20" i="41"/>
  <c r="CC20" i="41"/>
  <c r="CM20" i="41"/>
  <c r="CD20" i="41"/>
  <c r="CN20" i="41"/>
  <c r="CI20" i="41"/>
  <c r="AB148" i="41"/>
  <c r="N29" i="41"/>
  <c r="O29" i="41" s="1"/>
  <c r="M29" i="41"/>
  <c r="L142" i="41"/>
  <c r="J142" i="41"/>
  <c r="K142" i="41" s="1"/>
  <c r="I142" i="41"/>
  <c r="F115" i="41"/>
  <c r="G115" i="41" s="1"/>
  <c r="H115" i="41"/>
  <c r="E115" i="41"/>
  <c r="N101" i="41"/>
  <c r="O101" i="41" s="1"/>
  <c r="M101" i="41"/>
  <c r="BR92" i="41"/>
  <c r="CA92" i="41"/>
  <c r="BQ92" i="41"/>
  <c r="BP92" i="41"/>
  <c r="BX92" i="41"/>
  <c r="BS92" i="41"/>
  <c r="BY92" i="41"/>
  <c r="BV92" i="41"/>
  <c r="BZ92" i="41"/>
  <c r="BT92" i="41"/>
  <c r="BW92" i="41"/>
  <c r="BU92" i="41"/>
  <c r="BO116" i="41"/>
  <c r="CN41" i="41"/>
  <c r="CE41" i="41"/>
  <c r="CG41" i="41"/>
  <c r="CM41" i="41"/>
  <c r="CL41" i="41"/>
  <c r="CJ41" i="41"/>
  <c r="CK41" i="41"/>
  <c r="CI41" i="41"/>
  <c r="CH41" i="41"/>
  <c r="CF41" i="41"/>
  <c r="CC41" i="41"/>
  <c r="CD41" i="41"/>
  <c r="N152" i="41"/>
  <c r="O152" i="41" s="1"/>
  <c r="M152" i="41"/>
  <c r="CB20" i="41"/>
  <c r="AO20" i="41" s="1"/>
  <c r="CA54" i="41"/>
  <c r="BU54" i="41"/>
  <c r="BZ54" i="41"/>
  <c r="BW54" i="41"/>
  <c r="BQ54" i="41"/>
  <c r="BR54" i="41"/>
  <c r="BS54" i="41"/>
  <c r="BV54" i="41"/>
  <c r="BX54" i="41"/>
  <c r="BY54" i="41"/>
  <c r="BP54" i="41"/>
  <c r="BT54" i="41"/>
  <c r="N86" i="41"/>
  <c r="O86" i="41" s="1"/>
  <c r="M86" i="41"/>
  <c r="BU87" i="41"/>
  <c r="BS87" i="41"/>
  <c r="BZ87" i="41"/>
  <c r="BQ87" i="41"/>
  <c r="BX87" i="41"/>
  <c r="BV87" i="41"/>
  <c r="CA87" i="41"/>
  <c r="BP87" i="41"/>
  <c r="BR87" i="41"/>
  <c r="BW87" i="41"/>
  <c r="BT87" i="41"/>
  <c r="BY87" i="41"/>
  <c r="BJ52" i="41"/>
  <c r="BH52" i="41"/>
  <c r="BK52" i="41"/>
  <c r="BL52" i="41"/>
  <c r="BG52" i="41"/>
  <c r="BN52" i="41"/>
  <c r="BM52" i="41"/>
  <c r="BC52" i="41"/>
  <c r="BI52" i="41"/>
  <c r="BD52" i="41"/>
  <c r="BF52" i="41"/>
  <c r="BE52" i="41"/>
  <c r="J33" i="41"/>
  <c r="K33" i="41" s="1"/>
  <c r="L33" i="41"/>
  <c r="I33" i="41"/>
  <c r="M110" i="41"/>
  <c r="N110" i="41"/>
  <c r="O110" i="41" s="1"/>
  <c r="BZ108" i="41"/>
  <c r="BT108" i="41"/>
  <c r="BW108" i="41"/>
  <c r="BS108" i="41"/>
  <c r="BV108" i="41"/>
  <c r="BP108" i="41"/>
  <c r="BU108" i="41"/>
  <c r="BX108" i="41"/>
  <c r="BR108" i="41"/>
  <c r="CA108" i="41"/>
  <c r="BQ108" i="41"/>
  <c r="BY108" i="41"/>
  <c r="M23" i="41"/>
  <c r="N23" i="41"/>
  <c r="O23" i="41" s="1"/>
  <c r="CB47" i="41"/>
  <c r="AO47" i="41" s="1"/>
  <c r="BZ88" i="41"/>
  <c r="BT88" i="41"/>
  <c r="BQ88" i="41"/>
  <c r="BV88" i="41"/>
  <c r="BP88" i="41"/>
  <c r="CA88" i="41"/>
  <c r="BX88" i="41"/>
  <c r="BR88" i="41"/>
  <c r="BU88" i="41"/>
  <c r="BW88" i="41"/>
  <c r="BY88" i="41"/>
  <c r="BS88" i="41"/>
  <c r="BZ158" i="41"/>
  <c r="BY158" i="41"/>
  <c r="BS158" i="41"/>
  <c r="BX158" i="41"/>
  <c r="BV158" i="41"/>
  <c r="BQ158" i="41"/>
  <c r="BT158" i="41"/>
  <c r="BR158" i="41"/>
  <c r="BW158" i="41"/>
  <c r="BP158" i="41"/>
  <c r="BU158" i="41"/>
  <c r="CA158" i="41"/>
  <c r="I42" i="41"/>
  <c r="J42" i="41"/>
  <c r="K42" i="41" s="1"/>
  <c r="L42" i="41"/>
  <c r="M144" i="41"/>
  <c r="N144" i="41"/>
  <c r="O144" i="41" s="1"/>
  <c r="M153" i="41"/>
  <c r="N153" i="41"/>
  <c r="O153" i="41" s="1"/>
  <c r="M35" i="41"/>
  <c r="N35" i="41"/>
  <c r="O35" i="41" s="1"/>
  <c r="BO155" i="41"/>
  <c r="BO92" i="41"/>
  <c r="N148" i="41"/>
  <c r="O148" i="41" s="1"/>
  <c r="M148" i="41"/>
  <c r="BX45" i="41"/>
  <c r="BU45" i="41"/>
  <c r="BZ45" i="41"/>
  <c r="BT45" i="41"/>
  <c r="BV45" i="41"/>
  <c r="BP45" i="41"/>
  <c r="BS45" i="41"/>
  <c r="BW45" i="41"/>
  <c r="CA45" i="41"/>
  <c r="BR45" i="41"/>
  <c r="BY45" i="41"/>
  <c r="BQ45" i="41"/>
  <c r="M145" i="41"/>
  <c r="N145" i="41"/>
  <c r="O145" i="41" s="1"/>
  <c r="H106" i="41"/>
  <c r="E106" i="41"/>
  <c r="F106" i="41"/>
  <c r="G106" i="41" s="1"/>
  <c r="L160" i="41"/>
  <c r="I160" i="41"/>
  <c r="J160" i="41"/>
  <c r="K160" i="41" s="1"/>
  <c r="BN32" i="41"/>
  <c r="BK32" i="41"/>
  <c r="BC32" i="41"/>
  <c r="BE32" i="41"/>
  <c r="BG32" i="41"/>
  <c r="BD32" i="41"/>
  <c r="BI32" i="41"/>
  <c r="BH32" i="41"/>
  <c r="BM32" i="41"/>
  <c r="BF32" i="41"/>
  <c r="BL32" i="41"/>
  <c r="BJ32" i="41"/>
  <c r="N156" i="41"/>
  <c r="O156" i="41" s="1"/>
  <c r="M156" i="41"/>
  <c r="BG96" i="41"/>
  <c r="BC96" i="41"/>
  <c r="BK96" i="41"/>
  <c r="BF96" i="41"/>
  <c r="BI96" i="41"/>
  <c r="BL96" i="41"/>
  <c r="BM96" i="41"/>
  <c r="BN96" i="41"/>
  <c r="BE96" i="41"/>
  <c r="BJ96" i="41"/>
  <c r="BH96" i="41"/>
  <c r="BD96" i="41"/>
  <c r="L118" i="41"/>
  <c r="I118" i="41"/>
  <c r="J118" i="41"/>
  <c r="K118" i="41" s="1"/>
  <c r="BT167" i="41"/>
  <c r="BZ167" i="41"/>
  <c r="BR167" i="41"/>
  <c r="BV167" i="41"/>
  <c r="BS167" i="41"/>
  <c r="BP167" i="41"/>
  <c r="BY167" i="41"/>
  <c r="BX167" i="41"/>
  <c r="CA167" i="41"/>
  <c r="BU167" i="41"/>
  <c r="BW167" i="41"/>
  <c r="BQ167" i="41"/>
  <c r="BO107" i="41"/>
  <c r="CL51" i="41"/>
  <c r="CC51" i="41"/>
  <c r="CE51" i="41"/>
  <c r="CK51" i="41"/>
  <c r="CN51" i="41"/>
  <c r="CH51" i="41"/>
  <c r="CI51" i="41"/>
  <c r="CM51" i="41"/>
  <c r="CJ51" i="41"/>
  <c r="CD51" i="41"/>
  <c r="CG51" i="41"/>
  <c r="CF51" i="41"/>
  <c r="BH56" i="41"/>
  <c r="BJ56" i="41"/>
  <c r="BF56" i="41"/>
  <c r="BN56" i="41"/>
  <c r="BM56" i="41"/>
  <c r="BG56" i="41"/>
  <c r="BI56" i="41"/>
  <c r="BC56" i="41"/>
  <c r="BE56" i="41"/>
  <c r="BD56" i="41"/>
  <c r="BK56" i="41"/>
  <c r="BL56" i="41"/>
  <c r="BQ19" i="41"/>
  <c r="CA19" i="41"/>
  <c r="BV19" i="41"/>
  <c r="BX19" i="41"/>
  <c r="BW19" i="41"/>
  <c r="BR19" i="41"/>
  <c r="BY19" i="41"/>
  <c r="BT19" i="41"/>
  <c r="BS19" i="41"/>
  <c r="BP19" i="41"/>
  <c r="BZ19" i="41"/>
  <c r="BU19" i="41"/>
  <c r="N94" i="41"/>
  <c r="O94" i="41" s="1"/>
  <c r="M94" i="41"/>
  <c r="BO144" i="41"/>
  <c r="N91" i="41"/>
  <c r="O91" i="41" s="1"/>
  <c r="M91" i="41"/>
  <c r="BO153" i="41"/>
  <c r="BO87" i="41"/>
  <c r="CB44" i="41"/>
  <c r="BZ95" i="41"/>
  <c r="BR95" i="41"/>
  <c r="BV95" i="41"/>
  <c r="CA95" i="41"/>
  <c r="BX95" i="41"/>
  <c r="BT95" i="41"/>
  <c r="BY95" i="41"/>
  <c r="BW95" i="41"/>
  <c r="BU95" i="41"/>
  <c r="BQ95" i="41"/>
  <c r="BS95" i="41"/>
  <c r="BP95" i="41"/>
  <c r="AB41" i="41"/>
  <c r="N116" i="41"/>
  <c r="O116" i="41" s="1"/>
  <c r="M116" i="41"/>
  <c r="L163" i="41"/>
  <c r="J163" i="41"/>
  <c r="K163" i="41" s="1"/>
  <c r="I163" i="41"/>
  <c r="CA161" i="41"/>
  <c r="BU161" i="41"/>
  <c r="BP161" i="41"/>
  <c r="BW161" i="41"/>
  <c r="BQ161" i="41"/>
  <c r="BZ161" i="41"/>
  <c r="BS161" i="41"/>
  <c r="BT161" i="41"/>
  <c r="BR161" i="41"/>
  <c r="BV161" i="41"/>
  <c r="BY161" i="41"/>
  <c r="BX161" i="41"/>
  <c r="N112" i="41"/>
  <c r="O112" i="41" s="1"/>
  <c r="M112" i="41"/>
  <c r="BO145" i="41"/>
  <c r="AB43" i="41"/>
  <c r="D170" i="41"/>
  <c r="L104" i="41"/>
  <c r="I104" i="41"/>
  <c r="J104" i="41"/>
  <c r="K104" i="41" s="1"/>
  <c r="L37" i="41"/>
  <c r="J37" i="41"/>
  <c r="K37" i="41" s="1"/>
  <c r="I37" i="41"/>
  <c r="CB46" i="41"/>
  <c r="AO46" i="41" s="1"/>
  <c r="BO23" i="41"/>
  <c r="BO90" i="41"/>
  <c r="CN22" i="41"/>
  <c r="CI22" i="41"/>
  <c r="CD22" i="41"/>
  <c r="CM22" i="41"/>
  <c r="CC22" i="41"/>
  <c r="CJ22" i="41"/>
  <c r="CE22" i="41"/>
  <c r="CK22" i="41"/>
  <c r="CH22" i="41"/>
  <c r="CF22" i="41"/>
  <c r="CL22" i="41"/>
  <c r="CG22" i="41"/>
  <c r="N57" i="41"/>
  <c r="O57" i="41" s="1"/>
  <c r="M57" i="41"/>
  <c r="BS101" i="41"/>
  <c r="BX101" i="41"/>
  <c r="BR101" i="41"/>
  <c r="BY101" i="41"/>
  <c r="BP101" i="41"/>
  <c r="BZ101" i="41"/>
  <c r="CA101" i="41"/>
  <c r="BU101" i="41"/>
  <c r="BT101" i="41"/>
  <c r="BW101" i="41"/>
  <c r="BV101" i="41"/>
  <c r="BQ101" i="41"/>
  <c r="BO35" i="41"/>
  <c r="BR49" i="41"/>
  <c r="BW49" i="41"/>
  <c r="BY49" i="41"/>
  <c r="BX49" i="41"/>
  <c r="BU49" i="41"/>
  <c r="BQ49" i="41"/>
  <c r="BZ49" i="41"/>
  <c r="BT49" i="41"/>
  <c r="CA49" i="41"/>
  <c r="BV49" i="41"/>
  <c r="BP49" i="41"/>
  <c r="BS49" i="41"/>
  <c r="M40" i="41"/>
  <c r="N40" i="41"/>
  <c r="O40" i="41" s="1"/>
  <c r="BI113" i="41"/>
  <c r="BG113" i="41"/>
  <c r="BC113" i="41"/>
  <c r="BK113" i="41"/>
  <c r="BF113" i="41"/>
  <c r="BE113" i="41"/>
  <c r="BL113" i="41"/>
  <c r="BM113" i="41"/>
  <c r="BN113" i="41"/>
  <c r="BH113" i="41"/>
  <c r="BD113" i="41"/>
  <c r="BJ113" i="41"/>
  <c r="N36" i="41"/>
  <c r="O36" i="41" s="1"/>
  <c r="M36" i="41"/>
  <c r="H98" i="41"/>
  <c r="E98" i="41"/>
  <c r="F98" i="41"/>
  <c r="G98" i="41" s="1"/>
  <c r="BO156" i="41"/>
  <c r="BR28" i="41"/>
  <c r="BX28" i="41"/>
  <c r="BW28" i="41"/>
  <c r="BY28" i="41"/>
  <c r="BT28" i="41"/>
  <c r="BS28" i="41"/>
  <c r="BZ28" i="41"/>
  <c r="BU28" i="41"/>
  <c r="BP28" i="41"/>
  <c r="BV28" i="41"/>
  <c r="BQ28" i="41"/>
  <c r="CA28" i="41"/>
  <c r="CA107" i="41"/>
  <c r="BZ107" i="41"/>
  <c r="BP107" i="41"/>
  <c r="BY107" i="41"/>
  <c r="BW107" i="41"/>
  <c r="BR107" i="41"/>
  <c r="BU107" i="41"/>
  <c r="BS107" i="41"/>
  <c r="BX107" i="41"/>
  <c r="BV107" i="41"/>
  <c r="BT107" i="41"/>
  <c r="BQ107" i="41"/>
  <c r="CB15" i="41"/>
  <c r="AO15" i="41" s="1"/>
  <c r="BS85" i="41"/>
  <c r="BX85" i="41"/>
  <c r="BR85" i="41"/>
  <c r="BV85" i="41"/>
  <c r="BY85" i="41"/>
  <c r="BP85" i="41"/>
  <c r="BZ85" i="41"/>
  <c r="BQ85" i="41"/>
  <c r="CA85" i="41"/>
  <c r="BU85" i="41"/>
  <c r="BT85" i="41"/>
  <c r="BW85" i="41"/>
  <c r="N117" i="41"/>
  <c r="O117" i="41" s="1"/>
  <c r="M117" i="41"/>
  <c r="M159" i="41"/>
  <c r="N159" i="41"/>
  <c r="O159" i="41" s="1"/>
  <c r="BO19" i="41"/>
  <c r="M60" i="41"/>
  <c r="N60" i="41"/>
  <c r="O60" i="41" s="1"/>
  <c r="CB18" i="41"/>
  <c r="AO18" i="41" s="1"/>
  <c r="N50" i="41"/>
  <c r="O50" i="41" s="1"/>
  <c r="M50" i="41"/>
  <c r="CB17" i="41"/>
  <c r="AO17" i="41" s="1"/>
  <c r="CJ39" i="41"/>
  <c r="CD39" i="41"/>
  <c r="CC39" i="41"/>
  <c r="CF39" i="41"/>
  <c r="CM39" i="41"/>
  <c r="CI39" i="41"/>
  <c r="CL39" i="41"/>
  <c r="CE39" i="41"/>
  <c r="CG39" i="41"/>
  <c r="CH39" i="41"/>
  <c r="CK39" i="41"/>
  <c r="CN39" i="41"/>
  <c r="AB17" i="41"/>
  <c r="J114" i="41"/>
  <c r="K114" i="41" s="1"/>
  <c r="I114" i="41"/>
  <c r="L114" i="41"/>
  <c r="BO45" i="41"/>
  <c r="I109" i="41"/>
  <c r="J109" i="41"/>
  <c r="K109" i="41" s="1"/>
  <c r="L109" i="41"/>
  <c r="E111" i="41"/>
  <c r="F111" i="41"/>
  <c r="G111" i="41" s="1"/>
  <c r="H111" i="41"/>
  <c r="H102" i="41"/>
  <c r="E102" i="41"/>
  <c r="F102" i="41"/>
  <c r="G102" i="41" s="1"/>
  <c r="BO167" i="41"/>
  <c r="N88" i="41"/>
  <c r="O88" i="41" s="1"/>
  <c r="M88" i="41"/>
  <c r="BG160" i="41"/>
  <c r="BM160" i="41"/>
  <c r="BI160" i="41"/>
  <c r="BE160" i="41"/>
  <c r="BL160" i="41"/>
  <c r="BK160" i="41"/>
  <c r="BN160" i="41"/>
  <c r="BH160" i="41"/>
  <c r="BJ160" i="41"/>
  <c r="BD160" i="41"/>
  <c r="BC160" i="41"/>
  <c r="BF160" i="41"/>
  <c r="I16" i="41"/>
  <c r="L16" i="41"/>
  <c r="J16" i="41"/>
  <c r="K16" i="41" s="1"/>
  <c r="BR156" i="41"/>
  <c r="BU156" i="41"/>
  <c r="CA156" i="41"/>
  <c r="BX156" i="41"/>
  <c r="BY156" i="41"/>
  <c r="BW156" i="41"/>
  <c r="BZ156" i="41"/>
  <c r="BT156" i="41"/>
  <c r="BQ156" i="41"/>
  <c r="BS156" i="41"/>
  <c r="BV156" i="41"/>
  <c r="BP156" i="41"/>
  <c r="M167" i="41"/>
  <c r="N167" i="41"/>
  <c r="O167" i="41" s="1"/>
  <c r="N19" i="41"/>
  <c r="O19" i="41" s="1"/>
  <c r="M19" i="41"/>
  <c r="N95" i="41"/>
  <c r="O95" i="41" s="1"/>
  <c r="M95" i="41"/>
  <c r="BO49" i="41"/>
  <c r="AB15" i="41"/>
  <c r="I89" i="41"/>
  <c r="J89" i="41"/>
  <c r="K89" i="41" s="1"/>
  <c r="L89" i="41"/>
  <c r="BS164" i="41"/>
  <c r="BU164" i="41"/>
  <c r="BY164" i="41"/>
  <c r="BX164" i="41"/>
  <c r="BP164" i="41"/>
  <c r="BT164" i="41"/>
  <c r="CA164" i="41"/>
  <c r="BR164" i="41"/>
  <c r="BQ164" i="41"/>
  <c r="BZ164" i="41"/>
  <c r="BV164" i="41"/>
  <c r="BW164" i="41"/>
  <c r="AB47" i="41"/>
  <c r="BO50" i="41"/>
  <c r="BM83" i="41"/>
  <c r="BG83" i="41"/>
  <c r="BF83" i="41"/>
  <c r="BI83" i="41"/>
  <c r="BC83" i="41"/>
  <c r="BD83" i="41"/>
  <c r="BE83" i="41"/>
  <c r="BJ83" i="41"/>
  <c r="BL83" i="41"/>
  <c r="BK83" i="41"/>
  <c r="BN83" i="41"/>
  <c r="BH83" i="41"/>
  <c r="H84" i="41"/>
  <c r="E84" i="41"/>
  <c r="F84" i="41"/>
  <c r="G84" i="41" s="1"/>
  <c r="F154" i="41"/>
  <c r="G154" i="41" s="1"/>
  <c r="H154" i="41"/>
  <c r="E154" i="41"/>
  <c r="BQ110" i="41"/>
  <c r="BU110" i="41"/>
  <c r="BX110" i="41"/>
  <c r="BV110" i="41"/>
  <c r="BW110" i="41"/>
  <c r="BT110" i="41"/>
  <c r="BR110" i="41"/>
  <c r="BP110" i="41"/>
  <c r="BY110" i="41"/>
  <c r="BZ110" i="41"/>
  <c r="CA110" i="41"/>
  <c r="BS110" i="41"/>
  <c r="N108" i="41"/>
  <c r="O108" i="41" s="1"/>
  <c r="M108" i="41"/>
  <c r="I169" i="41"/>
  <c r="J169" i="41"/>
  <c r="K169" i="41" s="1"/>
  <c r="L169" i="41"/>
  <c r="BX23" i="41"/>
  <c r="BW23" i="41"/>
  <c r="BR23" i="41"/>
  <c r="BY23" i="41"/>
  <c r="BT23" i="41"/>
  <c r="BS23" i="41"/>
  <c r="BU23" i="41"/>
  <c r="BP23" i="41"/>
  <c r="BZ23" i="41"/>
  <c r="BQ23" i="41"/>
  <c r="CA23" i="41"/>
  <c r="BV23" i="41"/>
  <c r="BT38" i="41"/>
  <c r="BZ38" i="41"/>
  <c r="BV38" i="41"/>
  <c r="BR38" i="41"/>
  <c r="BW38" i="41"/>
  <c r="BQ38" i="41"/>
  <c r="BS38" i="41"/>
  <c r="BP38" i="41"/>
  <c r="BY38" i="41"/>
  <c r="BX38" i="41"/>
  <c r="CA38" i="41"/>
  <c r="BU38" i="41"/>
  <c r="BG55" i="41"/>
  <c r="BM55" i="41"/>
  <c r="BI55" i="41"/>
  <c r="BE55" i="41"/>
  <c r="BL55" i="41"/>
  <c r="BJ55" i="41"/>
  <c r="BH55" i="41"/>
  <c r="BF55" i="41"/>
  <c r="BD55" i="41"/>
  <c r="BC55" i="41"/>
  <c r="BN55" i="41"/>
  <c r="BK55" i="41"/>
  <c r="BO159" i="41"/>
  <c r="BJ42" i="41"/>
  <c r="BH42" i="41"/>
  <c r="BF42" i="41"/>
  <c r="BN42" i="41"/>
  <c r="BG42" i="41"/>
  <c r="BE42" i="41"/>
  <c r="BC42" i="41"/>
  <c r="BM42" i="41"/>
  <c r="BD42" i="41"/>
  <c r="BL42" i="41"/>
  <c r="BK42" i="41"/>
  <c r="BI42" i="41"/>
  <c r="BZ144" i="41"/>
  <c r="BY144" i="41"/>
  <c r="BW144" i="41"/>
  <c r="BX144" i="41"/>
  <c r="BV144" i="41"/>
  <c r="BQ144" i="41"/>
  <c r="BT144" i="41"/>
  <c r="BR144" i="41"/>
  <c r="CA144" i="41"/>
  <c r="BP144" i="41"/>
  <c r="BU144" i="41"/>
  <c r="BS144" i="41"/>
  <c r="BO101" i="41"/>
  <c r="BO25" i="41"/>
  <c r="M27" i="41"/>
  <c r="N27" i="41"/>
  <c r="O27" i="41" s="1"/>
  <c r="BH149" i="41"/>
  <c r="BF149" i="41"/>
  <c r="BJ149" i="41"/>
  <c r="BN149" i="41"/>
  <c r="BK149" i="41"/>
  <c r="BL149" i="41"/>
  <c r="BM149" i="41"/>
  <c r="BG149" i="41"/>
  <c r="BI149" i="41"/>
  <c r="BC149" i="41"/>
  <c r="BE149" i="41"/>
  <c r="BD149" i="41"/>
  <c r="J147" i="41"/>
  <c r="K147" i="41" s="1"/>
  <c r="L147" i="41"/>
  <c r="I147" i="41"/>
  <c r="BN16" i="41"/>
  <c r="BE16" i="41"/>
  <c r="BK16" i="41"/>
  <c r="BM16" i="41"/>
  <c r="BC16" i="41"/>
  <c r="BG16" i="41"/>
  <c r="BD16" i="41"/>
  <c r="BH16" i="41"/>
  <c r="BI16" i="41"/>
  <c r="BF16" i="41"/>
  <c r="BJ16" i="41"/>
  <c r="BL16" i="41"/>
  <c r="H150" i="41"/>
  <c r="E150" i="41"/>
  <c r="F150" i="41"/>
  <c r="G150" i="41" s="1"/>
  <c r="I32" i="41"/>
  <c r="L32" i="41"/>
  <c r="J32" i="41"/>
  <c r="K32" i="41" s="1"/>
  <c r="J96" i="41"/>
  <c r="K96" i="41" s="1"/>
  <c r="L96" i="41"/>
  <c r="I96" i="41"/>
  <c r="AB18" i="41"/>
  <c r="BP90" i="41"/>
  <c r="BU90" i="41"/>
  <c r="CA90" i="41"/>
  <c r="BZ90" i="41"/>
  <c r="BY90" i="41"/>
  <c r="BW90" i="41"/>
  <c r="BX90" i="41"/>
  <c r="BV90" i="41"/>
  <c r="BQ90" i="41"/>
  <c r="BS90" i="41"/>
  <c r="BR90" i="41"/>
  <c r="BT90" i="41"/>
  <c r="CJ47" i="41"/>
  <c r="CD47" i="41"/>
  <c r="CC47" i="41"/>
  <c r="CF47" i="41"/>
  <c r="CM47" i="41"/>
  <c r="CI47" i="41"/>
  <c r="CL47" i="41"/>
  <c r="CE47" i="41"/>
  <c r="CG47" i="41"/>
  <c r="CK47" i="41"/>
  <c r="CH47" i="41"/>
  <c r="CN47" i="41"/>
  <c r="BO85" i="41"/>
  <c r="N99" i="41"/>
  <c r="O99" i="41" s="1"/>
  <c r="M99" i="41"/>
  <c r="CA157" i="41"/>
  <c r="BU157" i="41"/>
  <c r="BR157" i="41"/>
  <c r="BY157" i="41"/>
  <c r="BW157" i="41"/>
  <c r="BQ157" i="41"/>
  <c r="BT157" i="41"/>
  <c r="BS157" i="41"/>
  <c r="BV157" i="41"/>
  <c r="BX157" i="41"/>
  <c r="BZ157" i="41"/>
  <c r="BP157" i="41"/>
  <c r="BQ94" i="41"/>
  <c r="BT94" i="41"/>
  <c r="BR94" i="41"/>
  <c r="BY94" i="41"/>
  <c r="BP94" i="41"/>
  <c r="CA94" i="41"/>
  <c r="BZ94" i="41"/>
  <c r="BS94" i="41"/>
  <c r="BX94" i="41"/>
  <c r="BV94" i="41"/>
  <c r="BW94" i="41"/>
  <c r="BU94" i="41"/>
  <c r="CI17" i="41"/>
  <c r="CG17" i="41"/>
  <c r="CF17" i="41"/>
  <c r="CE17" i="41"/>
  <c r="CC17" i="41"/>
  <c r="CL17" i="41"/>
  <c r="CD17" i="41"/>
  <c r="CN17" i="41"/>
  <c r="CH17" i="41"/>
  <c r="CM17" i="41"/>
  <c r="CK17" i="41"/>
  <c r="CJ17" i="41"/>
  <c r="M105" i="41"/>
  <c r="N105" i="41"/>
  <c r="O105" i="41" s="1"/>
  <c r="M103" i="41"/>
  <c r="N103" i="41"/>
  <c r="O103" i="41" s="1"/>
  <c r="BP116" i="41"/>
  <c r="BU116" i="41"/>
  <c r="CA116" i="41"/>
  <c r="BZ116" i="41"/>
  <c r="BY116" i="41"/>
  <c r="BW116" i="41"/>
  <c r="BX116" i="41"/>
  <c r="BV116" i="41"/>
  <c r="BQ116" i="41"/>
  <c r="BT116" i="41"/>
  <c r="BR116" i="41"/>
  <c r="BS116" i="41"/>
  <c r="BO40" i="41"/>
  <c r="BK163" i="41"/>
  <c r="BF163" i="41"/>
  <c r="BG163" i="41"/>
  <c r="BE163" i="41"/>
  <c r="BI163" i="41"/>
  <c r="BH163" i="41"/>
  <c r="BN163" i="41"/>
  <c r="BD163" i="41"/>
  <c r="BM163" i="41"/>
  <c r="BL163" i="41"/>
  <c r="BC163" i="41"/>
  <c r="BJ163" i="41"/>
  <c r="BK142" i="41"/>
  <c r="BI142" i="41"/>
  <c r="BD142" i="41"/>
  <c r="BM142" i="41"/>
  <c r="BG142" i="41"/>
  <c r="BE142" i="41"/>
  <c r="BJ142" i="41"/>
  <c r="BN142" i="41"/>
  <c r="BC142" i="41"/>
  <c r="BH142" i="41"/>
  <c r="BF142" i="41"/>
  <c r="BL142" i="41"/>
  <c r="H166" i="41"/>
  <c r="F166" i="41"/>
  <c r="G166" i="41" s="1"/>
  <c r="E166" i="41"/>
  <c r="BM89" i="41"/>
  <c r="BF89" i="41"/>
  <c r="BH89" i="41"/>
  <c r="BK89" i="41"/>
  <c r="BI89" i="41"/>
  <c r="BJ89" i="41"/>
  <c r="BN89" i="41"/>
  <c r="BG89" i="41"/>
  <c r="BE89" i="41"/>
  <c r="BD89" i="41"/>
  <c r="BC89" i="41"/>
  <c r="BL89" i="41"/>
  <c r="BO108" i="41"/>
  <c r="N30" i="41"/>
  <c r="O30" i="41" s="1"/>
  <c r="M30" i="41"/>
  <c r="AB48" i="41"/>
  <c r="BM31" i="41"/>
  <c r="BH31" i="41"/>
  <c r="BC31" i="41"/>
  <c r="BI31" i="41"/>
  <c r="BD31" i="41"/>
  <c r="BN31" i="41"/>
  <c r="BE31" i="41"/>
  <c r="BK31" i="41"/>
  <c r="BJ31" i="41"/>
  <c r="BF31" i="41"/>
  <c r="BL31" i="41"/>
  <c r="BG31" i="41"/>
  <c r="BX168" i="41"/>
  <c r="BV168" i="41"/>
  <c r="BS168" i="41"/>
  <c r="BT168" i="41"/>
  <c r="BR168" i="41"/>
  <c r="BU168" i="41"/>
  <c r="BP168" i="41"/>
  <c r="BQ168" i="41"/>
  <c r="BZ168" i="41"/>
  <c r="BW168" i="41"/>
  <c r="CA168" i="41"/>
  <c r="BY168" i="41"/>
  <c r="BO27" i="41"/>
  <c r="M49" i="41"/>
  <c r="N49" i="41"/>
  <c r="O49" i="41" s="1"/>
  <c r="N34" i="41"/>
  <c r="O34" i="41" s="1"/>
  <c r="M34" i="41"/>
  <c r="BG146" i="41"/>
  <c r="BM146" i="41"/>
  <c r="BE146" i="41"/>
  <c r="BI146" i="41"/>
  <c r="BJ146" i="41"/>
  <c r="BD146" i="41"/>
  <c r="BF146" i="41"/>
  <c r="BC146" i="41"/>
  <c r="BL146" i="41"/>
  <c r="BK146" i="41"/>
  <c r="BH146" i="41"/>
  <c r="BN146" i="41"/>
  <c r="I93" i="41"/>
  <c r="J93" i="41"/>
  <c r="K93" i="41" s="1"/>
  <c r="L93" i="41"/>
  <c r="CH53" i="41"/>
  <c r="CF53" i="41"/>
  <c r="CG53" i="41"/>
  <c r="CI53" i="41"/>
  <c r="CD53" i="41"/>
  <c r="CK53" i="41"/>
  <c r="CM53" i="41"/>
  <c r="CL53" i="41"/>
  <c r="CN53" i="41"/>
  <c r="CC53" i="41"/>
  <c r="CE53" i="41"/>
  <c r="CJ53" i="41"/>
  <c r="M107" i="41"/>
  <c r="N107" i="41"/>
  <c r="O107" i="41" s="1"/>
  <c r="M54" i="41"/>
  <c r="N54" i="41"/>
  <c r="O54" i="41" s="1"/>
  <c r="BV60" i="41"/>
  <c r="BT60" i="41"/>
  <c r="BY60" i="41"/>
  <c r="BW60" i="41"/>
  <c r="BU60" i="41"/>
  <c r="BP60" i="41"/>
  <c r="BR60" i="41"/>
  <c r="BQ60" i="41"/>
  <c r="BX60" i="41"/>
  <c r="BZ60" i="41"/>
  <c r="CA60" i="41"/>
  <c r="BS60" i="41"/>
  <c r="N87" i="41"/>
  <c r="O87" i="41" s="1"/>
  <c r="M87" i="41"/>
  <c r="N26" i="41"/>
  <c r="O26" i="41" s="1"/>
  <c r="M26" i="41"/>
  <c r="N155" i="41"/>
  <c r="O155" i="41" s="1"/>
  <c r="M155" i="41"/>
  <c r="BW58" i="41"/>
  <c r="BQ58" i="41"/>
  <c r="BX58" i="41"/>
  <c r="BS58" i="41"/>
  <c r="BT58" i="41"/>
  <c r="BP58" i="41"/>
  <c r="BY58" i="41"/>
  <c r="BZ58" i="41"/>
  <c r="BV58" i="41"/>
  <c r="CA58" i="41"/>
  <c r="BR58" i="41"/>
  <c r="BU58" i="41"/>
  <c r="BP14" i="41"/>
  <c r="CA14" i="41"/>
  <c r="BX14" i="41"/>
  <c r="BV14" i="41"/>
  <c r="BQ14" i="41"/>
  <c r="BT14" i="41"/>
  <c r="BR14" i="41"/>
  <c r="BW14" i="41"/>
  <c r="BZ14" i="41"/>
  <c r="BS14" i="41"/>
  <c r="BY14" i="41"/>
  <c r="BU14" i="41"/>
  <c r="CB41" i="41"/>
  <c r="AO41" i="41" s="1"/>
  <c r="BO161" i="41"/>
  <c r="BO29" i="41"/>
  <c r="AB20" i="41"/>
  <c r="BO36" i="41"/>
  <c r="L52" i="41"/>
  <c r="I52" i="41"/>
  <c r="J52" i="41"/>
  <c r="K52" i="41" s="1"/>
  <c r="BH109" i="41"/>
  <c r="BN109" i="41"/>
  <c r="BJ109" i="41"/>
  <c r="BF109" i="41"/>
  <c r="BC109" i="41"/>
  <c r="BM109" i="41"/>
  <c r="BD109" i="41"/>
  <c r="BK109" i="41"/>
  <c r="BL109" i="41"/>
  <c r="BG109" i="41"/>
  <c r="BI109" i="41"/>
  <c r="BE109" i="41"/>
  <c r="I83" i="41"/>
  <c r="J83" i="41"/>
  <c r="K83" i="41" s="1"/>
  <c r="L83" i="41"/>
  <c r="V87" i="39"/>
  <c r="V89" i="39" s="1"/>
  <c r="V92" i="39" s="1"/>
  <c r="W87" i="39"/>
  <c r="W89" i="39" s="1"/>
  <c r="W92" i="39" s="1"/>
  <c r="Y7" i="39"/>
  <c r="Z7" i="39"/>
  <c r="AC45" i="39"/>
  <c r="Z45" i="39" s="1"/>
  <c r="AC75" i="39"/>
  <c r="Z75" i="39" s="1"/>
  <c r="AB13" i="39"/>
  <c r="Y13" i="39" s="1"/>
  <c r="AB75" i="39"/>
  <c r="Y75" i="39" s="1"/>
  <c r="AA87" i="39"/>
  <c r="AB45" i="39"/>
  <c r="Y45" i="39" s="1"/>
  <c r="AC13" i="39"/>
  <c r="Z13" i="39" s="1"/>
  <c r="CP126" i="41" l="1"/>
  <c r="BB67" i="41"/>
  <c r="CP67" i="41"/>
  <c r="CO126" i="41"/>
  <c r="BB126" i="41" s="1"/>
  <c r="CP125" i="41"/>
  <c r="CO127" i="41"/>
  <c r="BB127" i="41" s="1"/>
  <c r="CO178" i="41"/>
  <c r="BB178" i="41" s="1"/>
  <c r="CO125" i="41"/>
  <c r="BB125" i="41" s="1"/>
  <c r="CP178" i="41"/>
  <c r="BB177" i="41"/>
  <c r="CP177" i="41"/>
  <c r="CP127" i="41"/>
  <c r="CP176" i="41"/>
  <c r="CP68" i="41"/>
  <c r="BO14" i="41"/>
  <c r="BO109" i="41"/>
  <c r="AB109" i="41" s="1"/>
  <c r="BM61" i="41"/>
  <c r="E119" i="41"/>
  <c r="CB30" i="41"/>
  <c r="AO30" i="41" s="1"/>
  <c r="BE61" i="41"/>
  <c r="BO52" i="41"/>
  <c r="AB52" i="41" s="1"/>
  <c r="CB54" i="41"/>
  <c r="AO54" i="41" s="1"/>
  <c r="L61" i="41"/>
  <c r="N61" i="41" s="1"/>
  <c r="O61" i="41" s="1"/>
  <c r="CB167" i="41"/>
  <c r="AO167" i="41" s="1"/>
  <c r="BH61" i="41"/>
  <c r="BJ61" i="41"/>
  <c r="BD61" i="41"/>
  <c r="BK61" i="41"/>
  <c r="BO42" i="41"/>
  <c r="AB42" i="41" s="1"/>
  <c r="CB38" i="41"/>
  <c r="AO38" i="41" s="1"/>
  <c r="BO113" i="41"/>
  <c r="AB113" i="41" s="1"/>
  <c r="CB101" i="41"/>
  <c r="AO101" i="41" s="1"/>
  <c r="CO15" i="41"/>
  <c r="BB15" i="41" s="1"/>
  <c r="CB27" i="41"/>
  <c r="AO27" i="41" s="1"/>
  <c r="CO17" i="41"/>
  <c r="BB17" i="41" s="1"/>
  <c r="CB94" i="41"/>
  <c r="AO94" i="41" s="1"/>
  <c r="BF61" i="41"/>
  <c r="CB164" i="41"/>
  <c r="AO164" i="41" s="1"/>
  <c r="J61" i="41"/>
  <c r="K61" i="41" s="1"/>
  <c r="BL61" i="41"/>
  <c r="CB58" i="41"/>
  <c r="AO58" i="41" s="1"/>
  <c r="H170" i="41"/>
  <c r="I170" i="41" s="1"/>
  <c r="BI61" i="41"/>
  <c r="BN61" i="41"/>
  <c r="CO41" i="41"/>
  <c r="BB41" i="41" s="1"/>
  <c r="CB105" i="41"/>
  <c r="AO105" i="41" s="1"/>
  <c r="CO43" i="41"/>
  <c r="CB21" i="41"/>
  <c r="AO21" i="41" s="1"/>
  <c r="AB161" i="41"/>
  <c r="CN26" i="41"/>
  <c r="CI26" i="41"/>
  <c r="CD26" i="41"/>
  <c r="CM26" i="41"/>
  <c r="CC26" i="41"/>
  <c r="CJ26" i="41"/>
  <c r="CE26" i="41"/>
  <c r="CK26" i="41"/>
  <c r="CF26" i="41"/>
  <c r="CL26" i="41"/>
  <c r="CG26" i="41"/>
  <c r="CH26" i="41"/>
  <c r="N93" i="41"/>
  <c r="O93" i="41" s="1"/>
  <c r="M93" i="41"/>
  <c r="AB108" i="41"/>
  <c r="CD88" i="41"/>
  <c r="CK88" i="41"/>
  <c r="CI88" i="41"/>
  <c r="CN88" i="41"/>
  <c r="CC88" i="41"/>
  <c r="CE88" i="41"/>
  <c r="CL88" i="41"/>
  <c r="CJ88" i="41"/>
  <c r="CG88" i="41"/>
  <c r="CH88" i="41"/>
  <c r="CF88" i="41"/>
  <c r="CM88" i="41"/>
  <c r="BH111" i="41"/>
  <c r="BF111" i="41"/>
  <c r="BJ111" i="41"/>
  <c r="BN111" i="41"/>
  <c r="BE111" i="41"/>
  <c r="BK111" i="41"/>
  <c r="BD111" i="41"/>
  <c r="BG111" i="41"/>
  <c r="BC111" i="41"/>
  <c r="BM111" i="41"/>
  <c r="BL111" i="41"/>
  <c r="BI111" i="41"/>
  <c r="AB19" i="41"/>
  <c r="M118" i="41"/>
  <c r="N118" i="41"/>
  <c r="O118" i="41" s="1"/>
  <c r="L106" i="41"/>
  <c r="J106" i="41"/>
  <c r="K106" i="41" s="1"/>
  <c r="I106" i="41"/>
  <c r="CO48" i="41"/>
  <c r="BM97" i="41"/>
  <c r="BN97" i="41"/>
  <c r="BL97" i="41"/>
  <c r="BK97" i="41"/>
  <c r="BI97" i="41"/>
  <c r="BF97" i="41"/>
  <c r="BG97" i="41"/>
  <c r="BE97" i="41"/>
  <c r="BH97" i="41"/>
  <c r="BD97" i="41"/>
  <c r="BC97" i="41"/>
  <c r="BJ97" i="41"/>
  <c r="CD92" i="41"/>
  <c r="CI92" i="41"/>
  <c r="CG92" i="41"/>
  <c r="CN92" i="41"/>
  <c r="CM92" i="41"/>
  <c r="CC92" i="41"/>
  <c r="CL92" i="41"/>
  <c r="CJ92" i="41"/>
  <c r="CE92" i="41"/>
  <c r="CH92" i="41"/>
  <c r="CF92" i="41"/>
  <c r="CK92" i="41"/>
  <c r="M31" i="41"/>
  <c r="N31" i="41"/>
  <c r="O31" i="41" s="1"/>
  <c r="CD45" i="41"/>
  <c r="CM45" i="41"/>
  <c r="CI45" i="41"/>
  <c r="CF45" i="41"/>
  <c r="CN45" i="41"/>
  <c r="CE45" i="41"/>
  <c r="CG45" i="41"/>
  <c r="CH45" i="41"/>
  <c r="CL45" i="41"/>
  <c r="CJ45" i="41"/>
  <c r="CK45" i="41"/>
  <c r="CC45" i="41"/>
  <c r="AB95" i="41"/>
  <c r="N55" i="41"/>
  <c r="O55" i="41" s="1"/>
  <c r="M55" i="41"/>
  <c r="BK162" i="41"/>
  <c r="BC162" i="41"/>
  <c r="BD162" i="41"/>
  <c r="BM162" i="41"/>
  <c r="BF162" i="41"/>
  <c r="BL162" i="41"/>
  <c r="BI162" i="41"/>
  <c r="BN162" i="41"/>
  <c r="BG162" i="41"/>
  <c r="BJ162" i="41"/>
  <c r="BE162" i="41"/>
  <c r="BH162" i="41"/>
  <c r="CH24" i="41"/>
  <c r="CC24" i="41"/>
  <c r="CM24" i="41"/>
  <c r="CD24" i="41"/>
  <c r="CN24" i="41"/>
  <c r="CI24" i="41"/>
  <c r="CK24" i="41"/>
  <c r="CJ24" i="41"/>
  <c r="CE24" i="41"/>
  <c r="CL24" i="41"/>
  <c r="CG24" i="41"/>
  <c r="CF24" i="41"/>
  <c r="CI25" i="41"/>
  <c r="CD25" i="41"/>
  <c r="CN25" i="41"/>
  <c r="CM25" i="41"/>
  <c r="CE25" i="41"/>
  <c r="CK25" i="41"/>
  <c r="CJ25" i="41"/>
  <c r="CH25" i="41"/>
  <c r="CL25" i="41"/>
  <c r="CG25" i="41"/>
  <c r="CF25" i="41"/>
  <c r="CC25" i="41"/>
  <c r="BQ56" i="41"/>
  <c r="BT56" i="41"/>
  <c r="BP56" i="41"/>
  <c r="BU56" i="41"/>
  <c r="BX56" i="41"/>
  <c r="CA56" i="41"/>
  <c r="BZ56" i="41"/>
  <c r="BV56" i="41"/>
  <c r="BY56" i="41"/>
  <c r="BW56" i="41"/>
  <c r="BR56" i="41"/>
  <c r="BS56" i="41"/>
  <c r="H119" i="41"/>
  <c r="CB14" i="41"/>
  <c r="AO14" i="41" s="1"/>
  <c r="CK54" i="41"/>
  <c r="CD54" i="41"/>
  <c r="CF54" i="41"/>
  <c r="CN54" i="41"/>
  <c r="CM54" i="41"/>
  <c r="CG54" i="41"/>
  <c r="CJ54" i="41"/>
  <c r="CL54" i="41"/>
  <c r="CI54" i="41"/>
  <c r="CC54" i="41"/>
  <c r="CH54" i="41"/>
  <c r="CE54" i="41"/>
  <c r="CC107" i="41"/>
  <c r="CL107" i="41"/>
  <c r="CJ107" i="41"/>
  <c r="CM107" i="41"/>
  <c r="CD107" i="41"/>
  <c r="CF107" i="41"/>
  <c r="CK107" i="41"/>
  <c r="CI107" i="41"/>
  <c r="CH107" i="41"/>
  <c r="CN107" i="41"/>
  <c r="CE107" i="41"/>
  <c r="CG107" i="41"/>
  <c r="CB168" i="41"/>
  <c r="AO168" i="41" s="1"/>
  <c r="BO31" i="41"/>
  <c r="BM166" i="41"/>
  <c r="BI166" i="41"/>
  <c r="BE166" i="41"/>
  <c r="BG166" i="41"/>
  <c r="BF166" i="41"/>
  <c r="BC166" i="41"/>
  <c r="BL166" i="41"/>
  <c r="BK166" i="41"/>
  <c r="BN166" i="41"/>
  <c r="BH166" i="41"/>
  <c r="BD166" i="41"/>
  <c r="BJ166" i="41"/>
  <c r="BO163" i="41"/>
  <c r="CB157" i="41"/>
  <c r="AO157" i="41" s="1"/>
  <c r="CK99" i="41"/>
  <c r="CI99" i="41"/>
  <c r="CD99" i="41"/>
  <c r="CM99" i="41"/>
  <c r="CG99" i="41"/>
  <c r="CE99" i="41"/>
  <c r="CJ99" i="41"/>
  <c r="CN99" i="41"/>
  <c r="CC99" i="41"/>
  <c r="CH99" i="41"/>
  <c r="CF99" i="41"/>
  <c r="CL99" i="41"/>
  <c r="CO47" i="41"/>
  <c r="BB47" i="41" s="1"/>
  <c r="BN150" i="41"/>
  <c r="BH150" i="41"/>
  <c r="BE150" i="41"/>
  <c r="BJ150" i="41"/>
  <c r="BD150" i="41"/>
  <c r="BK150" i="41"/>
  <c r="BF150" i="41"/>
  <c r="BI150" i="41"/>
  <c r="BC150" i="41"/>
  <c r="BG150" i="41"/>
  <c r="BL150" i="41"/>
  <c r="BM150" i="41"/>
  <c r="BG61" i="41"/>
  <c r="AB25" i="41"/>
  <c r="CB144" i="41"/>
  <c r="AO144" i="41" s="1"/>
  <c r="CB110" i="41"/>
  <c r="AO110" i="41" s="1"/>
  <c r="M89" i="41"/>
  <c r="N89" i="41"/>
  <c r="O89" i="41" s="1"/>
  <c r="CG95" i="41"/>
  <c r="CE95" i="41"/>
  <c r="CH95" i="41"/>
  <c r="CF95" i="41"/>
  <c r="CC95" i="41"/>
  <c r="CJ95" i="41"/>
  <c r="CD95" i="41"/>
  <c r="CK95" i="41"/>
  <c r="CM95" i="41"/>
  <c r="CN95" i="41"/>
  <c r="CL95" i="41"/>
  <c r="CI95" i="41"/>
  <c r="CB156" i="41"/>
  <c r="AO156" i="41" s="1"/>
  <c r="BO160" i="41"/>
  <c r="I102" i="41"/>
  <c r="L102" i="41"/>
  <c r="J102" i="41"/>
  <c r="K102" i="41" s="1"/>
  <c r="M109" i="41"/>
  <c r="N109" i="41"/>
  <c r="O109" i="41" s="1"/>
  <c r="M114" i="41"/>
  <c r="N114" i="41"/>
  <c r="O114" i="41" s="1"/>
  <c r="CB107" i="41"/>
  <c r="AO107" i="41" s="1"/>
  <c r="CB49" i="41"/>
  <c r="AO49" i="41" s="1"/>
  <c r="AB23" i="41"/>
  <c r="BZ37" i="41"/>
  <c r="BU37" i="41"/>
  <c r="BP37" i="41"/>
  <c r="CA37" i="41"/>
  <c r="BV37" i="41"/>
  <c r="BQ37" i="41"/>
  <c r="BW37" i="41"/>
  <c r="BR37" i="41"/>
  <c r="BX37" i="41"/>
  <c r="BS37" i="41"/>
  <c r="BY37" i="41"/>
  <c r="BT37" i="41"/>
  <c r="BX104" i="41"/>
  <c r="BY104" i="41"/>
  <c r="BS104" i="41"/>
  <c r="BU104" i="41"/>
  <c r="BZ104" i="41"/>
  <c r="BT104" i="41"/>
  <c r="BQ104" i="41"/>
  <c r="BV104" i="41"/>
  <c r="BP104" i="41"/>
  <c r="CA104" i="41"/>
  <c r="BR104" i="41"/>
  <c r="BW104" i="41"/>
  <c r="CL116" i="41"/>
  <c r="CC116" i="41"/>
  <c r="CE116" i="41"/>
  <c r="CK116" i="41"/>
  <c r="CN116" i="41"/>
  <c r="CH116" i="41"/>
  <c r="CG116" i="41"/>
  <c r="CF116" i="41"/>
  <c r="CJ116" i="41"/>
  <c r="CD116" i="41"/>
  <c r="CI116" i="41"/>
  <c r="CM116" i="41"/>
  <c r="CB95" i="41"/>
  <c r="AO95" i="41" s="1"/>
  <c r="AO44" i="41"/>
  <c r="BO56" i="41"/>
  <c r="AB107" i="41"/>
  <c r="BO96" i="41"/>
  <c r="CH156" i="41"/>
  <c r="CF156" i="41"/>
  <c r="CI156" i="41"/>
  <c r="CD156" i="41"/>
  <c r="CK156" i="41"/>
  <c r="CM156" i="41"/>
  <c r="CN156" i="41"/>
  <c r="CC156" i="41"/>
  <c r="CE156" i="41"/>
  <c r="CJ156" i="41"/>
  <c r="CG156" i="41"/>
  <c r="CL156" i="41"/>
  <c r="N160" i="41"/>
  <c r="O160" i="41" s="1"/>
  <c r="M160" i="41"/>
  <c r="CB45" i="41"/>
  <c r="AO45" i="41" s="1"/>
  <c r="AB92" i="41"/>
  <c r="M42" i="41"/>
  <c r="N42" i="41"/>
  <c r="O42" i="41" s="1"/>
  <c r="CB108" i="41"/>
  <c r="AO108" i="41" s="1"/>
  <c r="BS33" i="41"/>
  <c r="BY33" i="41"/>
  <c r="BT33" i="41"/>
  <c r="BW33" i="41"/>
  <c r="BZ33" i="41"/>
  <c r="BU33" i="41"/>
  <c r="BP33" i="41"/>
  <c r="BR33" i="41"/>
  <c r="CA33" i="41"/>
  <c r="BV33" i="41"/>
  <c r="BQ33" i="41"/>
  <c r="BX33" i="41"/>
  <c r="CJ152" i="41"/>
  <c r="CD152" i="41"/>
  <c r="CN152" i="41"/>
  <c r="CG152" i="41"/>
  <c r="CE152" i="41"/>
  <c r="CF152" i="41"/>
  <c r="CK152" i="41"/>
  <c r="CM152" i="41"/>
  <c r="CH152" i="41"/>
  <c r="CL152" i="41"/>
  <c r="CC152" i="41"/>
  <c r="CI152" i="41"/>
  <c r="CM29" i="41"/>
  <c r="CH29" i="41"/>
  <c r="CC29" i="41"/>
  <c r="CI29" i="41"/>
  <c r="CD29" i="41"/>
  <c r="CN29" i="41"/>
  <c r="CG29" i="41"/>
  <c r="CE29" i="41"/>
  <c r="CK29" i="41"/>
  <c r="CJ29" i="41"/>
  <c r="CL29" i="41"/>
  <c r="CF29" i="41"/>
  <c r="I151" i="41"/>
  <c r="J151" i="41"/>
  <c r="K151" i="41" s="1"/>
  <c r="L151" i="41"/>
  <c r="BO33" i="41"/>
  <c r="CI58" i="41"/>
  <c r="CC58" i="41"/>
  <c r="CF58" i="41"/>
  <c r="CN58" i="41"/>
  <c r="CE58" i="41"/>
  <c r="CJ58" i="41"/>
  <c r="CL58" i="41"/>
  <c r="CK58" i="41"/>
  <c r="CH58" i="41"/>
  <c r="CD58" i="41"/>
  <c r="CM58" i="41"/>
  <c r="CG58" i="41"/>
  <c r="AB168" i="41"/>
  <c r="CB155" i="41"/>
  <c r="AO155" i="41" s="1"/>
  <c r="CO44" i="41"/>
  <c r="BB44" i="41" s="1"/>
  <c r="CB26" i="41"/>
  <c r="AB157" i="41"/>
  <c r="CL28" i="41"/>
  <c r="CG28" i="41"/>
  <c r="CF28" i="41"/>
  <c r="CH28" i="41"/>
  <c r="CC28" i="41"/>
  <c r="CM28" i="41"/>
  <c r="CD28" i="41"/>
  <c r="CN28" i="41"/>
  <c r="CI28" i="41"/>
  <c r="CK28" i="41"/>
  <c r="CJ28" i="41"/>
  <c r="CE28" i="41"/>
  <c r="BR113" i="41"/>
  <c r="BU113" i="41"/>
  <c r="BS113" i="41"/>
  <c r="BX113" i="41"/>
  <c r="BY113" i="41"/>
  <c r="CA113" i="41"/>
  <c r="BZ113" i="41"/>
  <c r="BT113" i="41"/>
  <c r="BQ113" i="41"/>
  <c r="BW113" i="41"/>
  <c r="BP113" i="41"/>
  <c r="BV113" i="41"/>
  <c r="CB25" i="41"/>
  <c r="AO25" i="41" s="1"/>
  <c r="AB105" i="41"/>
  <c r="BY31" i="41"/>
  <c r="BT31" i="41"/>
  <c r="BS31" i="41"/>
  <c r="BX31" i="41"/>
  <c r="BW31" i="41"/>
  <c r="BU31" i="41"/>
  <c r="BP31" i="41"/>
  <c r="BZ31" i="41"/>
  <c r="BQ31" i="41"/>
  <c r="CA31" i="41"/>
  <c r="BV31" i="41"/>
  <c r="BR31" i="41"/>
  <c r="AB54" i="41"/>
  <c r="CL90" i="41"/>
  <c r="CC90" i="41"/>
  <c r="CM90" i="41"/>
  <c r="CN90" i="41"/>
  <c r="CH90" i="41"/>
  <c r="CG90" i="41"/>
  <c r="CJ90" i="41"/>
  <c r="CD90" i="41"/>
  <c r="CI90" i="41"/>
  <c r="CF90" i="41"/>
  <c r="CK90" i="41"/>
  <c r="CE90" i="41"/>
  <c r="BO118" i="41"/>
  <c r="BO147" i="41"/>
  <c r="CB145" i="41"/>
  <c r="AO145" i="41" s="1"/>
  <c r="AB86" i="41"/>
  <c r="AB117" i="41"/>
  <c r="BO169" i="41"/>
  <c r="I162" i="41"/>
  <c r="L162" i="41"/>
  <c r="J162" i="41"/>
  <c r="K162" i="41" s="1"/>
  <c r="BO114" i="41"/>
  <c r="CB50" i="41"/>
  <c r="AO50" i="41" s="1"/>
  <c r="BO37" i="41"/>
  <c r="CB103" i="41"/>
  <c r="AO103" i="41" s="1"/>
  <c r="CB148" i="41"/>
  <c r="CB35" i="41"/>
  <c r="AO35" i="41" s="1"/>
  <c r="AB36" i="41"/>
  <c r="CB116" i="41"/>
  <c r="AO116" i="41" s="1"/>
  <c r="CM105" i="41"/>
  <c r="CG105" i="41"/>
  <c r="CH105" i="41"/>
  <c r="CI105" i="41"/>
  <c r="CC105" i="41"/>
  <c r="CJ105" i="41"/>
  <c r="CE105" i="41"/>
  <c r="CL105" i="41"/>
  <c r="CF105" i="41"/>
  <c r="CN105" i="41"/>
  <c r="CK105" i="41"/>
  <c r="CD105" i="41"/>
  <c r="M169" i="41"/>
  <c r="N169" i="41"/>
  <c r="O169" i="41" s="1"/>
  <c r="BM102" i="41"/>
  <c r="BN102" i="41"/>
  <c r="BK102" i="41"/>
  <c r="BL102" i="41"/>
  <c r="BJ102" i="41"/>
  <c r="BC102" i="41"/>
  <c r="BH102" i="41"/>
  <c r="BF102" i="41"/>
  <c r="BE102" i="41"/>
  <c r="BD102" i="41"/>
  <c r="BG102" i="41"/>
  <c r="BI102" i="41"/>
  <c r="AB156" i="41"/>
  <c r="AB90" i="41"/>
  <c r="M163" i="41"/>
  <c r="N163" i="41"/>
  <c r="O163" i="41" s="1"/>
  <c r="BR160" i="41"/>
  <c r="CA160" i="41"/>
  <c r="BQ160" i="41"/>
  <c r="BV160" i="41"/>
  <c r="BX160" i="41"/>
  <c r="BS160" i="41"/>
  <c r="BY160" i="41"/>
  <c r="BZ160" i="41"/>
  <c r="BT160" i="41"/>
  <c r="BW160" i="41"/>
  <c r="BP160" i="41"/>
  <c r="BU160" i="41"/>
  <c r="CJ110" i="41"/>
  <c r="CD110" i="41"/>
  <c r="CK110" i="41"/>
  <c r="CF110" i="41"/>
  <c r="CI110" i="41"/>
  <c r="CG110" i="41"/>
  <c r="CL110" i="41"/>
  <c r="CM110" i="41"/>
  <c r="CC110" i="41"/>
  <c r="CN110" i="41"/>
  <c r="CH110" i="41"/>
  <c r="CE110" i="41"/>
  <c r="CK85" i="41"/>
  <c r="CF85" i="41"/>
  <c r="CD85" i="41"/>
  <c r="CN85" i="41"/>
  <c r="CM85" i="41"/>
  <c r="CG85" i="41"/>
  <c r="CJ85" i="41"/>
  <c r="CE85" i="41"/>
  <c r="CI85" i="41"/>
  <c r="CC85" i="41"/>
  <c r="CL85" i="41"/>
  <c r="CH85" i="41"/>
  <c r="AB99" i="41"/>
  <c r="AO22" i="41"/>
  <c r="BU149" i="41"/>
  <c r="BS149" i="41"/>
  <c r="BV149" i="41"/>
  <c r="BQ149" i="41"/>
  <c r="BT149" i="41"/>
  <c r="BZ149" i="41"/>
  <c r="CA149" i="41"/>
  <c r="BX149" i="41"/>
  <c r="BR149" i="41"/>
  <c r="BY149" i="41"/>
  <c r="BW149" i="41"/>
  <c r="BP149" i="41"/>
  <c r="CB59" i="41"/>
  <c r="AB28" i="41"/>
  <c r="N83" i="41"/>
  <c r="O83" i="41" s="1"/>
  <c r="M83" i="41"/>
  <c r="CA52" i="41"/>
  <c r="BT52" i="41"/>
  <c r="BP52" i="41"/>
  <c r="BY52" i="41"/>
  <c r="BW52" i="41"/>
  <c r="BZ52" i="41"/>
  <c r="BU52" i="41"/>
  <c r="BS52" i="41"/>
  <c r="BR52" i="41"/>
  <c r="BQ52" i="41"/>
  <c r="BV52" i="41"/>
  <c r="BX52" i="41"/>
  <c r="CE155" i="41"/>
  <c r="CK155" i="41"/>
  <c r="CD155" i="41"/>
  <c r="CC155" i="41"/>
  <c r="CN155" i="41"/>
  <c r="CF155" i="41"/>
  <c r="CJ155" i="41"/>
  <c r="CM155" i="41"/>
  <c r="CH155" i="41"/>
  <c r="CL155" i="41"/>
  <c r="CI155" i="41"/>
  <c r="CG155" i="41"/>
  <c r="CM87" i="41"/>
  <c r="CF87" i="41"/>
  <c r="CH87" i="41"/>
  <c r="CC87" i="41"/>
  <c r="CK87" i="41"/>
  <c r="CI87" i="41"/>
  <c r="CJ87" i="41"/>
  <c r="CN87" i="41"/>
  <c r="CG87" i="41"/>
  <c r="CE87" i="41"/>
  <c r="CD87" i="41"/>
  <c r="CL87" i="41"/>
  <c r="CB60" i="41"/>
  <c r="AO60" i="41" s="1"/>
  <c r="CO53" i="41"/>
  <c r="BB53" i="41" s="1"/>
  <c r="BZ93" i="41"/>
  <c r="BR93" i="41"/>
  <c r="BV93" i="41"/>
  <c r="BY93" i="41"/>
  <c r="BX93" i="41"/>
  <c r="BT93" i="41"/>
  <c r="CA93" i="41"/>
  <c r="BU93" i="41"/>
  <c r="BW93" i="41"/>
  <c r="BS93" i="41"/>
  <c r="BQ93" i="41"/>
  <c r="BP93" i="41"/>
  <c r="CL49" i="41"/>
  <c r="CJ49" i="41"/>
  <c r="CK49" i="41"/>
  <c r="CE49" i="41"/>
  <c r="CH49" i="41"/>
  <c r="CF49" i="41"/>
  <c r="CC49" i="41"/>
  <c r="CG49" i="41"/>
  <c r="CD49" i="41"/>
  <c r="CM49" i="41"/>
  <c r="CI49" i="41"/>
  <c r="CN49" i="41"/>
  <c r="CJ30" i="41"/>
  <c r="CE30" i="41"/>
  <c r="CK30" i="41"/>
  <c r="CF30" i="41"/>
  <c r="CL30" i="41"/>
  <c r="CG30" i="41"/>
  <c r="CM30" i="41"/>
  <c r="CH30" i="41"/>
  <c r="CC30" i="41"/>
  <c r="CD30" i="41"/>
  <c r="CN30" i="41"/>
  <c r="CI30" i="41"/>
  <c r="BO89" i="41"/>
  <c r="CK103" i="41"/>
  <c r="CI103" i="41"/>
  <c r="CJ103" i="41"/>
  <c r="CF103" i="41"/>
  <c r="CG103" i="41"/>
  <c r="CE103" i="41"/>
  <c r="CD103" i="41"/>
  <c r="CM103" i="41"/>
  <c r="CC103" i="41"/>
  <c r="CN103" i="41"/>
  <c r="CL103" i="41"/>
  <c r="CH103" i="41"/>
  <c r="BR96" i="41"/>
  <c r="BY96" i="41"/>
  <c r="BW96" i="41"/>
  <c r="BX96" i="41"/>
  <c r="BQ96" i="41"/>
  <c r="BS96" i="41"/>
  <c r="BZ96" i="41"/>
  <c r="BT96" i="41"/>
  <c r="BU96" i="41"/>
  <c r="CA96" i="41"/>
  <c r="BV96" i="41"/>
  <c r="BP96" i="41"/>
  <c r="M32" i="41"/>
  <c r="N32" i="41"/>
  <c r="O32" i="41" s="1"/>
  <c r="J150" i="41"/>
  <c r="K150" i="41" s="1"/>
  <c r="L150" i="41"/>
  <c r="I150" i="41"/>
  <c r="BO16" i="41"/>
  <c r="BO149" i="41"/>
  <c r="AB101" i="41"/>
  <c r="BO55" i="41"/>
  <c r="BU169" i="41"/>
  <c r="BS169" i="41"/>
  <c r="BX169" i="41"/>
  <c r="BR169" i="41"/>
  <c r="BT169" i="41"/>
  <c r="BW169" i="41"/>
  <c r="BP169" i="41"/>
  <c r="BZ169" i="41"/>
  <c r="BQ169" i="41"/>
  <c r="CA169" i="41"/>
  <c r="BV169" i="41"/>
  <c r="BY169" i="41"/>
  <c r="BE154" i="41"/>
  <c r="BN154" i="41"/>
  <c r="BD154" i="41"/>
  <c r="BM154" i="41"/>
  <c r="BJ154" i="41"/>
  <c r="BL154" i="41"/>
  <c r="BC154" i="41"/>
  <c r="BF154" i="41"/>
  <c r="BG154" i="41"/>
  <c r="BK154" i="41"/>
  <c r="BI154" i="41"/>
  <c r="BH154" i="41"/>
  <c r="BM84" i="41"/>
  <c r="BI84" i="41"/>
  <c r="BE84" i="41"/>
  <c r="BN84" i="41"/>
  <c r="BH84" i="41"/>
  <c r="BJ84" i="41"/>
  <c r="BD84" i="41"/>
  <c r="BC84" i="41"/>
  <c r="BK84" i="41"/>
  <c r="BF84" i="41"/>
  <c r="BG84" i="41"/>
  <c r="BL84" i="41"/>
  <c r="M16" i="41"/>
  <c r="N16" i="41"/>
  <c r="O16" i="41" s="1"/>
  <c r="I111" i="41"/>
  <c r="J111" i="41"/>
  <c r="K111" i="41" s="1"/>
  <c r="L111" i="41"/>
  <c r="BV114" i="41"/>
  <c r="BP114" i="41"/>
  <c r="BW114" i="41"/>
  <c r="BR114" i="41"/>
  <c r="BU114" i="41"/>
  <c r="BS114" i="41"/>
  <c r="BX114" i="41"/>
  <c r="BY114" i="41"/>
  <c r="CA114" i="41"/>
  <c r="BT114" i="41"/>
  <c r="BQ114" i="41"/>
  <c r="BZ114" i="41"/>
  <c r="CK159" i="41"/>
  <c r="CI159" i="41"/>
  <c r="CH159" i="41"/>
  <c r="CG159" i="41"/>
  <c r="CE159" i="41"/>
  <c r="CN159" i="41"/>
  <c r="CD159" i="41"/>
  <c r="CC159" i="41"/>
  <c r="CL159" i="41"/>
  <c r="CF159" i="41"/>
  <c r="CM159" i="41"/>
  <c r="CJ159" i="41"/>
  <c r="BK98" i="41"/>
  <c r="BC98" i="41"/>
  <c r="BG98" i="41"/>
  <c r="BN98" i="41"/>
  <c r="BM98" i="41"/>
  <c r="BI98" i="41"/>
  <c r="BL98" i="41"/>
  <c r="BJ98" i="41"/>
  <c r="BH98" i="41"/>
  <c r="BD98" i="41"/>
  <c r="BF98" i="41"/>
  <c r="BE98" i="41"/>
  <c r="CH57" i="41"/>
  <c r="CF57" i="41"/>
  <c r="CE57" i="41"/>
  <c r="CL57" i="41"/>
  <c r="CD57" i="41"/>
  <c r="CI57" i="41"/>
  <c r="CK57" i="41"/>
  <c r="CJ57" i="41"/>
  <c r="CN57" i="41"/>
  <c r="CG57" i="41"/>
  <c r="CC57" i="41"/>
  <c r="CM57" i="41"/>
  <c r="N104" i="41"/>
  <c r="O104" i="41" s="1"/>
  <c r="M104" i="41"/>
  <c r="AB145" i="41"/>
  <c r="CB161" i="41"/>
  <c r="AO161" i="41" s="1"/>
  <c r="BZ163" i="41"/>
  <c r="BT163" i="41"/>
  <c r="BX163" i="41"/>
  <c r="BV163" i="41"/>
  <c r="BW163" i="41"/>
  <c r="CA163" i="41"/>
  <c r="BR163" i="41"/>
  <c r="BQ163" i="41"/>
  <c r="BP163" i="41"/>
  <c r="BS163" i="41"/>
  <c r="BU163" i="41"/>
  <c r="BY163" i="41"/>
  <c r="AB87" i="41"/>
  <c r="AB144" i="41"/>
  <c r="CC145" i="41"/>
  <c r="CL145" i="41"/>
  <c r="CN145" i="41"/>
  <c r="CM145" i="41"/>
  <c r="CD145" i="41"/>
  <c r="CF145" i="41"/>
  <c r="CK145" i="41"/>
  <c r="CI145" i="41"/>
  <c r="CH145" i="41"/>
  <c r="CG145" i="41"/>
  <c r="CE145" i="41"/>
  <c r="CJ145" i="41"/>
  <c r="BC61" i="41"/>
  <c r="AB155" i="41"/>
  <c r="CL153" i="41"/>
  <c r="CD153" i="41"/>
  <c r="CE153" i="41"/>
  <c r="CK153" i="41"/>
  <c r="CF153" i="41"/>
  <c r="CH153" i="41"/>
  <c r="CG153" i="41"/>
  <c r="CN153" i="41"/>
  <c r="CM153" i="41"/>
  <c r="CC153" i="41"/>
  <c r="CI153" i="41"/>
  <c r="CJ153" i="41"/>
  <c r="CB158" i="41"/>
  <c r="CG23" i="41"/>
  <c r="CF23" i="41"/>
  <c r="CL23" i="41"/>
  <c r="CK23" i="41"/>
  <c r="CC23" i="41"/>
  <c r="CM23" i="41"/>
  <c r="CH23" i="41"/>
  <c r="CN23" i="41"/>
  <c r="CI23" i="41"/>
  <c r="CD23" i="41"/>
  <c r="CJ23" i="41"/>
  <c r="CE23" i="41"/>
  <c r="M33" i="41"/>
  <c r="N33" i="41"/>
  <c r="O33" i="41" s="1"/>
  <c r="CB87" i="41"/>
  <c r="AO87" i="41" s="1"/>
  <c r="CJ86" i="41"/>
  <c r="CD86" i="41"/>
  <c r="CK86" i="41"/>
  <c r="CF86" i="41"/>
  <c r="CM86" i="41"/>
  <c r="CG86" i="41"/>
  <c r="CL86" i="41"/>
  <c r="CE86" i="41"/>
  <c r="CC86" i="41"/>
  <c r="CN86" i="41"/>
  <c r="CH86" i="41"/>
  <c r="CI86" i="41"/>
  <c r="CE101" i="41"/>
  <c r="CN101" i="41"/>
  <c r="CH101" i="41"/>
  <c r="CK101" i="41"/>
  <c r="CF101" i="41"/>
  <c r="CD101" i="41"/>
  <c r="CC101" i="41"/>
  <c r="CM101" i="41"/>
  <c r="CG101" i="41"/>
  <c r="CJ101" i="41"/>
  <c r="CI101" i="41"/>
  <c r="CL101" i="41"/>
  <c r="BG115" i="41"/>
  <c r="BE115" i="41"/>
  <c r="BH115" i="41"/>
  <c r="BI115" i="41"/>
  <c r="BC115" i="41"/>
  <c r="BN115" i="41"/>
  <c r="BL115" i="41"/>
  <c r="BJ115" i="41"/>
  <c r="BM115" i="41"/>
  <c r="BF115" i="41"/>
  <c r="BD115" i="41"/>
  <c r="BK115" i="41"/>
  <c r="CA142" i="41"/>
  <c r="BU142" i="41"/>
  <c r="BT142" i="41"/>
  <c r="BW142" i="41"/>
  <c r="BQ142" i="41"/>
  <c r="BZ142" i="41"/>
  <c r="BS142" i="41"/>
  <c r="BX142" i="41"/>
  <c r="BR142" i="41"/>
  <c r="BY142" i="41"/>
  <c r="BP142" i="41"/>
  <c r="BV142" i="41"/>
  <c r="AB112" i="41"/>
  <c r="CJ14" i="41"/>
  <c r="CL14" i="41"/>
  <c r="CG14" i="41"/>
  <c r="CF14" i="41"/>
  <c r="CH14" i="41"/>
  <c r="CC14" i="41"/>
  <c r="CM14" i="41"/>
  <c r="CD14" i="41"/>
  <c r="CE14" i="41"/>
  <c r="CN14" i="41"/>
  <c r="CI14" i="41"/>
  <c r="CK14" i="41"/>
  <c r="AB165" i="41"/>
  <c r="CB86" i="41"/>
  <c r="AO86" i="41" s="1"/>
  <c r="AB30" i="41"/>
  <c r="CB24" i="41"/>
  <c r="CB152" i="41"/>
  <c r="BZ146" i="41"/>
  <c r="BT146" i="41"/>
  <c r="BW146" i="41"/>
  <c r="BS146" i="41"/>
  <c r="BV146" i="41"/>
  <c r="BP146" i="41"/>
  <c r="BQ146" i="41"/>
  <c r="BX146" i="41"/>
  <c r="BR146" i="41"/>
  <c r="CA146" i="41"/>
  <c r="BY146" i="41"/>
  <c r="BU146" i="41"/>
  <c r="M113" i="41"/>
  <c r="N113" i="41"/>
  <c r="O113" i="41" s="1"/>
  <c r="CN168" i="41"/>
  <c r="CH168" i="41"/>
  <c r="CI168" i="41"/>
  <c r="CJ168" i="41"/>
  <c r="CD168" i="41"/>
  <c r="CK168" i="41"/>
  <c r="CF168" i="41"/>
  <c r="CM168" i="41"/>
  <c r="CC168" i="41"/>
  <c r="CL168" i="41"/>
  <c r="CE168" i="41"/>
  <c r="CG168" i="41"/>
  <c r="AB88" i="41"/>
  <c r="CE164" i="41"/>
  <c r="CK164" i="41"/>
  <c r="CJ164" i="41"/>
  <c r="CN164" i="41"/>
  <c r="CF164" i="41"/>
  <c r="CD164" i="41"/>
  <c r="CI164" i="41"/>
  <c r="CM164" i="41"/>
  <c r="CH164" i="41"/>
  <c r="CL164" i="41"/>
  <c r="CC164" i="41"/>
  <c r="CG164" i="41"/>
  <c r="BO104" i="41"/>
  <c r="CE161" i="41"/>
  <c r="CJ161" i="41"/>
  <c r="CD161" i="41"/>
  <c r="CC161" i="41"/>
  <c r="CN161" i="41"/>
  <c r="CK161" i="41"/>
  <c r="CF161" i="41"/>
  <c r="CI161" i="41"/>
  <c r="CM161" i="41"/>
  <c r="CG161" i="41"/>
  <c r="CH161" i="41"/>
  <c r="CL161" i="41"/>
  <c r="CM157" i="41"/>
  <c r="CG157" i="41"/>
  <c r="CH157" i="41"/>
  <c r="CI157" i="41"/>
  <c r="CC157" i="41"/>
  <c r="CJ157" i="41"/>
  <c r="CE157" i="41"/>
  <c r="CL157" i="41"/>
  <c r="CN157" i="41"/>
  <c r="CK157" i="41"/>
  <c r="CF157" i="41"/>
  <c r="CD157" i="41"/>
  <c r="CB99" i="41"/>
  <c r="AO99" i="41" s="1"/>
  <c r="BT55" i="41"/>
  <c r="BR55" i="41"/>
  <c r="BQ55" i="41"/>
  <c r="BP55" i="41"/>
  <c r="CA55" i="41"/>
  <c r="BW55" i="41"/>
  <c r="BZ55" i="41"/>
  <c r="BS55" i="41"/>
  <c r="BU55" i="41"/>
  <c r="BX55" i="41"/>
  <c r="BV55" i="41"/>
  <c r="BY55" i="41"/>
  <c r="CE38" i="41"/>
  <c r="CN38" i="41"/>
  <c r="CJ38" i="41"/>
  <c r="CK38" i="41"/>
  <c r="CF38" i="41"/>
  <c r="CH38" i="41"/>
  <c r="CM38" i="41"/>
  <c r="CG38" i="41"/>
  <c r="CL38" i="41"/>
  <c r="CD38" i="41"/>
  <c r="CI38" i="41"/>
  <c r="CC38" i="41"/>
  <c r="BO93" i="41"/>
  <c r="CB36" i="41"/>
  <c r="AO36" i="41" s="1"/>
  <c r="CB165" i="41"/>
  <c r="AO165" i="41" s="1"/>
  <c r="CN158" i="41"/>
  <c r="CH158" i="41"/>
  <c r="CG158" i="41"/>
  <c r="CL158" i="41"/>
  <c r="CJ158" i="41"/>
  <c r="CD158" i="41"/>
  <c r="CE158" i="41"/>
  <c r="CI158" i="41"/>
  <c r="CF158" i="41"/>
  <c r="CK158" i="41"/>
  <c r="CM158" i="41"/>
  <c r="CC158" i="41"/>
  <c r="BM143" i="41"/>
  <c r="BI143" i="41"/>
  <c r="BD143" i="41"/>
  <c r="BG143" i="41"/>
  <c r="BN143" i="41"/>
  <c r="BK143" i="41"/>
  <c r="BL143" i="41"/>
  <c r="BJ143" i="41"/>
  <c r="BC143" i="41"/>
  <c r="BE143" i="41"/>
  <c r="BH143" i="41"/>
  <c r="BF143" i="41"/>
  <c r="CA83" i="41"/>
  <c r="BR83" i="41"/>
  <c r="BX83" i="41"/>
  <c r="BQ83" i="41"/>
  <c r="BP83" i="41"/>
  <c r="BY83" i="41"/>
  <c r="BW83" i="41"/>
  <c r="BV83" i="41"/>
  <c r="BZ83" i="41"/>
  <c r="BU83" i="41"/>
  <c r="BS83" i="41"/>
  <c r="BT83" i="41"/>
  <c r="AB40" i="41"/>
  <c r="M147" i="41"/>
  <c r="N147" i="41"/>
  <c r="O147" i="41" s="1"/>
  <c r="CB23" i="41"/>
  <c r="AO23" i="41" s="1"/>
  <c r="AB50" i="41"/>
  <c r="AB49" i="41"/>
  <c r="CM167" i="41"/>
  <c r="CG167" i="41"/>
  <c r="CJ167" i="41"/>
  <c r="CI167" i="41"/>
  <c r="CC167" i="41"/>
  <c r="CH167" i="41"/>
  <c r="CE167" i="41"/>
  <c r="CN167" i="41"/>
  <c r="CL167" i="41"/>
  <c r="CF167" i="41"/>
  <c r="CD167" i="41"/>
  <c r="CK167" i="41"/>
  <c r="AB167" i="41"/>
  <c r="AB45" i="41"/>
  <c r="CK36" i="41"/>
  <c r="CJ36" i="41"/>
  <c r="CE36" i="41"/>
  <c r="CL36" i="41"/>
  <c r="CG36" i="41"/>
  <c r="CF36" i="41"/>
  <c r="CH36" i="41"/>
  <c r="CC36" i="41"/>
  <c r="CM36" i="41"/>
  <c r="CN36" i="41"/>
  <c r="CI36" i="41"/>
  <c r="CD36" i="41"/>
  <c r="AB35" i="41"/>
  <c r="CK91" i="41"/>
  <c r="CI91" i="41"/>
  <c r="CH91" i="41"/>
  <c r="CG91" i="41"/>
  <c r="CE91" i="41"/>
  <c r="CN91" i="41"/>
  <c r="CC91" i="41"/>
  <c r="CL91" i="41"/>
  <c r="CJ91" i="41"/>
  <c r="CM91" i="41"/>
  <c r="CF91" i="41"/>
  <c r="CD91" i="41"/>
  <c r="BO32" i="41"/>
  <c r="CC35" i="41"/>
  <c r="CM35" i="41"/>
  <c r="CH35" i="41"/>
  <c r="CG35" i="41"/>
  <c r="CF35" i="41"/>
  <c r="CN35" i="41"/>
  <c r="CI35" i="41"/>
  <c r="CD35" i="41"/>
  <c r="CL35" i="41"/>
  <c r="CK35" i="41"/>
  <c r="CJ35" i="41"/>
  <c r="CE35" i="41"/>
  <c r="CF144" i="41"/>
  <c r="CK144" i="41"/>
  <c r="CM144" i="41"/>
  <c r="CL144" i="41"/>
  <c r="CC144" i="41"/>
  <c r="CE144" i="41"/>
  <c r="CN144" i="41"/>
  <c r="CH144" i="41"/>
  <c r="CG144" i="41"/>
  <c r="CJ144" i="41"/>
  <c r="CI144" i="41"/>
  <c r="CD144" i="41"/>
  <c r="CB92" i="41"/>
  <c r="AO92" i="41" s="1"/>
  <c r="M142" i="41"/>
  <c r="N142" i="41"/>
  <c r="O142" i="41" s="1"/>
  <c r="BC151" i="41"/>
  <c r="BJ151" i="41"/>
  <c r="BL151" i="41"/>
  <c r="BG151" i="41"/>
  <c r="BM151" i="41"/>
  <c r="BN151" i="41"/>
  <c r="BH151" i="41"/>
  <c r="BE151" i="41"/>
  <c r="BK151" i="41"/>
  <c r="BI151" i="41"/>
  <c r="BF151" i="41"/>
  <c r="BD151" i="41"/>
  <c r="CO18" i="41"/>
  <c r="AB103" i="41"/>
  <c r="CB159" i="41"/>
  <c r="AO159" i="41" s="1"/>
  <c r="CB117" i="41"/>
  <c r="AO117" i="41" s="1"/>
  <c r="CC165" i="41"/>
  <c r="CH165" i="41"/>
  <c r="CF165" i="41"/>
  <c r="CM165" i="41"/>
  <c r="CL165" i="41"/>
  <c r="CN165" i="41"/>
  <c r="CG165" i="41"/>
  <c r="CJ165" i="41"/>
  <c r="CK165" i="41"/>
  <c r="CI165" i="41"/>
  <c r="CD165" i="41"/>
  <c r="CE165" i="41"/>
  <c r="CE21" i="41"/>
  <c r="CK21" i="41"/>
  <c r="CJ21" i="41"/>
  <c r="CD21" i="41"/>
  <c r="CL21" i="41"/>
  <c r="CG21" i="41"/>
  <c r="CF21" i="41"/>
  <c r="CI21" i="41"/>
  <c r="CM21" i="41"/>
  <c r="CH21" i="41"/>
  <c r="CC21" i="41"/>
  <c r="CN21" i="41"/>
  <c r="M52" i="41"/>
  <c r="N52" i="41"/>
  <c r="O52" i="41" s="1"/>
  <c r="AB29" i="41"/>
  <c r="BO146" i="41"/>
  <c r="CN34" i="41"/>
  <c r="CI34" i="41"/>
  <c r="CD34" i="41"/>
  <c r="CJ34" i="41"/>
  <c r="CE34" i="41"/>
  <c r="CK34" i="41"/>
  <c r="CF34" i="41"/>
  <c r="CL34" i="41"/>
  <c r="CG34" i="41"/>
  <c r="CM34" i="41"/>
  <c r="CC34" i="41"/>
  <c r="CH34" i="41"/>
  <c r="AB27" i="41"/>
  <c r="J166" i="41"/>
  <c r="K166" i="41" s="1"/>
  <c r="L166" i="41"/>
  <c r="I166" i="41"/>
  <c r="BO142" i="41"/>
  <c r="AB85" i="41"/>
  <c r="CB90" i="41"/>
  <c r="AO90" i="41" s="1"/>
  <c r="N96" i="41"/>
  <c r="O96" i="41" s="1"/>
  <c r="M96" i="41"/>
  <c r="BY32" i="41"/>
  <c r="BT32" i="41"/>
  <c r="BS32" i="41"/>
  <c r="BZ32" i="41"/>
  <c r="BU32" i="41"/>
  <c r="BP32" i="41"/>
  <c r="BV32" i="41"/>
  <c r="BQ32" i="41"/>
  <c r="CA32" i="41"/>
  <c r="BR32" i="41"/>
  <c r="BX32" i="41"/>
  <c r="BW32" i="41"/>
  <c r="BY147" i="41"/>
  <c r="BX147" i="41"/>
  <c r="BR147" i="41"/>
  <c r="CA147" i="41"/>
  <c r="BU147" i="41"/>
  <c r="BP147" i="41"/>
  <c r="BW147" i="41"/>
  <c r="BQ147" i="41"/>
  <c r="BV147" i="41"/>
  <c r="BZ147" i="41"/>
  <c r="BT147" i="41"/>
  <c r="BS147" i="41"/>
  <c r="CK27" i="41"/>
  <c r="CJ27" i="41"/>
  <c r="CE27" i="41"/>
  <c r="CG27" i="41"/>
  <c r="CF27" i="41"/>
  <c r="CL27" i="41"/>
  <c r="CI27" i="41"/>
  <c r="CC27" i="41"/>
  <c r="CM27" i="41"/>
  <c r="CH27" i="41"/>
  <c r="CN27" i="41"/>
  <c r="CD27" i="41"/>
  <c r="AB159" i="41"/>
  <c r="CH108" i="41"/>
  <c r="CF108" i="41"/>
  <c r="CK108" i="41"/>
  <c r="CJ108" i="41"/>
  <c r="CD108" i="41"/>
  <c r="CI108" i="41"/>
  <c r="CG108" i="41"/>
  <c r="CE108" i="41"/>
  <c r="CN108" i="41"/>
  <c r="CM108" i="41"/>
  <c r="CC108" i="41"/>
  <c r="CL108" i="41"/>
  <c r="J154" i="41"/>
  <c r="K154" i="41" s="1"/>
  <c r="I154" i="41"/>
  <c r="L154" i="41"/>
  <c r="J84" i="41"/>
  <c r="K84" i="41" s="1"/>
  <c r="L84" i="41"/>
  <c r="I84" i="41"/>
  <c r="BO83" i="41"/>
  <c r="BY89" i="41"/>
  <c r="BZ89" i="41"/>
  <c r="BX89" i="41"/>
  <c r="CA89" i="41"/>
  <c r="BU89" i="41"/>
  <c r="BR89" i="41"/>
  <c r="BS89" i="41"/>
  <c r="BP89" i="41"/>
  <c r="BW89" i="41"/>
  <c r="BQ89" i="41"/>
  <c r="BT89" i="41"/>
  <c r="BV89" i="41"/>
  <c r="CK19" i="41"/>
  <c r="CJ19" i="41"/>
  <c r="CE19" i="41"/>
  <c r="CN19" i="41"/>
  <c r="CD19" i="41"/>
  <c r="CG19" i="41"/>
  <c r="CF19" i="41"/>
  <c r="CL19" i="41"/>
  <c r="CC19" i="41"/>
  <c r="CM19" i="41"/>
  <c r="CH19" i="41"/>
  <c r="CI19" i="41"/>
  <c r="BY16" i="41"/>
  <c r="BP16" i="41"/>
  <c r="BU16" i="41"/>
  <c r="BZ16" i="41"/>
  <c r="BQ16" i="41"/>
  <c r="CA16" i="41"/>
  <c r="BV16" i="41"/>
  <c r="BX16" i="41"/>
  <c r="BW16" i="41"/>
  <c r="BS16" i="41"/>
  <c r="BT16" i="41"/>
  <c r="BR16" i="41"/>
  <c r="BZ109" i="41"/>
  <c r="BR109" i="41"/>
  <c r="BV109" i="41"/>
  <c r="BS109" i="41"/>
  <c r="BP109" i="41"/>
  <c r="BY109" i="41"/>
  <c r="BX109" i="41"/>
  <c r="BU109" i="41"/>
  <c r="BQ109" i="41"/>
  <c r="BT109" i="41"/>
  <c r="CA109" i="41"/>
  <c r="BW109" i="41"/>
  <c r="CO39" i="41"/>
  <c r="CK50" i="41"/>
  <c r="CF50" i="41"/>
  <c r="CH50" i="41"/>
  <c r="CM50" i="41"/>
  <c r="CG50" i="41"/>
  <c r="CL50" i="41"/>
  <c r="CI50" i="41"/>
  <c r="CC50" i="41"/>
  <c r="CD50" i="41"/>
  <c r="CJ50" i="41"/>
  <c r="CN50" i="41"/>
  <c r="CE50" i="41"/>
  <c r="CK60" i="41"/>
  <c r="CI60" i="41"/>
  <c r="CF60" i="41"/>
  <c r="CG60" i="41"/>
  <c r="CE60" i="41"/>
  <c r="CL60" i="41"/>
  <c r="CC60" i="41"/>
  <c r="CH60" i="41"/>
  <c r="CD60" i="41"/>
  <c r="CN60" i="41"/>
  <c r="CJ60" i="41"/>
  <c r="CM60" i="41"/>
  <c r="CG117" i="41"/>
  <c r="CE117" i="41"/>
  <c r="CJ117" i="41"/>
  <c r="CC117" i="41"/>
  <c r="CL117" i="41"/>
  <c r="CN117" i="41"/>
  <c r="CM117" i="41"/>
  <c r="CD117" i="41"/>
  <c r="CF117" i="41"/>
  <c r="CH117" i="41"/>
  <c r="CK117" i="41"/>
  <c r="CI117" i="41"/>
  <c r="CB85" i="41"/>
  <c r="AO85" i="41" s="1"/>
  <c r="CB28" i="41"/>
  <c r="AO28" i="41" s="1"/>
  <c r="L98" i="41"/>
  <c r="J98" i="41"/>
  <c r="K98" i="41" s="1"/>
  <c r="I98" i="41"/>
  <c r="CK40" i="41"/>
  <c r="CI40" i="41"/>
  <c r="CL40" i="41"/>
  <c r="CG40" i="41"/>
  <c r="CE40" i="41"/>
  <c r="CD40" i="41"/>
  <c r="CC40" i="41"/>
  <c r="CN40" i="41"/>
  <c r="CJ40" i="41"/>
  <c r="CM40" i="41"/>
  <c r="CF40" i="41"/>
  <c r="CH40" i="41"/>
  <c r="CO22" i="41"/>
  <c r="BB22" i="41" s="1"/>
  <c r="N37" i="41"/>
  <c r="O37" i="41" s="1"/>
  <c r="M37" i="41"/>
  <c r="E170" i="41"/>
  <c r="F170" i="41"/>
  <c r="G170" i="41" s="1"/>
  <c r="CG112" i="41"/>
  <c r="CE112" i="41"/>
  <c r="CJ112" i="41"/>
  <c r="CC112" i="41"/>
  <c r="CL112" i="41"/>
  <c r="CN112" i="41"/>
  <c r="CM112" i="41"/>
  <c r="CD112" i="41"/>
  <c r="CF112" i="41"/>
  <c r="CH112" i="41"/>
  <c r="CI112" i="41"/>
  <c r="CK112" i="41"/>
  <c r="AB153" i="41"/>
  <c r="CJ94" i="41"/>
  <c r="CD94" i="41"/>
  <c r="CK94" i="41"/>
  <c r="CF94" i="41"/>
  <c r="CI94" i="41"/>
  <c r="CG94" i="41"/>
  <c r="CL94" i="41"/>
  <c r="CM94" i="41"/>
  <c r="CC94" i="41"/>
  <c r="CH94" i="41"/>
  <c r="CE94" i="41"/>
  <c r="CN94" i="41"/>
  <c r="CB19" i="41"/>
  <c r="AO19" i="41" s="1"/>
  <c r="CO51" i="41"/>
  <c r="BB51" i="41" s="1"/>
  <c r="BR118" i="41"/>
  <c r="CA118" i="41"/>
  <c r="BQ118" i="41"/>
  <c r="BY118" i="41"/>
  <c r="BX118" i="41"/>
  <c r="BS118" i="41"/>
  <c r="BU118" i="41"/>
  <c r="BV118" i="41"/>
  <c r="BZ118" i="41"/>
  <c r="BT118" i="41"/>
  <c r="BW118" i="41"/>
  <c r="BP118" i="41"/>
  <c r="BC106" i="41"/>
  <c r="BK106" i="41"/>
  <c r="BG106" i="41"/>
  <c r="BI106" i="41"/>
  <c r="BD106" i="41"/>
  <c r="BE106" i="41"/>
  <c r="BN106" i="41"/>
  <c r="BM106" i="41"/>
  <c r="BL106" i="41"/>
  <c r="BH106" i="41"/>
  <c r="BJ106" i="41"/>
  <c r="BF106" i="41"/>
  <c r="CJ148" i="41"/>
  <c r="CD148" i="41"/>
  <c r="CG148" i="41"/>
  <c r="CE148" i="41"/>
  <c r="CF148" i="41"/>
  <c r="CI148" i="41"/>
  <c r="CC148" i="41"/>
  <c r="CN148" i="41"/>
  <c r="CL148" i="41"/>
  <c r="CM148" i="41"/>
  <c r="CK148" i="41"/>
  <c r="CH148" i="41"/>
  <c r="BT42" i="41"/>
  <c r="BZ42" i="41"/>
  <c r="BV42" i="41"/>
  <c r="BR42" i="41"/>
  <c r="BS42" i="41"/>
  <c r="BP42" i="41"/>
  <c r="BY42" i="41"/>
  <c r="BX42" i="41"/>
  <c r="CA42" i="41"/>
  <c r="BU42" i="41"/>
  <c r="BW42" i="41"/>
  <c r="BQ42" i="41"/>
  <c r="CB88" i="41"/>
  <c r="AO88" i="41" s="1"/>
  <c r="AB116" i="41"/>
  <c r="I115" i="41"/>
  <c r="J115" i="41"/>
  <c r="K115" i="41" s="1"/>
  <c r="L115" i="41"/>
  <c r="CO20" i="41"/>
  <c r="BB20" i="41" s="1"/>
  <c r="CJ59" i="41"/>
  <c r="CD59" i="41"/>
  <c r="CK59" i="41"/>
  <c r="CF59" i="41"/>
  <c r="CG59" i="41"/>
  <c r="CC59" i="41"/>
  <c r="CL59" i="41"/>
  <c r="CM59" i="41"/>
  <c r="CI59" i="41"/>
  <c r="CN59" i="41"/>
  <c r="CE59" i="41"/>
  <c r="CH59" i="41"/>
  <c r="AB164" i="41"/>
  <c r="AB38" i="41"/>
  <c r="I97" i="41"/>
  <c r="J97" i="41"/>
  <c r="K97" i="41" s="1"/>
  <c r="L97" i="41"/>
  <c r="N146" i="41"/>
  <c r="O146" i="41" s="1"/>
  <c r="M146" i="41"/>
  <c r="CB34" i="41"/>
  <c r="AB91" i="41"/>
  <c r="AB60" i="41"/>
  <c r="CB57" i="41"/>
  <c r="AO57" i="41" s="1"/>
  <c r="CH100" i="41"/>
  <c r="CF100" i="41"/>
  <c r="CG100" i="41"/>
  <c r="CD100" i="41"/>
  <c r="CM100" i="41"/>
  <c r="CC100" i="41"/>
  <c r="CN100" i="41"/>
  <c r="CE100" i="41"/>
  <c r="CK100" i="41"/>
  <c r="CL100" i="41"/>
  <c r="CJ100" i="41"/>
  <c r="CI100" i="41"/>
  <c r="AO53" i="41"/>
  <c r="CB29" i="41"/>
  <c r="AO29" i="41" s="1"/>
  <c r="CB112" i="41"/>
  <c r="AO112" i="41" s="1"/>
  <c r="CB91" i="41"/>
  <c r="AO91" i="41" s="1"/>
  <c r="AB57" i="41"/>
  <c r="AB110" i="41"/>
  <c r="N149" i="41"/>
  <c r="O149" i="41" s="1"/>
  <c r="M149" i="41"/>
  <c r="AB14" i="41"/>
  <c r="CB153" i="41"/>
  <c r="AO153" i="41" s="1"/>
  <c r="CO46" i="41"/>
  <c r="BB46" i="41" s="1"/>
  <c r="CB40" i="41"/>
  <c r="AO40" i="41" s="1"/>
  <c r="CB100" i="41"/>
  <c r="M56" i="41"/>
  <c r="N56" i="41"/>
  <c r="O56" i="41" s="1"/>
  <c r="I143" i="41"/>
  <c r="L143" i="41"/>
  <c r="J143" i="41"/>
  <c r="K143" i="41" s="1"/>
  <c r="AC87" i="39"/>
  <c r="AA88" i="39"/>
  <c r="X87" i="39"/>
  <c r="AB87" i="39"/>
  <c r="CP53" i="41" l="1"/>
  <c r="CP15" i="41"/>
  <c r="M61" i="41"/>
  <c r="CP41" i="41"/>
  <c r="BR61" i="41"/>
  <c r="BW61" i="41"/>
  <c r="BH119" i="41"/>
  <c r="BT61" i="41"/>
  <c r="BV61" i="41"/>
  <c r="BU61" i="41"/>
  <c r="BE170" i="41"/>
  <c r="J170" i="41"/>
  <c r="K170" i="41" s="1"/>
  <c r="BF170" i="41"/>
  <c r="CO161" i="41"/>
  <c r="BB161" i="41" s="1"/>
  <c r="CO153" i="41"/>
  <c r="BB153" i="41" s="1"/>
  <c r="BM170" i="41"/>
  <c r="CP44" i="41"/>
  <c r="BK170" i="41"/>
  <c r="CO54" i="41"/>
  <c r="BB54" i="41" s="1"/>
  <c r="BM119" i="41"/>
  <c r="CB31" i="41"/>
  <c r="AO31" i="41" s="1"/>
  <c r="BG170" i="41"/>
  <c r="BB43" i="41"/>
  <c r="CP43" i="41"/>
  <c r="CO94" i="41"/>
  <c r="BB94" i="41" s="1"/>
  <c r="BS61" i="41"/>
  <c r="CA61" i="41"/>
  <c r="BH170" i="41"/>
  <c r="BL170" i="41"/>
  <c r="BD170" i="41"/>
  <c r="BG119" i="41"/>
  <c r="BD119" i="41"/>
  <c r="BE119" i="41"/>
  <c r="BO154" i="41"/>
  <c r="AB154" i="41" s="1"/>
  <c r="CB169" i="41"/>
  <c r="AO169" i="41" s="1"/>
  <c r="CO99" i="41"/>
  <c r="BB99" i="41" s="1"/>
  <c r="BJ119" i="41"/>
  <c r="BK119" i="41"/>
  <c r="BO111" i="41"/>
  <c r="AB111" i="41" s="1"/>
  <c r="CO88" i="41"/>
  <c r="BB88" i="41" s="1"/>
  <c r="BJ170" i="41"/>
  <c r="BF119" i="41"/>
  <c r="CO40" i="41"/>
  <c r="BB40" i="41" s="1"/>
  <c r="BQ61" i="41"/>
  <c r="BY61" i="41"/>
  <c r="CO34" i="41"/>
  <c r="BB34" i="41" s="1"/>
  <c r="BI170" i="41"/>
  <c r="BI119" i="41"/>
  <c r="CO95" i="41"/>
  <c r="BB95" i="41" s="1"/>
  <c r="BN119" i="41"/>
  <c r="BL119" i="41"/>
  <c r="BC119" i="41"/>
  <c r="BX61" i="41"/>
  <c r="BZ61" i="41"/>
  <c r="CO36" i="41"/>
  <c r="BB36" i="41" s="1"/>
  <c r="BN170" i="41"/>
  <c r="CO57" i="41"/>
  <c r="BB57" i="41" s="1"/>
  <c r="CP17" i="41"/>
  <c r="CP46" i="41"/>
  <c r="CD96" i="41"/>
  <c r="CG96" i="41"/>
  <c r="CM96" i="41"/>
  <c r="CN96" i="41"/>
  <c r="CK96" i="41"/>
  <c r="CI96" i="41"/>
  <c r="CL96" i="41"/>
  <c r="CJ96" i="41"/>
  <c r="CC96" i="41"/>
  <c r="CE96" i="41"/>
  <c r="CH96" i="41"/>
  <c r="CF96" i="41"/>
  <c r="CG52" i="41"/>
  <c r="CE52" i="41"/>
  <c r="CH52" i="41"/>
  <c r="CJ52" i="41"/>
  <c r="CC52" i="41"/>
  <c r="CL52" i="41"/>
  <c r="CN52" i="41"/>
  <c r="CI52" i="41"/>
  <c r="CM52" i="41"/>
  <c r="CD52" i="41"/>
  <c r="CF52" i="41"/>
  <c r="CK52" i="41"/>
  <c r="CO14" i="41"/>
  <c r="CE33" i="41"/>
  <c r="CK33" i="41"/>
  <c r="CJ33" i="41"/>
  <c r="CD33" i="41"/>
  <c r="CL33" i="41"/>
  <c r="CG33" i="41"/>
  <c r="CF33" i="41"/>
  <c r="CM33" i="41"/>
  <c r="CH33" i="41"/>
  <c r="CC33" i="41"/>
  <c r="CI33" i="41"/>
  <c r="CN33" i="41"/>
  <c r="CO23" i="41"/>
  <c r="BB23" i="41" s="1"/>
  <c r="CO145" i="41"/>
  <c r="AO148" i="41"/>
  <c r="AB118" i="41"/>
  <c r="BY151" i="41"/>
  <c r="BR151" i="41"/>
  <c r="BP151" i="41"/>
  <c r="BZ151" i="41"/>
  <c r="CA151" i="41"/>
  <c r="BU151" i="41"/>
  <c r="BV151" i="41"/>
  <c r="BX151" i="41"/>
  <c r="BW151" i="41"/>
  <c r="BQ151" i="41"/>
  <c r="BT151" i="41"/>
  <c r="BS151" i="41"/>
  <c r="BQ102" i="41"/>
  <c r="BU102" i="41"/>
  <c r="BP102" i="41"/>
  <c r="BW102" i="41"/>
  <c r="BY102" i="41"/>
  <c r="BZ102" i="41"/>
  <c r="CA102" i="41"/>
  <c r="BV102" i="41"/>
  <c r="BR102" i="41"/>
  <c r="BX102" i="41"/>
  <c r="BS102" i="41"/>
  <c r="BT102" i="41"/>
  <c r="AB163" i="41"/>
  <c r="CP20" i="41"/>
  <c r="BO162" i="41"/>
  <c r="AA89" i="39"/>
  <c r="X89" i="39" s="1"/>
  <c r="D65" i="41"/>
  <c r="D63" i="41"/>
  <c r="D62" i="41"/>
  <c r="D64" i="41"/>
  <c r="M97" i="41"/>
  <c r="N97" i="41"/>
  <c r="O97" i="41" s="1"/>
  <c r="N115" i="41"/>
  <c r="O115" i="41" s="1"/>
  <c r="M115" i="41"/>
  <c r="CB42" i="41"/>
  <c r="CO112" i="41"/>
  <c r="BB112" i="41" s="1"/>
  <c r="M98" i="41"/>
  <c r="N98" i="41"/>
  <c r="O98" i="41" s="1"/>
  <c r="CO117" i="41"/>
  <c r="BB117" i="41" s="1"/>
  <c r="CO50" i="41"/>
  <c r="BB39" i="41"/>
  <c r="CP39" i="41"/>
  <c r="CB16" i="41"/>
  <c r="AO16" i="41" s="1"/>
  <c r="AB83" i="41"/>
  <c r="M84" i="41"/>
  <c r="N84" i="41"/>
  <c r="O84" i="41" s="1"/>
  <c r="BC170" i="41"/>
  <c r="CO165" i="41"/>
  <c r="BB165" i="41" s="1"/>
  <c r="CI142" i="41"/>
  <c r="CC142" i="41"/>
  <c r="CH142" i="41"/>
  <c r="CE142" i="41"/>
  <c r="CN142" i="41"/>
  <c r="CL142" i="41"/>
  <c r="CF142" i="41"/>
  <c r="CM142" i="41"/>
  <c r="CJ142" i="41"/>
  <c r="CK142" i="41"/>
  <c r="CD142" i="41"/>
  <c r="CG142" i="41"/>
  <c r="AB93" i="41"/>
  <c r="AO152" i="41"/>
  <c r="CB142" i="41"/>
  <c r="AO142" i="41" s="1"/>
  <c r="CO101" i="41"/>
  <c r="CO86" i="41"/>
  <c r="AO158" i="41"/>
  <c r="CB163" i="41"/>
  <c r="AO163" i="41" s="1"/>
  <c r="CN104" i="41"/>
  <c r="CC104" i="41"/>
  <c r="CE104" i="41"/>
  <c r="CL104" i="41"/>
  <c r="CJ104" i="41"/>
  <c r="CG104" i="41"/>
  <c r="CH104" i="41"/>
  <c r="CF104" i="41"/>
  <c r="CM104" i="41"/>
  <c r="CK104" i="41"/>
  <c r="CI104" i="41"/>
  <c r="CD104" i="41"/>
  <c r="CO159" i="41"/>
  <c r="M111" i="41"/>
  <c r="N111" i="41"/>
  <c r="O111" i="41" s="1"/>
  <c r="BV150" i="41"/>
  <c r="BP150" i="41"/>
  <c r="CA150" i="41"/>
  <c r="BZ150" i="41"/>
  <c r="BR150" i="41"/>
  <c r="BY150" i="41"/>
  <c r="BS150" i="41"/>
  <c r="BT150" i="41"/>
  <c r="BX150" i="41"/>
  <c r="BQ150" i="41"/>
  <c r="BW150" i="41"/>
  <c r="BU150" i="41"/>
  <c r="CH32" i="41"/>
  <c r="CC32" i="41"/>
  <c r="CM32" i="41"/>
  <c r="CD32" i="41"/>
  <c r="CN32" i="41"/>
  <c r="CI32" i="41"/>
  <c r="CK32" i="41"/>
  <c r="CJ32" i="41"/>
  <c r="CE32" i="41"/>
  <c r="CL32" i="41"/>
  <c r="CG32" i="41"/>
  <c r="CF32" i="41"/>
  <c r="CO87" i="41"/>
  <c r="CO155" i="41"/>
  <c r="L119" i="41"/>
  <c r="CB160" i="41"/>
  <c r="AO160" i="41" s="1"/>
  <c r="CD163" i="41"/>
  <c r="CG163" i="41"/>
  <c r="CK163" i="41"/>
  <c r="CJ163" i="41"/>
  <c r="CN163" i="41"/>
  <c r="CF163" i="41"/>
  <c r="CL163" i="41"/>
  <c r="CE163" i="41"/>
  <c r="CC163" i="41"/>
  <c r="CM163" i="41"/>
  <c r="CI163" i="41"/>
  <c r="CH163" i="41"/>
  <c r="AB114" i="41"/>
  <c r="AB169" i="41"/>
  <c r="CP54" i="41"/>
  <c r="CO28" i="41"/>
  <c r="AB33" i="41"/>
  <c r="CB33" i="41"/>
  <c r="AO33" i="41" s="1"/>
  <c r="CO156" i="41"/>
  <c r="AB96" i="41"/>
  <c r="CB104" i="41"/>
  <c r="AO104" i="41" s="1"/>
  <c r="CE109" i="41"/>
  <c r="CJ109" i="41"/>
  <c r="CH109" i="41"/>
  <c r="CK109" i="41"/>
  <c r="CN109" i="41"/>
  <c r="CD109" i="41"/>
  <c r="CM109" i="41"/>
  <c r="CG109" i="41"/>
  <c r="CF109" i="41"/>
  <c r="CC109" i="41"/>
  <c r="CL109" i="41"/>
  <c r="CI109" i="41"/>
  <c r="CO107" i="41"/>
  <c r="I119" i="41"/>
  <c r="J119" i="41"/>
  <c r="K119" i="41" s="1"/>
  <c r="BO97" i="41"/>
  <c r="N106" i="41"/>
  <c r="O106" i="41" s="1"/>
  <c r="M106" i="41"/>
  <c r="BQ143" i="41"/>
  <c r="BX143" i="41"/>
  <c r="BV143" i="41"/>
  <c r="BS143" i="41"/>
  <c r="BT143" i="41"/>
  <c r="BR143" i="41"/>
  <c r="BU143" i="41"/>
  <c r="BP143" i="41"/>
  <c r="BW143" i="41"/>
  <c r="BY143" i="41"/>
  <c r="BZ143" i="41"/>
  <c r="CA143" i="41"/>
  <c r="CJ37" i="41"/>
  <c r="CK37" i="41"/>
  <c r="CH37" i="41"/>
  <c r="CF37" i="41"/>
  <c r="CE37" i="41"/>
  <c r="CC37" i="41"/>
  <c r="CG37" i="41"/>
  <c r="CL37" i="41"/>
  <c r="CM37" i="41"/>
  <c r="CI37" i="41"/>
  <c r="CN37" i="41"/>
  <c r="CD37" i="41"/>
  <c r="BZ154" i="41"/>
  <c r="BT154" i="41"/>
  <c r="BX154" i="41"/>
  <c r="BV154" i="41"/>
  <c r="BW154" i="41"/>
  <c r="BU154" i="41"/>
  <c r="BR154" i="41"/>
  <c r="BQ154" i="41"/>
  <c r="BP154" i="41"/>
  <c r="BY154" i="41"/>
  <c r="BS154" i="41"/>
  <c r="CA154" i="41"/>
  <c r="AB142" i="41"/>
  <c r="AO26" i="41"/>
  <c r="CO24" i="41"/>
  <c r="BB24" i="41" s="1"/>
  <c r="BB48" i="41"/>
  <c r="CP48" i="41"/>
  <c r="CG56" i="41"/>
  <c r="CE56" i="41"/>
  <c r="CF56" i="41"/>
  <c r="CN56" i="41"/>
  <c r="CC56" i="41"/>
  <c r="CJ56" i="41"/>
  <c r="CL56" i="41"/>
  <c r="CK56" i="41"/>
  <c r="CM56" i="41"/>
  <c r="CH56" i="41"/>
  <c r="CD56" i="41"/>
  <c r="CI56" i="41"/>
  <c r="CK149" i="41"/>
  <c r="CI149" i="41"/>
  <c r="CF149" i="41"/>
  <c r="CG149" i="41"/>
  <c r="CE149" i="41"/>
  <c r="CD149" i="41"/>
  <c r="CN149" i="41"/>
  <c r="CC149" i="41"/>
  <c r="CJ149" i="41"/>
  <c r="CL149" i="41"/>
  <c r="CM149" i="41"/>
  <c r="CH149" i="41"/>
  <c r="AO34" i="41"/>
  <c r="CO59" i="41"/>
  <c r="BB59" i="41" s="1"/>
  <c r="BO106" i="41"/>
  <c r="CO60" i="41"/>
  <c r="BB60" i="41" s="1"/>
  <c r="CB109" i="41"/>
  <c r="CO19" i="41"/>
  <c r="BB19" i="41" s="1"/>
  <c r="CB147" i="41"/>
  <c r="AO147" i="41" s="1"/>
  <c r="CB32" i="41"/>
  <c r="AO32" i="41" s="1"/>
  <c r="BV166" i="41"/>
  <c r="BP166" i="41"/>
  <c r="BU166" i="41"/>
  <c r="BR166" i="41"/>
  <c r="BW166" i="41"/>
  <c r="BY166" i="41"/>
  <c r="BX166" i="41"/>
  <c r="CA166" i="41"/>
  <c r="BQ166" i="41"/>
  <c r="BT166" i="41"/>
  <c r="BS166" i="41"/>
  <c r="BZ166" i="41"/>
  <c r="BB18" i="41"/>
  <c r="CP18" i="41"/>
  <c r="BO151" i="41"/>
  <c r="CO144" i="41"/>
  <c r="BB144" i="41" s="1"/>
  <c r="CO35" i="41"/>
  <c r="CO91" i="41"/>
  <c r="BB91" i="41" s="1"/>
  <c r="CE147" i="41"/>
  <c r="CJ147" i="41"/>
  <c r="CD147" i="41"/>
  <c r="CL147" i="41"/>
  <c r="CK147" i="41"/>
  <c r="CN147" i="41"/>
  <c r="CH147" i="41"/>
  <c r="CM147" i="41"/>
  <c r="CG147" i="41"/>
  <c r="CF147" i="41"/>
  <c r="CI147" i="41"/>
  <c r="CC147" i="41"/>
  <c r="CB83" i="41"/>
  <c r="AO83" i="41" s="1"/>
  <c r="BO143" i="41"/>
  <c r="CO38" i="41"/>
  <c r="CB55" i="41"/>
  <c r="AO55" i="41" s="1"/>
  <c r="CO164" i="41"/>
  <c r="CO168" i="41"/>
  <c r="AO24" i="41"/>
  <c r="BO98" i="41"/>
  <c r="CH16" i="41"/>
  <c r="CN16" i="41"/>
  <c r="CI16" i="41"/>
  <c r="CD16" i="41"/>
  <c r="CJ16" i="41"/>
  <c r="CE16" i="41"/>
  <c r="CK16" i="41"/>
  <c r="CF16" i="41"/>
  <c r="CG16" i="41"/>
  <c r="CM16" i="41"/>
  <c r="CC16" i="41"/>
  <c r="CL16" i="41"/>
  <c r="N150" i="41"/>
  <c r="O150" i="41" s="1"/>
  <c r="M150" i="41"/>
  <c r="CB96" i="41"/>
  <c r="AO96" i="41" s="1"/>
  <c r="CO103" i="41"/>
  <c r="AB89" i="41"/>
  <c r="CO30" i="41"/>
  <c r="CB52" i="41"/>
  <c r="CM83" i="41"/>
  <c r="CL83" i="41"/>
  <c r="CN83" i="41"/>
  <c r="CC83" i="41"/>
  <c r="CF83" i="41"/>
  <c r="CK83" i="41"/>
  <c r="CI83" i="41"/>
  <c r="CD83" i="41"/>
  <c r="CG83" i="41"/>
  <c r="CE83" i="41"/>
  <c r="CJ83" i="41"/>
  <c r="CH83" i="41"/>
  <c r="AO59" i="41"/>
  <c r="CO85" i="41"/>
  <c r="BB85" i="41" s="1"/>
  <c r="BO102" i="41"/>
  <c r="CM169" i="41"/>
  <c r="CK169" i="41"/>
  <c r="CI169" i="41"/>
  <c r="CL169" i="41"/>
  <c r="CG169" i="41"/>
  <c r="CF169" i="41"/>
  <c r="CH169" i="41"/>
  <c r="CJ169" i="41"/>
  <c r="CN169" i="41"/>
  <c r="CE169" i="41"/>
  <c r="CC169" i="41"/>
  <c r="CD169" i="41"/>
  <c r="CO105" i="41"/>
  <c r="AB37" i="41"/>
  <c r="M151" i="41"/>
  <c r="N151" i="41"/>
  <c r="O151" i="41" s="1"/>
  <c r="CK42" i="41"/>
  <c r="CF42" i="41"/>
  <c r="CH42" i="41"/>
  <c r="CM42" i="41"/>
  <c r="CG42" i="41"/>
  <c r="CL42" i="41"/>
  <c r="CI42" i="41"/>
  <c r="CC42" i="41"/>
  <c r="CD42" i="41"/>
  <c r="CE42" i="41"/>
  <c r="CN42" i="41"/>
  <c r="CJ42" i="41"/>
  <c r="CP23" i="41"/>
  <c r="CN114" i="41"/>
  <c r="CC114" i="41"/>
  <c r="CI114" i="41"/>
  <c r="CK114" i="41"/>
  <c r="CL114" i="41"/>
  <c r="CJ114" i="41"/>
  <c r="CG114" i="41"/>
  <c r="CD114" i="41"/>
  <c r="CH114" i="41"/>
  <c r="CF114" i="41"/>
  <c r="CM114" i="41"/>
  <c r="CE114" i="41"/>
  <c r="CM89" i="41"/>
  <c r="CG89" i="41"/>
  <c r="CH89" i="41"/>
  <c r="CI89" i="41"/>
  <c r="CC89" i="41"/>
  <c r="CJ89" i="41"/>
  <c r="CE89" i="41"/>
  <c r="CL89" i="41"/>
  <c r="CF89" i="41"/>
  <c r="CK89" i="41"/>
  <c r="CD89" i="41"/>
  <c r="CN89" i="41"/>
  <c r="BO166" i="41"/>
  <c r="BP61" i="41"/>
  <c r="CO25" i="41"/>
  <c r="BB25" i="41" s="1"/>
  <c r="CN55" i="41"/>
  <c r="CH55" i="41"/>
  <c r="CM55" i="41"/>
  <c r="CJ55" i="41"/>
  <c r="CD55" i="41"/>
  <c r="CE55" i="41"/>
  <c r="CF55" i="41"/>
  <c r="CI55" i="41"/>
  <c r="CK55" i="41"/>
  <c r="CG55" i="41"/>
  <c r="CC55" i="41"/>
  <c r="CL55" i="41"/>
  <c r="CO45" i="41"/>
  <c r="CO92" i="41"/>
  <c r="BB92" i="41" s="1"/>
  <c r="CI93" i="41"/>
  <c r="CC93" i="41"/>
  <c r="CH93" i="41"/>
  <c r="CE93" i="41"/>
  <c r="CJ93" i="41"/>
  <c r="CD93" i="41"/>
  <c r="CK93" i="41"/>
  <c r="CN93" i="41"/>
  <c r="CL93" i="41"/>
  <c r="CF93" i="41"/>
  <c r="CG93" i="41"/>
  <c r="CM93" i="41"/>
  <c r="CO148" i="41"/>
  <c r="BB148" i="41" s="1"/>
  <c r="BZ84" i="41"/>
  <c r="BT84" i="41"/>
  <c r="BS84" i="41"/>
  <c r="BV84" i="41"/>
  <c r="BP84" i="41"/>
  <c r="BQ84" i="41"/>
  <c r="CA84" i="41"/>
  <c r="BR84" i="41"/>
  <c r="BW84" i="41"/>
  <c r="BY84" i="41"/>
  <c r="BX84" i="41"/>
  <c r="BU84" i="41"/>
  <c r="CO27" i="41"/>
  <c r="CO167" i="41"/>
  <c r="AB104" i="41"/>
  <c r="CN113" i="41"/>
  <c r="CC113" i="41"/>
  <c r="CI113" i="41"/>
  <c r="CD113" i="41"/>
  <c r="CL113" i="41"/>
  <c r="CJ113" i="41"/>
  <c r="CG113" i="41"/>
  <c r="CH113" i="41"/>
  <c r="CF113" i="41"/>
  <c r="CE113" i="41"/>
  <c r="CK113" i="41"/>
  <c r="CM113" i="41"/>
  <c r="BO61" i="41"/>
  <c r="AB55" i="41"/>
  <c r="AB16" i="41"/>
  <c r="CO49" i="41"/>
  <c r="BB49" i="41" s="1"/>
  <c r="CA162" i="41"/>
  <c r="BS162" i="41"/>
  <c r="BZ162" i="41"/>
  <c r="BT162" i="41"/>
  <c r="BY162" i="41"/>
  <c r="BV162" i="41"/>
  <c r="BW162" i="41"/>
  <c r="BQ162" i="41"/>
  <c r="BU162" i="41"/>
  <c r="BP162" i="41"/>
  <c r="BR162" i="41"/>
  <c r="BX162" i="41"/>
  <c r="AB56" i="41"/>
  <c r="CO116" i="41"/>
  <c r="AB31" i="41"/>
  <c r="N143" i="41"/>
  <c r="O143" i="41" s="1"/>
  <c r="M143" i="41"/>
  <c r="AO100" i="41"/>
  <c r="CO100" i="41"/>
  <c r="BB100" i="41" s="1"/>
  <c r="CD146" i="41"/>
  <c r="CI146" i="41"/>
  <c r="CC146" i="41"/>
  <c r="CN146" i="41"/>
  <c r="CM146" i="41"/>
  <c r="CK146" i="41"/>
  <c r="CL146" i="41"/>
  <c r="CJ146" i="41"/>
  <c r="CE146" i="41"/>
  <c r="CH146" i="41"/>
  <c r="CF146" i="41"/>
  <c r="CG146" i="41"/>
  <c r="BY97" i="41"/>
  <c r="BR97" i="41"/>
  <c r="BP97" i="41"/>
  <c r="CA97" i="41"/>
  <c r="BU97" i="41"/>
  <c r="BV97" i="41"/>
  <c r="BW97" i="41"/>
  <c r="BQ97" i="41"/>
  <c r="BX97" i="41"/>
  <c r="BZ97" i="41"/>
  <c r="BT97" i="41"/>
  <c r="BS97" i="41"/>
  <c r="BY115" i="41"/>
  <c r="BZ115" i="41"/>
  <c r="BT115" i="41"/>
  <c r="CA115" i="41"/>
  <c r="BU115" i="41"/>
  <c r="BR115" i="41"/>
  <c r="BW115" i="41"/>
  <c r="BQ115" i="41"/>
  <c r="BP115" i="41"/>
  <c r="BV115" i="41"/>
  <c r="BX115" i="41"/>
  <c r="BS115" i="41"/>
  <c r="CB118" i="41"/>
  <c r="AO118" i="41" s="1"/>
  <c r="BT98" i="41"/>
  <c r="BR98" i="41"/>
  <c r="CA98" i="41"/>
  <c r="BX98" i="41"/>
  <c r="BP98" i="41"/>
  <c r="BY98" i="41"/>
  <c r="BW98" i="41"/>
  <c r="BU98" i="41"/>
  <c r="BZ98" i="41"/>
  <c r="BQ98" i="41"/>
  <c r="BS98" i="41"/>
  <c r="BV98" i="41"/>
  <c r="CB89" i="41"/>
  <c r="AO89" i="41" s="1"/>
  <c r="CP47" i="41"/>
  <c r="N154" i="41"/>
  <c r="O154" i="41" s="1"/>
  <c r="M154" i="41"/>
  <c r="CO108" i="41"/>
  <c r="BB108" i="41" s="1"/>
  <c r="M166" i="41"/>
  <c r="N166" i="41"/>
  <c r="O166" i="41" s="1"/>
  <c r="AB146" i="41"/>
  <c r="CO21" i="41"/>
  <c r="L170" i="41"/>
  <c r="AB32" i="41"/>
  <c r="CO158" i="41"/>
  <c r="BB158" i="41" s="1"/>
  <c r="CO157" i="41"/>
  <c r="CB146" i="41"/>
  <c r="AO146" i="41" s="1"/>
  <c r="BO115" i="41"/>
  <c r="CB114" i="41"/>
  <c r="AO114" i="41" s="1"/>
  <c r="BV111" i="41"/>
  <c r="BR111" i="41"/>
  <c r="BZ111" i="41"/>
  <c r="BQ111" i="41"/>
  <c r="BP111" i="41"/>
  <c r="CA111" i="41"/>
  <c r="BX111" i="41"/>
  <c r="BW111" i="41"/>
  <c r="BS111" i="41"/>
  <c r="BY111" i="41"/>
  <c r="BU111" i="41"/>
  <c r="BT111" i="41"/>
  <c r="BO84" i="41"/>
  <c r="AB149" i="41"/>
  <c r="CB93" i="41"/>
  <c r="AO93" i="41" s="1"/>
  <c r="CB149" i="41"/>
  <c r="AO149" i="41" s="1"/>
  <c r="CP22" i="41"/>
  <c r="CO110" i="41"/>
  <c r="M162" i="41"/>
  <c r="N162" i="41"/>
  <c r="O162" i="41" s="1"/>
  <c r="AB147" i="41"/>
  <c r="CO90" i="41"/>
  <c r="BB90" i="41" s="1"/>
  <c r="CP51" i="41"/>
  <c r="CB113" i="41"/>
  <c r="CO58" i="41"/>
  <c r="CO29" i="41"/>
  <c r="BB29" i="41" s="1"/>
  <c r="CO152" i="41"/>
  <c r="BB152" i="41" s="1"/>
  <c r="CD160" i="41"/>
  <c r="CI160" i="41"/>
  <c r="CC160" i="41"/>
  <c r="CN160" i="41"/>
  <c r="CM160" i="41"/>
  <c r="CG160" i="41"/>
  <c r="CL160" i="41"/>
  <c r="CJ160" i="41"/>
  <c r="CE160" i="41"/>
  <c r="CK160" i="41"/>
  <c r="CF160" i="41"/>
  <c r="CH160" i="41"/>
  <c r="CB37" i="41"/>
  <c r="AO37" i="41" s="1"/>
  <c r="N102" i="41"/>
  <c r="O102" i="41" s="1"/>
  <c r="M102" i="41"/>
  <c r="AB160" i="41"/>
  <c r="BO150" i="41"/>
  <c r="CB56" i="41"/>
  <c r="AO56" i="41" s="1"/>
  <c r="CC31" i="41"/>
  <c r="CM31" i="41"/>
  <c r="CH31" i="41"/>
  <c r="CL31" i="41"/>
  <c r="CN31" i="41"/>
  <c r="CI31" i="41"/>
  <c r="CD31" i="41"/>
  <c r="CK31" i="41"/>
  <c r="CJ31" i="41"/>
  <c r="CE31" i="41"/>
  <c r="CG31" i="41"/>
  <c r="CF31" i="41"/>
  <c r="BZ106" i="41"/>
  <c r="BY106" i="41"/>
  <c r="BW106" i="41"/>
  <c r="BX106" i="41"/>
  <c r="BV106" i="41"/>
  <c r="BQ106" i="41"/>
  <c r="BU106" i="41"/>
  <c r="BT106" i="41"/>
  <c r="BR106" i="41"/>
  <c r="BS106" i="41"/>
  <c r="BP106" i="41"/>
  <c r="CA106" i="41"/>
  <c r="CH118" i="41"/>
  <c r="CF118" i="41"/>
  <c r="CG118" i="41"/>
  <c r="CD118" i="41"/>
  <c r="CI118" i="41"/>
  <c r="CK118" i="41"/>
  <c r="CN118" i="41"/>
  <c r="CM118" i="41"/>
  <c r="CC118" i="41"/>
  <c r="CJ118" i="41"/>
  <c r="CE118" i="41"/>
  <c r="CL118" i="41"/>
  <c r="CO26" i="41"/>
  <c r="BB26" i="41" s="1"/>
  <c r="Z87" i="39"/>
  <c r="AC88" i="39"/>
  <c r="Y87" i="39"/>
  <c r="AB88" i="39"/>
  <c r="CP161" i="41" l="1"/>
  <c r="CP117" i="41"/>
  <c r="CP99" i="41"/>
  <c r="CP94" i="41"/>
  <c r="CP57" i="41"/>
  <c r="CP95" i="41"/>
  <c r="CP24" i="41"/>
  <c r="CP144" i="41"/>
  <c r="CP34" i="41"/>
  <c r="BW170" i="41"/>
  <c r="BO119" i="41"/>
  <c r="AB119" i="41" s="1"/>
  <c r="CA170" i="41"/>
  <c r="CP112" i="41"/>
  <c r="CP165" i="41"/>
  <c r="BU170" i="41"/>
  <c r="CP90" i="41"/>
  <c r="CI61" i="41"/>
  <c r="CP100" i="41"/>
  <c r="BS119" i="41"/>
  <c r="CO169" i="41"/>
  <c r="BB169" i="41" s="1"/>
  <c r="CP19" i="41"/>
  <c r="CO160" i="41"/>
  <c r="BB160" i="41" s="1"/>
  <c r="CP40" i="41"/>
  <c r="CP59" i="41"/>
  <c r="CP36" i="41"/>
  <c r="CP153" i="41"/>
  <c r="CB97" i="41"/>
  <c r="AO97" i="41" s="1"/>
  <c r="BR170" i="41"/>
  <c r="BZ170" i="41"/>
  <c r="BV170" i="41"/>
  <c r="CB106" i="41"/>
  <c r="AO106" i="41" s="1"/>
  <c r="CG61" i="41"/>
  <c r="CH61" i="41"/>
  <c r="BQ119" i="41"/>
  <c r="CE61" i="41"/>
  <c r="CN61" i="41"/>
  <c r="CP88" i="41"/>
  <c r="CO33" i="41"/>
  <c r="BB33" i="41" s="1"/>
  <c r="BT119" i="41"/>
  <c r="CA119" i="41"/>
  <c r="BW119" i="41"/>
  <c r="CB84" i="41"/>
  <c r="AO84" i="41" s="1"/>
  <c r="BZ119" i="41"/>
  <c r="CJ61" i="41"/>
  <c r="BT170" i="41"/>
  <c r="CO32" i="41"/>
  <c r="BB32" i="41" s="1"/>
  <c r="BQ170" i="41"/>
  <c r="BY170" i="41"/>
  <c r="BX119" i="41"/>
  <c r="CK61" i="41"/>
  <c r="CP92" i="41"/>
  <c r="BU119" i="41"/>
  <c r="BR119" i="41"/>
  <c r="BV119" i="41"/>
  <c r="CF61" i="41"/>
  <c r="CD61" i="41"/>
  <c r="BP170" i="41"/>
  <c r="CO163" i="41"/>
  <c r="BB163" i="41" s="1"/>
  <c r="CO146" i="41"/>
  <c r="BB146" i="41" s="1"/>
  <c r="BB27" i="41"/>
  <c r="CP27" i="41"/>
  <c r="BB103" i="41"/>
  <c r="CP103" i="41"/>
  <c r="AB143" i="41"/>
  <c r="BB35" i="41"/>
  <c r="CP35" i="41"/>
  <c r="BB86" i="41"/>
  <c r="CP86" i="41"/>
  <c r="CO142" i="41"/>
  <c r="BB142" i="41" s="1"/>
  <c r="CL98" i="41"/>
  <c r="CK98" i="41"/>
  <c r="CE98" i="41"/>
  <c r="CN98" i="41"/>
  <c r="CH98" i="41"/>
  <c r="CC98" i="41"/>
  <c r="CJ98" i="41"/>
  <c r="CD98" i="41"/>
  <c r="CM98" i="41"/>
  <c r="CG98" i="41"/>
  <c r="CI98" i="41"/>
  <c r="CF98" i="41"/>
  <c r="F64" i="41"/>
  <c r="G64" i="41" s="1"/>
  <c r="H64" i="41"/>
  <c r="E64" i="41"/>
  <c r="CC162" i="41"/>
  <c r="CI162" i="41"/>
  <c r="CE162" i="41"/>
  <c r="CL162" i="41"/>
  <c r="CD162" i="41"/>
  <c r="CJ162" i="41"/>
  <c r="CM162" i="41"/>
  <c r="CK162" i="41"/>
  <c r="CF162" i="41"/>
  <c r="CH162" i="41"/>
  <c r="CG162" i="41"/>
  <c r="CN162" i="41"/>
  <c r="AB115" i="41"/>
  <c r="M170" i="41"/>
  <c r="N170" i="41"/>
  <c r="O170" i="41" s="1"/>
  <c r="CB98" i="41"/>
  <c r="AO98" i="41" s="1"/>
  <c r="AB61" i="41"/>
  <c r="CO55" i="41"/>
  <c r="CB61" i="41"/>
  <c r="AO61" i="41" s="1"/>
  <c r="CO42" i="41"/>
  <c r="BB42" i="41" s="1"/>
  <c r="BB30" i="41"/>
  <c r="CP30" i="41"/>
  <c r="CO16" i="41"/>
  <c r="BP119" i="41"/>
  <c r="CB166" i="41"/>
  <c r="AO166" i="41" s="1"/>
  <c r="AB106" i="41"/>
  <c r="CP60" i="41"/>
  <c r="CO37" i="41"/>
  <c r="BX170" i="41"/>
  <c r="AB97" i="41"/>
  <c r="BB107" i="41"/>
  <c r="CP107" i="41"/>
  <c r="CO109" i="41"/>
  <c r="BB109" i="41" s="1"/>
  <c r="M119" i="41"/>
  <c r="N119" i="41"/>
  <c r="O119" i="41" s="1"/>
  <c r="BB101" i="41"/>
  <c r="CP101" i="41"/>
  <c r="CP49" i="41"/>
  <c r="BB50" i="41"/>
  <c r="CP50" i="41"/>
  <c r="H62" i="41"/>
  <c r="E62" i="41"/>
  <c r="F62" i="41"/>
  <c r="G62" i="41" s="1"/>
  <c r="D66" i="41"/>
  <c r="CP148" i="41"/>
  <c r="AC89" i="39"/>
  <c r="AC92" i="39" s="1"/>
  <c r="Z92" i="39" s="1"/>
  <c r="D173" i="41"/>
  <c r="D174" i="41"/>
  <c r="D172" i="41"/>
  <c r="D171" i="41"/>
  <c r="AB150" i="41"/>
  <c r="AB84" i="41"/>
  <c r="AB98" i="41"/>
  <c r="BB159" i="41"/>
  <c r="CP159" i="41"/>
  <c r="AB89" i="39"/>
  <c r="Y89" i="39" s="1"/>
  <c r="D122" i="41"/>
  <c r="D121" i="41"/>
  <c r="D123" i="41"/>
  <c r="D120" i="41"/>
  <c r="AA92" i="39"/>
  <c r="X92" i="39" s="1"/>
  <c r="CO118" i="41"/>
  <c r="BB118" i="41" s="1"/>
  <c r="CO31" i="41"/>
  <c r="BB58" i="41"/>
  <c r="CP58" i="41"/>
  <c r="BB21" i="41"/>
  <c r="CP21" i="41"/>
  <c r="CH166" i="41"/>
  <c r="CF166" i="41"/>
  <c r="CK166" i="41"/>
  <c r="CD166" i="41"/>
  <c r="CM166" i="41"/>
  <c r="CC166" i="41"/>
  <c r="CN166" i="41"/>
  <c r="CE166" i="41"/>
  <c r="CG166" i="41"/>
  <c r="CL166" i="41"/>
  <c r="CJ166" i="41"/>
  <c r="CI166" i="41"/>
  <c r="CL154" i="41"/>
  <c r="CE154" i="41"/>
  <c r="CC154" i="41"/>
  <c r="CJ154" i="41"/>
  <c r="CK154" i="41"/>
  <c r="CH154" i="41"/>
  <c r="CM154" i="41"/>
  <c r="CI154" i="41"/>
  <c r="CD154" i="41"/>
  <c r="CG154" i="41"/>
  <c r="CF154" i="41"/>
  <c r="CN154" i="41"/>
  <c r="CB115" i="41"/>
  <c r="AO115" i="41" s="1"/>
  <c r="CL143" i="41"/>
  <c r="CE143" i="41"/>
  <c r="CG143" i="41"/>
  <c r="CN143" i="41"/>
  <c r="CH143" i="41"/>
  <c r="CI143" i="41"/>
  <c r="CJ143" i="41"/>
  <c r="CD143" i="41"/>
  <c r="CC143" i="41"/>
  <c r="CK143" i="41"/>
  <c r="CM143" i="41"/>
  <c r="CF143" i="41"/>
  <c r="BB116" i="41"/>
  <c r="CP116" i="41"/>
  <c r="CO113" i="41"/>
  <c r="BB113" i="41" s="1"/>
  <c r="BB167" i="41"/>
  <c r="CP167" i="41"/>
  <c r="CO93" i="41"/>
  <c r="BB93" i="41" s="1"/>
  <c r="AB166" i="41"/>
  <c r="CO89" i="41"/>
  <c r="BB89" i="41" s="1"/>
  <c r="CO114" i="41"/>
  <c r="BB114" i="41" s="1"/>
  <c r="CM151" i="41"/>
  <c r="CG151" i="41"/>
  <c r="CD151" i="41"/>
  <c r="CI151" i="41"/>
  <c r="CC151" i="41"/>
  <c r="CJ151" i="41"/>
  <c r="CE151" i="41"/>
  <c r="CH151" i="41"/>
  <c r="CN151" i="41"/>
  <c r="CL151" i="41"/>
  <c r="CF151" i="41"/>
  <c r="CK151" i="41"/>
  <c r="BB105" i="41"/>
  <c r="CP105" i="41"/>
  <c r="CP89" i="41"/>
  <c r="CL150" i="41"/>
  <c r="CJ150" i="41"/>
  <c r="CC150" i="41"/>
  <c r="CE150" i="41"/>
  <c r="CH150" i="41"/>
  <c r="CF150" i="41"/>
  <c r="CI150" i="41"/>
  <c r="CK150" i="41"/>
  <c r="CD150" i="41"/>
  <c r="CG150" i="41"/>
  <c r="CM150" i="41"/>
  <c r="CN150" i="41"/>
  <c r="CM61" i="41"/>
  <c r="BB38" i="41"/>
  <c r="CP38" i="41"/>
  <c r="AB151" i="41"/>
  <c r="CP108" i="41"/>
  <c r="CB154" i="41"/>
  <c r="CP25" i="41"/>
  <c r="BB156" i="41"/>
  <c r="CP156" i="41"/>
  <c r="BB28" i="41"/>
  <c r="CP28" i="41"/>
  <c r="BB155" i="41"/>
  <c r="CP155" i="41"/>
  <c r="CP158" i="41"/>
  <c r="F63" i="41"/>
  <c r="G63" i="41" s="1"/>
  <c r="E63" i="41"/>
  <c r="H63" i="41"/>
  <c r="CC61" i="41"/>
  <c r="CL61" i="41"/>
  <c r="CP91" i="41"/>
  <c r="CL102" i="41"/>
  <c r="CE102" i="41"/>
  <c r="CC102" i="41"/>
  <c r="CN102" i="41"/>
  <c r="CH102" i="41"/>
  <c r="CI102" i="41"/>
  <c r="CJ102" i="41"/>
  <c r="CD102" i="41"/>
  <c r="CK102" i="41"/>
  <c r="CM102" i="41"/>
  <c r="CF102" i="41"/>
  <c r="CG102" i="41"/>
  <c r="CB111" i="41"/>
  <c r="BB157" i="41"/>
  <c r="CP157" i="41"/>
  <c r="BB164" i="41"/>
  <c r="CP164" i="41"/>
  <c r="CO149" i="41"/>
  <c r="BB149" i="41" s="1"/>
  <c r="CB150" i="41"/>
  <c r="AO150" i="41" s="1"/>
  <c r="CP152" i="41"/>
  <c r="BO170" i="41"/>
  <c r="CE115" i="41"/>
  <c r="CL115" i="41"/>
  <c r="CN115" i="41"/>
  <c r="CC115" i="41"/>
  <c r="CK115" i="41"/>
  <c r="CD115" i="41"/>
  <c r="CJ115" i="41"/>
  <c r="CI115" i="41"/>
  <c r="CM115" i="41"/>
  <c r="CG115" i="41"/>
  <c r="CH115" i="41"/>
  <c r="CF115" i="41"/>
  <c r="CB102" i="41"/>
  <c r="AO102" i="41" s="1"/>
  <c r="CB151" i="41"/>
  <c r="AO151" i="41" s="1"/>
  <c r="BB145" i="41"/>
  <c r="CP145" i="41"/>
  <c r="AO113" i="41"/>
  <c r="BB110" i="41"/>
  <c r="CP110" i="41"/>
  <c r="CP85" i="41"/>
  <c r="CB162" i="41"/>
  <c r="AO162" i="41" s="1"/>
  <c r="BS170" i="41"/>
  <c r="BY119" i="41"/>
  <c r="BB45" i="41"/>
  <c r="CP45" i="41"/>
  <c r="AB102" i="41"/>
  <c r="CO83" i="41"/>
  <c r="BB83" i="41" s="1"/>
  <c r="AO52" i="41"/>
  <c r="BB168" i="41"/>
  <c r="CP168" i="41"/>
  <c r="CO147" i="41"/>
  <c r="BB147" i="41" s="1"/>
  <c r="AO109" i="41"/>
  <c r="CO56" i="41"/>
  <c r="BB56" i="41" s="1"/>
  <c r="CP26" i="41"/>
  <c r="CB143" i="41"/>
  <c r="AO143" i="41" s="1"/>
  <c r="CF106" i="41"/>
  <c r="CK106" i="41"/>
  <c r="CE106" i="41"/>
  <c r="CL106" i="41"/>
  <c r="CC106" i="41"/>
  <c r="CM106" i="41"/>
  <c r="CN106" i="41"/>
  <c r="CH106" i="41"/>
  <c r="CG106" i="41"/>
  <c r="CJ106" i="41"/>
  <c r="CI106" i="41"/>
  <c r="CD106" i="41"/>
  <c r="BB87" i="41"/>
  <c r="CP87" i="41"/>
  <c r="CC111" i="41"/>
  <c r="CJ111" i="41"/>
  <c r="CH111" i="41"/>
  <c r="CM111" i="41"/>
  <c r="CN111" i="41"/>
  <c r="CD111" i="41"/>
  <c r="CK111" i="41"/>
  <c r="CI111" i="41"/>
  <c r="CF111" i="41"/>
  <c r="CL111" i="41"/>
  <c r="CG111" i="41"/>
  <c r="CE111" i="41"/>
  <c r="CO104" i="41"/>
  <c r="CP29" i="41"/>
  <c r="CL84" i="41"/>
  <c r="CJ84" i="41"/>
  <c r="CI84" i="41"/>
  <c r="CH84" i="41"/>
  <c r="CF84" i="41"/>
  <c r="CG84" i="41"/>
  <c r="CD84" i="41"/>
  <c r="CM84" i="41"/>
  <c r="CC84" i="41"/>
  <c r="CN84" i="41"/>
  <c r="CE84" i="41"/>
  <c r="CK84" i="41"/>
  <c r="AO42" i="41"/>
  <c r="CK97" i="41"/>
  <c r="CL97" i="41"/>
  <c r="CF97" i="41"/>
  <c r="CJ97" i="41"/>
  <c r="CM97" i="41"/>
  <c r="CG97" i="41"/>
  <c r="CD97" i="41"/>
  <c r="CH97" i="41"/>
  <c r="CI97" i="41"/>
  <c r="CC97" i="41"/>
  <c r="CN97" i="41"/>
  <c r="CE97" i="41"/>
  <c r="H65" i="41"/>
  <c r="F65" i="41"/>
  <c r="G65" i="41" s="1"/>
  <c r="E65" i="41"/>
  <c r="AB162" i="41"/>
  <c r="BB14" i="41"/>
  <c r="CP14" i="41"/>
  <c r="CO52" i="41"/>
  <c r="BB52" i="41" s="1"/>
  <c r="CO96" i="41"/>
  <c r="CP93" i="41" l="1"/>
  <c r="CP32" i="41"/>
  <c r="CP114" i="41"/>
  <c r="AB92" i="39"/>
  <c r="Y92" i="39" s="1"/>
  <c r="CD170" i="41"/>
  <c r="CP169" i="41"/>
  <c r="CM170" i="41"/>
  <c r="CP160" i="41"/>
  <c r="CP42" i="41"/>
  <c r="Z89" i="39"/>
  <c r="CD119" i="41"/>
  <c r="CP146" i="41"/>
  <c r="CP113" i="41"/>
  <c r="CP163" i="41"/>
  <c r="CN119" i="41"/>
  <c r="CB170" i="41"/>
  <c r="AO170" i="41" s="1"/>
  <c r="CI170" i="41"/>
  <c r="CH170" i="41"/>
  <c r="CC119" i="41"/>
  <c r="CF170" i="41"/>
  <c r="CN170" i="41"/>
  <c r="CP142" i="41"/>
  <c r="CK170" i="41"/>
  <c r="CL170" i="41"/>
  <c r="CP33" i="41"/>
  <c r="CH119" i="41"/>
  <c r="CJ170" i="41"/>
  <c r="CG170" i="41"/>
  <c r="CI119" i="41"/>
  <c r="CM119" i="41"/>
  <c r="CE119" i="41"/>
  <c r="CJ119" i="41"/>
  <c r="CO151" i="41"/>
  <c r="BB151" i="41" s="1"/>
  <c r="CE170" i="41"/>
  <c r="AO111" i="41"/>
  <c r="I63" i="41"/>
  <c r="J63" i="41"/>
  <c r="K63" i="41" s="1"/>
  <c r="L63" i="41"/>
  <c r="CC170" i="41"/>
  <c r="CG119" i="41"/>
  <c r="BB104" i="41"/>
  <c r="CP104" i="41"/>
  <c r="CO111" i="41"/>
  <c r="BB111" i="41" s="1"/>
  <c r="BH63" i="41"/>
  <c r="BE63" i="41"/>
  <c r="BC63" i="41"/>
  <c r="BM63" i="41"/>
  <c r="BF63" i="41"/>
  <c r="BG63" i="41"/>
  <c r="BI63" i="41"/>
  <c r="BK63" i="41"/>
  <c r="BN63" i="41"/>
  <c r="BD63" i="41"/>
  <c r="BJ63" i="41"/>
  <c r="BL63" i="41"/>
  <c r="CO154" i="41"/>
  <c r="BB154" i="41" s="1"/>
  <c r="H122" i="41"/>
  <c r="E122" i="41"/>
  <c r="F122" i="41"/>
  <c r="G122" i="41" s="1"/>
  <c r="F172" i="41"/>
  <c r="G172" i="41" s="1"/>
  <c r="E172" i="41"/>
  <c r="H172" i="41"/>
  <c r="BD62" i="41"/>
  <c r="BM62" i="41"/>
  <c r="BF62" i="41"/>
  <c r="BK62" i="41"/>
  <c r="BN62" i="41"/>
  <c r="BG62" i="41"/>
  <c r="BL62" i="41"/>
  <c r="BI62" i="41"/>
  <c r="BH62" i="41"/>
  <c r="BJ62" i="41"/>
  <c r="BE62" i="41"/>
  <c r="BC62" i="41"/>
  <c r="CP83" i="41"/>
  <c r="BB55" i="41"/>
  <c r="CP55" i="41"/>
  <c r="BG64" i="41"/>
  <c r="BJ64" i="41"/>
  <c r="BL64" i="41"/>
  <c r="BK64" i="41"/>
  <c r="BC64" i="41"/>
  <c r="BE64" i="41"/>
  <c r="BI64" i="41"/>
  <c r="BD64" i="41"/>
  <c r="BM64" i="41"/>
  <c r="BN64" i="41"/>
  <c r="BF64" i="41"/>
  <c r="BH64" i="41"/>
  <c r="I65" i="41"/>
  <c r="L65" i="41"/>
  <c r="J65" i="41"/>
  <c r="K65" i="41" s="1"/>
  <c r="F171" i="41"/>
  <c r="G171" i="41" s="1"/>
  <c r="E171" i="41"/>
  <c r="H171" i="41"/>
  <c r="D175" i="41"/>
  <c r="BB16" i="41"/>
  <c r="CP16" i="41"/>
  <c r="BM65" i="41"/>
  <c r="BF65" i="41"/>
  <c r="BN65" i="41"/>
  <c r="BC65" i="41"/>
  <c r="BK65" i="41"/>
  <c r="BI65" i="41"/>
  <c r="BH65" i="41"/>
  <c r="BD65" i="41"/>
  <c r="BG65" i="41"/>
  <c r="BL65" i="41"/>
  <c r="BE65" i="41"/>
  <c r="BJ65" i="41"/>
  <c r="CO84" i="41"/>
  <c r="CF119" i="41"/>
  <c r="CL119" i="41"/>
  <c r="CP56" i="41"/>
  <c r="CO115" i="41"/>
  <c r="BB115" i="41" s="1"/>
  <c r="AB170" i="41"/>
  <c r="CO102" i="41"/>
  <c r="AO154" i="41"/>
  <c r="CO143" i="41"/>
  <c r="BB143" i="41" s="1"/>
  <c r="CO166" i="41"/>
  <c r="CP149" i="41"/>
  <c r="H120" i="41"/>
  <c r="F120" i="41"/>
  <c r="G120" i="41" s="1"/>
  <c r="E120" i="41"/>
  <c r="D124" i="41"/>
  <c r="H174" i="41"/>
  <c r="E174" i="41"/>
  <c r="F174" i="41"/>
  <c r="G174" i="41" s="1"/>
  <c r="I62" i="41"/>
  <c r="L62" i="41"/>
  <c r="J62" i="41"/>
  <c r="K62" i="41" s="1"/>
  <c r="H66" i="41"/>
  <c r="BB37" i="41"/>
  <c r="CP37" i="41"/>
  <c r="J64" i="41"/>
  <c r="K64" i="41" s="1"/>
  <c r="L64" i="41"/>
  <c r="I64" i="41"/>
  <c r="CO98" i="41"/>
  <c r="CP143" i="41"/>
  <c r="H121" i="41"/>
  <c r="E121" i="41"/>
  <c r="F121" i="41"/>
  <c r="G121" i="41" s="1"/>
  <c r="BB96" i="41"/>
  <c r="CP96" i="41"/>
  <c r="CP118" i="41"/>
  <c r="CO97" i="41"/>
  <c r="CK119" i="41"/>
  <c r="CO106" i="41"/>
  <c r="CP109" i="41"/>
  <c r="CP52" i="41"/>
  <c r="CO61" i="41"/>
  <c r="BB61" i="41" s="1"/>
  <c r="CO150" i="41"/>
  <c r="BB150" i="41" s="1"/>
  <c r="CP147" i="41"/>
  <c r="BB31" i="41"/>
  <c r="CP31" i="41"/>
  <c r="H123" i="41"/>
  <c r="E123" i="41"/>
  <c r="F123" i="41"/>
  <c r="G123" i="41" s="1"/>
  <c r="H173" i="41"/>
  <c r="E173" i="41"/>
  <c r="F173" i="41"/>
  <c r="G173" i="41" s="1"/>
  <c r="D70" i="41"/>
  <c r="E66" i="41"/>
  <c r="F66" i="41"/>
  <c r="G66" i="41" s="1"/>
  <c r="CB119" i="41"/>
  <c r="CO162" i="41"/>
  <c r="CP154" i="41" l="1"/>
  <c r="CO119" i="41"/>
  <c r="BB119" i="41" s="1"/>
  <c r="CP150" i="41"/>
  <c r="CP151" i="41"/>
  <c r="BI66" i="41"/>
  <c r="BI70" i="41" s="1"/>
  <c r="AO119" i="41"/>
  <c r="BK123" i="41"/>
  <c r="BF123" i="41"/>
  <c r="BH123" i="41"/>
  <c r="BM123" i="41"/>
  <c r="BG123" i="41"/>
  <c r="BJ123" i="41"/>
  <c r="BI123" i="41"/>
  <c r="BC123" i="41"/>
  <c r="BL123" i="41"/>
  <c r="BN123" i="41"/>
  <c r="BD123" i="41"/>
  <c r="BE123" i="41"/>
  <c r="BG121" i="41"/>
  <c r="BE121" i="41"/>
  <c r="BH121" i="41"/>
  <c r="BC121" i="41"/>
  <c r="BN121" i="41"/>
  <c r="BL121" i="41"/>
  <c r="BI121" i="41"/>
  <c r="BM121" i="41"/>
  <c r="BF121" i="41"/>
  <c r="BD121" i="41"/>
  <c r="BK121" i="41"/>
  <c r="BJ121" i="41"/>
  <c r="N64" i="41"/>
  <c r="O64" i="41" s="1"/>
  <c r="M64" i="41"/>
  <c r="BN174" i="41"/>
  <c r="BG174" i="41"/>
  <c r="BM174" i="41"/>
  <c r="BF174" i="41"/>
  <c r="BK174" i="41"/>
  <c r="BI174" i="41"/>
  <c r="BC174" i="41"/>
  <c r="BE174" i="41"/>
  <c r="BL174" i="41"/>
  <c r="BJ174" i="41"/>
  <c r="BH174" i="41"/>
  <c r="BD174" i="41"/>
  <c r="BC120" i="41"/>
  <c r="BK120" i="41"/>
  <c r="BN120" i="41"/>
  <c r="BH120" i="41"/>
  <c r="BI120" i="41"/>
  <c r="BJ120" i="41"/>
  <c r="BD120" i="41"/>
  <c r="BF120" i="41"/>
  <c r="BL120" i="41"/>
  <c r="BM120" i="41"/>
  <c r="BG120" i="41"/>
  <c r="BE120" i="41"/>
  <c r="BB166" i="41"/>
  <c r="CP166" i="41"/>
  <c r="BB84" i="41"/>
  <c r="CP84" i="41"/>
  <c r="D179" i="41"/>
  <c r="F175" i="41"/>
  <c r="G175" i="41" s="1"/>
  <c r="E175" i="41"/>
  <c r="BK66" i="41"/>
  <c r="BK70" i="41" s="1"/>
  <c r="BO62" i="41"/>
  <c r="BC66" i="41"/>
  <c r="J172" i="41"/>
  <c r="K172" i="41" s="1"/>
  <c r="L172" i="41"/>
  <c r="I172" i="41"/>
  <c r="BI122" i="41"/>
  <c r="BK122" i="41"/>
  <c r="BG122" i="41"/>
  <c r="BC122" i="41"/>
  <c r="BD122" i="41"/>
  <c r="BE122" i="41"/>
  <c r="BN122" i="41"/>
  <c r="BM122" i="41"/>
  <c r="BL122" i="41"/>
  <c r="BJ122" i="41"/>
  <c r="BH122" i="41"/>
  <c r="BF122" i="41"/>
  <c r="CO170" i="41"/>
  <c r="CP111" i="41"/>
  <c r="BF173" i="41"/>
  <c r="BN173" i="41"/>
  <c r="BE173" i="41"/>
  <c r="BL173" i="41"/>
  <c r="BK173" i="41"/>
  <c r="BD173" i="41"/>
  <c r="BM173" i="41"/>
  <c r="BG173" i="41"/>
  <c r="BH173" i="41"/>
  <c r="BJ173" i="41"/>
  <c r="BI173" i="41"/>
  <c r="BC173" i="41"/>
  <c r="I123" i="41"/>
  <c r="J123" i="41"/>
  <c r="K123" i="41" s="1"/>
  <c r="L123" i="41"/>
  <c r="BB97" i="41"/>
  <c r="CP97" i="41"/>
  <c r="I121" i="41"/>
  <c r="J121" i="41"/>
  <c r="K121" i="41" s="1"/>
  <c r="L121" i="41"/>
  <c r="M62" i="41"/>
  <c r="N62" i="41"/>
  <c r="O62" i="41" s="1"/>
  <c r="L66" i="41"/>
  <c r="L174" i="41"/>
  <c r="J174" i="41"/>
  <c r="K174" i="41" s="1"/>
  <c r="I174" i="41"/>
  <c r="BB102" i="41"/>
  <c r="CP102" i="41"/>
  <c r="BO65" i="41"/>
  <c r="CP61" i="41"/>
  <c r="L171" i="41"/>
  <c r="I171" i="41"/>
  <c r="J171" i="41"/>
  <c r="K171" i="41" s="1"/>
  <c r="H175" i="41"/>
  <c r="BE66" i="41"/>
  <c r="BE70" i="41" s="1"/>
  <c r="BL66" i="41"/>
  <c r="BL70" i="41" s="1"/>
  <c r="BF66" i="41"/>
  <c r="BF70" i="41" s="1"/>
  <c r="BK172" i="41"/>
  <c r="BL172" i="41"/>
  <c r="BN172" i="41"/>
  <c r="BM172" i="41"/>
  <c r="BG172" i="41"/>
  <c r="BD172" i="41"/>
  <c r="BI172" i="41"/>
  <c r="BC172" i="41"/>
  <c r="BJ172" i="41"/>
  <c r="BH172" i="41"/>
  <c r="BF172" i="41"/>
  <c r="BE172" i="41"/>
  <c r="L122" i="41"/>
  <c r="J122" i="41"/>
  <c r="K122" i="41" s="1"/>
  <c r="I122" i="41"/>
  <c r="N63" i="41"/>
  <c r="O63" i="41" s="1"/>
  <c r="M63" i="41"/>
  <c r="BB162" i="41"/>
  <c r="CP162" i="41"/>
  <c r="L173" i="41"/>
  <c r="I173" i="41"/>
  <c r="J173" i="41"/>
  <c r="K173" i="41" s="1"/>
  <c r="BB98" i="41"/>
  <c r="CP98" i="41"/>
  <c r="CP115" i="41"/>
  <c r="BR62" i="41"/>
  <c r="BW62" i="41"/>
  <c r="BT62" i="41"/>
  <c r="BY62" i="41"/>
  <c r="BV62" i="41"/>
  <c r="BU62" i="41"/>
  <c r="BP62" i="41"/>
  <c r="BZ62" i="41"/>
  <c r="BQ62" i="41"/>
  <c r="BX62" i="41"/>
  <c r="CA62" i="41"/>
  <c r="BS62" i="41"/>
  <c r="L120" i="41"/>
  <c r="I120" i="41"/>
  <c r="J120" i="41"/>
  <c r="K120" i="41" s="1"/>
  <c r="H124" i="41"/>
  <c r="BE171" i="41"/>
  <c r="BC171" i="41"/>
  <c r="BK171" i="41"/>
  <c r="BM171" i="41"/>
  <c r="BF171" i="41"/>
  <c r="BD171" i="41"/>
  <c r="BL171" i="41"/>
  <c r="BH171" i="41"/>
  <c r="BN171" i="41"/>
  <c r="BG171" i="41"/>
  <c r="BI171" i="41"/>
  <c r="BJ171" i="41"/>
  <c r="M65" i="41"/>
  <c r="N65" i="41"/>
  <c r="O65" i="41" s="1"/>
  <c r="BJ66" i="41"/>
  <c r="BJ70" i="41" s="1"/>
  <c r="BM66" i="41"/>
  <c r="BM70" i="41" s="1"/>
  <c r="BO63" i="41"/>
  <c r="F70" i="41"/>
  <c r="G70" i="41" s="1"/>
  <c r="E70" i="41"/>
  <c r="BB106" i="41"/>
  <c r="CP106" i="41"/>
  <c r="BX64" i="41"/>
  <c r="BP64" i="41"/>
  <c r="BQ64" i="41"/>
  <c r="CA64" i="41"/>
  <c r="BR64" i="41"/>
  <c r="BY64" i="41"/>
  <c r="BW64" i="41"/>
  <c r="BZ64" i="41"/>
  <c r="BV64" i="41"/>
  <c r="BT64" i="41"/>
  <c r="BU64" i="41"/>
  <c r="BS64" i="41"/>
  <c r="J66" i="41"/>
  <c r="K66" i="41" s="1"/>
  <c r="I66" i="41"/>
  <c r="H70" i="41"/>
  <c r="E124" i="41"/>
  <c r="F124" i="41"/>
  <c r="G124" i="41" s="1"/>
  <c r="D128" i="41"/>
  <c r="BZ65" i="41"/>
  <c r="BS65" i="41"/>
  <c r="BV65" i="41"/>
  <c r="BX65" i="41"/>
  <c r="BU65" i="41"/>
  <c r="CA65" i="41"/>
  <c r="BT65" i="41"/>
  <c r="BW65" i="41"/>
  <c r="BQ65" i="41"/>
  <c r="BY65" i="41"/>
  <c r="BP65" i="41"/>
  <c r="BR65" i="41"/>
  <c r="BO64" i="41"/>
  <c r="BG66" i="41"/>
  <c r="BG70" i="41" s="1"/>
  <c r="BH66" i="41"/>
  <c r="BH70" i="41" s="1"/>
  <c r="BN66" i="41"/>
  <c r="BN70" i="41" s="1"/>
  <c r="BD66" i="41"/>
  <c r="BD70" i="41" s="1"/>
  <c r="BR63" i="41"/>
  <c r="BQ63" i="41"/>
  <c r="BU63" i="41"/>
  <c r="BY63" i="41"/>
  <c r="CA63" i="41"/>
  <c r="BS63" i="41"/>
  <c r="BW63" i="41"/>
  <c r="BZ63" i="41"/>
  <c r="BT63" i="41"/>
  <c r="BP63" i="41"/>
  <c r="BV63" i="41"/>
  <c r="BX63" i="41"/>
  <c r="BI175" i="41" l="1"/>
  <c r="BI179" i="41" s="1"/>
  <c r="BJ175" i="41"/>
  <c r="BJ179" i="41" s="1"/>
  <c r="CP119" i="41"/>
  <c r="BL175" i="41"/>
  <c r="BL179" i="41" s="1"/>
  <c r="BK175" i="41"/>
  <c r="BK179" i="41" s="1"/>
  <c r="CB65" i="41"/>
  <c r="AO65" i="41" s="1"/>
  <c r="BG124" i="41"/>
  <c r="BG128" i="41" s="1"/>
  <c r="BN124" i="41"/>
  <c r="BN128" i="41" s="1"/>
  <c r="BS66" i="41"/>
  <c r="BS70" i="41" s="1"/>
  <c r="BZ66" i="41"/>
  <c r="BZ70" i="41" s="1"/>
  <c r="CB64" i="41"/>
  <c r="AO64" i="41" s="1"/>
  <c r="H128" i="41"/>
  <c r="J124" i="41"/>
  <c r="K124" i="41" s="1"/>
  <c r="I124" i="41"/>
  <c r="BY66" i="41"/>
  <c r="BY70" i="41" s="1"/>
  <c r="N66" i="41"/>
  <c r="O66" i="41" s="1"/>
  <c r="L70" i="41"/>
  <c r="M66" i="41"/>
  <c r="BG175" i="41"/>
  <c r="BG179" i="41" s="1"/>
  <c r="BO171" i="41"/>
  <c r="BD175" i="41"/>
  <c r="BD179" i="41" s="1"/>
  <c r="BC175" i="41"/>
  <c r="CA66" i="41"/>
  <c r="CA70" i="41" s="1"/>
  <c r="CB62" i="41"/>
  <c r="AO62" i="41" s="1"/>
  <c r="BP66" i="41"/>
  <c r="BT66" i="41"/>
  <c r="BT70" i="41" s="1"/>
  <c r="M173" i="41"/>
  <c r="N173" i="41"/>
  <c r="O173" i="41" s="1"/>
  <c r="CL63" i="41"/>
  <c r="CE63" i="41"/>
  <c r="CI63" i="41"/>
  <c r="CJ63" i="41"/>
  <c r="CC63" i="41"/>
  <c r="CH63" i="41"/>
  <c r="CM63" i="41"/>
  <c r="CF63" i="41"/>
  <c r="CK63" i="41"/>
  <c r="CD63" i="41"/>
  <c r="CG63" i="41"/>
  <c r="CN63" i="41"/>
  <c r="M122" i="41"/>
  <c r="N122" i="41"/>
  <c r="O122" i="41" s="1"/>
  <c r="H179" i="41"/>
  <c r="J175" i="41"/>
  <c r="K175" i="41" s="1"/>
  <c r="I175" i="41"/>
  <c r="BP174" i="41"/>
  <c r="BU174" i="41"/>
  <c r="CA174" i="41"/>
  <c r="BZ174" i="41"/>
  <c r="BW174" i="41"/>
  <c r="BY174" i="41"/>
  <c r="BV174" i="41"/>
  <c r="BX174" i="41"/>
  <c r="BR174" i="41"/>
  <c r="BS174" i="41"/>
  <c r="BT174" i="41"/>
  <c r="BQ174" i="41"/>
  <c r="BW121" i="41"/>
  <c r="BQ121" i="41"/>
  <c r="BP121" i="41"/>
  <c r="BS121" i="41"/>
  <c r="BV121" i="41"/>
  <c r="BX121" i="41"/>
  <c r="BY121" i="41"/>
  <c r="BZ121" i="41"/>
  <c r="BT121" i="41"/>
  <c r="BU121" i="41"/>
  <c r="BR121" i="41"/>
  <c r="CA121" i="41"/>
  <c r="BB170" i="41"/>
  <c r="CP170" i="41"/>
  <c r="BC70" i="41"/>
  <c r="BO70" i="41" s="1"/>
  <c r="BO66" i="41"/>
  <c r="BM124" i="41"/>
  <c r="BM128" i="41" s="1"/>
  <c r="BJ124" i="41"/>
  <c r="BJ128" i="41" s="1"/>
  <c r="BK124" i="41"/>
  <c r="BK128" i="41" s="1"/>
  <c r="BO121" i="41"/>
  <c r="M123" i="41"/>
  <c r="N123" i="41"/>
  <c r="O123" i="41" s="1"/>
  <c r="BO120" i="41"/>
  <c r="BD124" i="41"/>
  <c r="BD128" i="41" s="1"/>
  <c r="AB64" i="41"/>
  <c r="AB63" i="41"/>
  <c r="CK65" i="41"/>
  <c r="CC65" i="41"/>
  <c r="CG65" i="41"/>
  <c r="CN65" i="41"/>
  <c r="CE65" i="41"/>
  <c r="CD65" i="41"/>
  <c r="CJ65" i="41"/>
  <c r="CM65" i="41"/>
  <c r="CL65" i="41"/>
  <c r="CF65" i="41"/>
  <c r="CH65" i="41"/>
  <c r="CI65" i="41"/>
  <c r="BN175" i="41"/>
  <c r="BN179" i="41" s="1"/>
  <c r="BF175" i="41"/>
  <c r="BF179" i="41" s="1"/>
  <c r="BE175" i="41"/>
  <c r="BE179" i="41" s="1"/>
  <c r="BZ120" i="41"/>
  <c r="BT120" i="41"/>
  <c r="BQ120" i="41"/>
  <c r="BV120" i="41"/>
  <c r="BP120" i="41"/>
  <c r="BW120" i="41"/>
  <c r="BR120" i="41"/>
  <c r="BU120" i="41"/>
  <c r="BS120" i="41"/>
  <c r="BY120" i="41"/>
  <c r="CA120" i="41"/>
  <c r="BX120" i="41"/>
  <c r="BX66" i="41"/>
  <c r="BX70" i="41" s="1"/>
  <c r="BU66" i="41"/>
  <c r="BU70" i="41" s="1"/>
  <c r="BW66" i="41"/>
  <c r="BW70" i="41" s="1"/>
  <c r="BO172" i="41"/>
  <c r="AB65" i="41"/>
  <c r="CC62" i="41"/>
  <c r="CI62" i="41"/>
  <c r="CJ62" i="41"/>
  <c r="CG62" i="41"/>
  <c r="CL62" i="41"/>
  <c r="CD62" i="41"/>
  <c r="CH62" i="41"/>
  <c r="CM62" i="41"/>
  <c r="CK62" i="41"/>
  <c r="CF62" i="41"/>
  <c r="CE62" i="41"/>
  <c r="CN62" i="41"/>
  <c r="BQ123" i="41"/>
  <c r="BV123" i="41"/>
  <c r="BX123" i="41"/>
  <c r="CA123" i="41"/>
  <c r="BZ123" i="41"/>
  <c r="BP123" i="41"/>
  <c r="BY123" i="41"/>
  <c r="BW123" i="41"/>
  <c r="BR123" i="41"/>
  <c r="BU123" i="41"/>
  <c r="BS123" i="41"/>
  <c r="BT123" i="41"/>
  <c r="BO122" i="41"/>
  <c r="BQ172" i="41"/>
  <c r="BX172" i="41"/>
  <c r="BZ172" i="41"/>
  <c r="BU172" i="41"/>
  <c r="CA172" i="41"/>
  <c r="BP172" i="41"/>
  <c r="BV172" i="41"/>
  <c r="BR172" i="41"/>
  <c r="BY172" i="41"/>
  <c r="BW172" i="41"/>
  <c r="BT172" i="41"/>
  <c r="BS172" i="41"/>
  <c r="AB62" i="41"/>
  <c r="F179" i="41"/>
  <c r="G179" i="41" s="1"/>
  <c r="E179" i="41"/>
  <c r="BL124" i="41"/>
  <c r="BL128" i="41" s="1"/>
  <c r="BI124" i="41"/>
  <c r="BI128" i="41" s="1"/>
  <c r="BC124" i="41"/>
  <c r="BO123" i="41"/>
  <c r="E128" i="41"/>
  <c r="F128" i="41"/>
  <c r="G128" i="41" s="1"/>
  <c r="BQ173" i="41"/>
  <c r="BT173" i="41"/>
  <c r="BR173" i="41"/>
  <c r="CA173" i="41"/>
  <c r="BX173" i="41"/>
  <c r="BV173" i="41"/>
  <c r="BY173" i="41"/>
  <c r="BW173" i="41"/>
  <c r="BP173" i="41"/>
  <c r="BU173" i="41"/>
  <c r="BS173" i="41"/>
  <c r="BZ173" i="41"/>
  <c r="N171" i="41"/>
  <c r="O171" i="41" s="1"/>
  <c r="M171" i="41"/>
  <c r="L175" i="41"/>
  <c r="CB63" i="41"/>
  <c r="AO63" i="41" s="1"/>
  <c r="J70" i="41"/>
  <c r="K70" i="41" s="1"/>
  <c r="I70" i="41"/>
  <c r="BH175" i="41"/>
  <c r="BH179" i="41" s="1"/>
  <c r="BM175" i="41"/>
  <c r="BM179" i="41" s="1"/>
  <c r="N120" i="41"/>
  <c r="O120" i="41" s="1"/>
  <c r="M120" i="41"/>
  <c r="L124" i="41"/>
  <c r="BQ66" i="41"/>
  <c r="BQ70" i="41" s="1"/>
  <c r="BV66" i="41"/>
  <c r="BV70" i="41" s="1"/>
  <c r="BR66" i="41"/>
  <c r="BR70" i="41" s="1"/>
  <c r="BP122" i="41"/>
  <c r="BU122" i="41"/>
  <c r="CA122" i="41"/>
  <c r="BR122" i="41"/>
  <c r="BZ122" i="41"/>
  <c r="BY122" i="41"/>
  <c r="BW122" i="41"/>
  <c r="BX122" i="41"/>
  <c r="BV122" i="41"/>
  <c r="BQ122" i="41"/>
  <c r="BT122" i="41"/>
  <c r="BS122" i="41"/>
  <c r="BW171" i="41"/>
  <c r="BX171" i="41"/>
  <c r="BU171" i="41"/>
  <c r="BT171" i="41"/>
  <c r="BZ171" i="41"/>
  <c r="BQ171" i="41"/>
  <c r="BS171" i="41"/>
  <c r="BR171" i="41"/>
  <c r="BV171" i="41"/>
  <c r="BY171" i="41"/>
  <c r="CA171" i="41"/>
  <c r="BP171" i="41"/>
  <c r="N174" i="41"/>
  <c r="O174" i="41" s="1"/>
  <c r="M174" i="41"/>
  <c r="M121" i="41"/>
  <c r="N121" i="41"/>
  <c r="O121" i="41" s="1"/>
  <c r="BO173" i="41"/>
  <c r="M172" i="41"/>
  <c r="N172" i="41"/>
  <c r="O172" i="41" s="1"/>
  <c r="BE124" i="41"/>
  <c r="BE128" i="41" s="1"/>
  <c r="BF124" i="41"/>
  <c r="BF128" i="41" s="1"/>
  <c r="BH124" i="41"/>
  <c r="BH128" i="41" s="1"/>
  <c r="BO174" i="41"/>
  <c r="CI64" i="41"/>
  <c r="CC64" i="41"/>
  <c r="CG64" i="41"/>
  <c r="CM64" i="41"/>
  <c r="CE64" i="41"/>
  <c r="CK64" i="41"/>
  <c r="CD64" i="41"/>
  <c r="CH64" i="41"/>
  <c r="CN64" i="41"/>
  <c r="CF64" i="41"/>
  <c r="CL64" i="41"/>
  <c r="CJ64" i="41"/>
  <c r="BY175" i="41" l="1"/>
  <c r="BY179" i="41" s="1"/>
  <c r="BS175" i="41"/>
  <c r="BS179" i="41" s="1"/>
  <c r="BU175" i="41"/>
  <c r="BU179" i="41" s="1"/>
  <c r="BY124" i="41"/>
  <c r="BY128" i="41" s="1"/>
  <c r="CN66" i="41"/>
  <c r="CN70" i="41" s="1"/>
  <c r="CG66" i="41"/>
  <c r="CG70" i="41" s="1"/>
  <c r="CA175" i="41"/>
  <c r="CA179" i="41" s="1"/>
  <c r="CB173" i="41"/>
  <c r="AO173" i="41" s="1"/>
  <c r="AB174" i="41"/>
  <c r="CK172" i="41"/>
  <c r="CI172" i="41"/>
  <c r="CJ172" i="41"/>
  <c r="CG172" i="41"/>
  <c r="CE172" i="41"/>
  <c r="CH172" i="41"/>
  <c r="CF172" i="41"/>
  <c r="CC172" i="41"/>
  <c r="CN172" i="41"/>
  <c r="CL172" i="41"/>
  <c r="CM172" i="41"/>
  <c r="CD172" i="41"/>
  <c r="CF174" i="41"/>
  <c r="CK174" i="41"/>
  <c r="CL174" i="41"/>
  <c r="CM174" i="41"/>
  <c r="CE174" i="41"/>
  <c r="CG174" i="41"/>
  <c r="CN174" i="41"/>
  <c r="CH174" i="41"/>
  <c r="CI174" i="41"/>
  <c r="CC174" i="41"/>
  <c r="CD174" i="41"/>
  <c r="CJ174" i="41"/>
  <c r="BQ175" i="41"/>
  <c r="BQ179" i="41" s="1"/>
  <c r="BX175" i="41"/>
  <c r="BX179" i="41" s="1"/>
  <c r="CB172" i="41"/>
  <c r="AO172" i="41" s="1"/>
  <c r="CE66" i="41"/>
  <c r="CE70" i="41" s="1"/>
  <c r="CH66" i="41"/>
  <c r="CH70" i="41" s="1"/>
  <c r="CJ66" i="41"/>
  <c r="CJ70" i="41" s="1"/>
  <c r="BS124" i="41"/>
  <c r="BS128" i="41" s="1"/>
  <c r="CB120" i="41"/>
  <c r="AO120" i="41" s="1"/>
  <c r="BP124" i="41"/>
  <c r="BZ124" i="41"/>
  <c r="BZ128" i="41" s="1"/>
  <c r="AB121" i="41"/>
  <c r="AB66" i="41"/>
  <c r="CJ122" i="41"/>
  <c r="CD122" i="41"/>
  <c r="CI122" i="41"/>
  <c r="CF122" i="41"/>
  <c r="CK122" i="41"/>
  <c r="CM122" i="41"/>
  <c r="CL122" i="41"/>
  <c r="CC122" i="41"/>
  <c r="CE122" i="41"/>
  <c r="CH122" i="41"/>
  <c r="CG122" i="41"/>
  <c r="CN122" i="41"/>
  <c r="CO63" i="41"/>
  <c r="BB63" i="41" s="1"/>
  <c r="BP70" i="41"/>
  <c r="CB70" i="41" s="1"/>
  <c r="AO70" i="41" s="1"/>
  <c r="CB66" i="41"/>
  <c r="AO66" i="41" s="1"/>
  <c r="M70" i="41"/>
  <c r="N70" i="41"/>
  <c r="O70" i="41" s="1"/>
  <c r="CM66" i="41"/>
  <c r="CM70" i="41" s="1"/>
  <c r="BW124" i="41"/>
  <c r="BW128" i="41" s="1"/>
  <c r="CK123" i="41"/>
  <c r="CI123" i="41"/>
  <c r="CH123" i="41"/>
  <c r="CG123" i="41"/>
  <c r="CE123" i="41"/>
  <c r="CJ123" i="41"/>
  <c r="CC123" i="41"/>
  <c r="CL123" i="41"/>
  <c r="CN123" i="41"/>
  <c r="CM123" i="41"/>
  <c r="CF123" i="41"/>
  <c r="CD123" i="41"/>
  <c r="CB174" i="41"/>
  <c r="AO174" i="41" s="1"/>
  <c r="BC179" i="41"/>
  <c r="BO179" i="41" s="1"/>
  <c r="D134" i="22" s="1"/>
  <c r="BO175" i="41"/>
  <c r="CO64" i="41"/>
  <c r="AB173" i="41"/>
  <c r="BV175" i="41"/>
  <c r="BV179" i="41" s="1"/>
  <c r="BZ175" i="41"/>
  <c r="BZ179" i="41" s="1"/>
  <c r="BW175" i="41"/>
  <c r="BW179" i="41" s="1"/>
  <c r="CB122" i="41"/>
  <c r="AO122" i="41" s="1"/>
  <c r="L128" i="41"/>
  <c r="N124" i="41"/>
  <c r="O124" i="41" s="1"/>
  <c r="M124" i="41"/>
  <c r="N175" i="41"/>
  <c r="O175" i="41" s="1"/>
  <c r="M175" i="41"/>
  <c r="L179" i="41"/>
  <c r="CB123" i="41"/>
  <c r="AO123" i="41" s="1"/>
  <c r="CF66" i="41"/>
  <c r="CF70" i="41" s="1"/>
  <c r="CD66" i="41"/>
  <c r="CD70" i="41" s="1"/>
  <c r="CI66" i="41"/>
  <c r="CI70" i="41" s="1"/>
  <c r="AB172" i="41"/>
  <c r="BX124" i="41"/>
  <c r="BX128" i="41" s="1"/>
  <c r="BU124" i="41"/>
  <c r="BU128" i="41" s="1"/>
  <c r="BV124" i="41"/>
  <c r="BV128" i="41" s="1"/>
  <c r="AB120" i="41"/>
  <c r="AB70" i="41"/>
  <c r="CB121" i="41"/>
  <c r="AO121" i="41" s="1"/>
  <c r="AB171" i="41"/>
  <c r="J128" i="41"/>
  <c r="K128" i="41" s="1"/>
  <c r="I128" i="41"/>
  <c r="CI121" i="41"/>
  <c r="CC121" i="41"/>
  <c r="CF121" i="41"/>
  <c r="CG121" i="41"/>
  <c r="CE121" i="41"/>
  <c r="CL121" i="41"/>
  <c r="CN121" i="41"/>
  <c r="CM121" i="41"/>
  <c r="CK121" i="41"/>
  <c r="CD121" i="41"/>
  <c r="CJ121" i="41"/>
  <c r="CH121" i="41"/>
  <c r="BC128" i="41"/>
  <c r="BO128" i="41" s="1"/>
  <c r="BO124" i="41"/>
  <c r="BT124" i="41"/>
  <c r="BT128" i="41" s="1"/>
  <c r="CB171" i="41"/>
  <c r="AO171" i="41" s="1"/>
  <c r="BP175" i="41"/>
  <c r="BR175" i="41"/>
  <c r="BR179" i="41" s="1"/>
  <c r="BT175" i="41"/>
  <c r="BT179" i="41" s="1"/>
  <c r="CL120" i="41"/>
  <c r="CJ120" i="41"/>
  <c r="CG120" i="41"/>
  <c r="CN120" i="41"/>
  <c r="CI120" i="41"/>
  <c r="CH120" i="41"/>
  <c r="CF120" i="41"/>
  <c r="CM120" i="41"/>
  <c r="CD120" i="41"/>
  <c r="CK120" i="41"/>
  <c r="CE120" i="41"/>
  <c r="CC120" i="41"/>
  <c r="CD171" i="41"/>
  <c r="CE171" i="41"/>
  <c r="CK171" i="41"/>
  <c r="CJ171" i="41"/>
  <c r="CM171" i="41"/>
  <c r="CI171" i="41"/>
  <c r="CF171" i="41"/>
  <c r="CC171" i="41"/>
  <c r="CL171" i="41"/>
  <c r="CG171" i="41"/>
  <c r="CN171" i="41"/>
  <c r="CH171" i="41"/>
  <c r="AB123" i="41"/>
  <c r="AB122" i="41"/>
  <c r="CK66" i="41"/>
  <c r="CK70" i="41" s="1"/>
  <c r="CL66" i="41"/>
  <c r="CL70" i="41" s="1"/>
  <c r="CO62" i="41"/>
  <c r="CC66" i="41"/>
  <c r="CA124" i="41"/>
  <c r="CA128" i="41" s="1"/>
  <c r="BR124" i="41"/>
  <c r="BR128" i="41" s="1"/>
  <c r="BQ124" i="41"/>
  <c r="BQ128" i="41" s="1"/>
  <c r="CO65" i="41"/>
  <c r="I179" i="41"/>
  <c r="J179" i="41"/>
  <c r="K179" i="41" s="1"/>
  <c r="CG173" i="41"/>
  <c r="CE173" i="41"/>
  <c r="CD173" i="41"/>
  <c r="CC173" i="41"/>
  <c r="CJ173" i="41"/>
  <c r="CL173" i="41"/>
  <c r="CM173" i="41"/>
  <c r="CN173" i="41"/>
  <c r="CF173" i="41"/>
  <c r="CH173" i="41"/>
  <c r="CI173" i="41"/>
  <c r="CK173" i="41"/>
  <c r="CM124" i="41" l="1"/>
  <c r="CM128" i="41" s="1"/>
  <c r="CN124" i="41"/>
  <c r="CN128" i="41" s="1"/>
  <c r="CE124" i="41"/>
  <c r="CE128" i="41" s="1"/>
  <c r="CF124" i="41"/>
  <c r="CF128" i="41" s="1"/>
  <c r="CG124" i="41"/>
  <c r="CG128" i="41" s="1"/>
  <c r="CO174" i="41"/>
  <c r="BB174" i="41" s="1"/>
  <c r="CH124" i="41"/>
  <c r="CH128" i="41" s="1"/>
  <c r="CN175" i="41"/>
  <c r="CN179" i="41" s="1"/>
  <c r="CK175" i="41"/>
  <c r="CK179" i="41" s="1"/>
  <c r="CP63" i="41"/>
  <c r="BB62" i="41"/>
  <c r="CP62" i="41"/>
  <c r="CF175" i="41"/>
  <c r="CF179" i="41" s="1"/>
  <c r="AB124" i="41"/>
  <c r="M179" i="41"/>
  <c r="N179" i="41"/>
  <c r="O179" i="41" s="1"/>
  <c r="BB64" i="41"/>
  <c r="CP64" i="41"/>
  <c r="CO173" i="41"/>
  <c r="CG175" i="41"/>
  <c r="CG179" i="41" s="1"/>
  <c r="CI175" i="41"/>
  <c r="CI179" i="41" s="1"/>
  <c r="CE175" i="41"/>
  <c r="CE179" i="41" s="1"/>
  <c r="CK124" i="41"/>
  <c r="CK128" i="41" s="1"/>
  <c r="CJ124" i="41"/>
  <c r="CJ128" i="41" s="1"/>
  <c r="CB175" i="41"/>
  <c r="AO175" i="41" s="1"/>
  <c r="BP179" i="41"/>
  <c r="CB179" i="41" s="1"/>
  <c r="AB128" i="41"/>
  <c r="M128" i="41"/>
  <c r="N128" i="41"/>
  <c r="O128" i="41" s="1"/>
  <c r="AB175" i="41"/>
  <c r="CO123" i="41"/>
  <c r="BB123" i="41" s="1"/>
  <c r="CB124" i="41"/>
  <c r="AO124" i="41" s="1"/>
  <c r="BP128" i="41"/>
  <c r="CB128" i="41" s="1"/>
  <c r="AO128" i="41" s="1"/>
  <c r="CO121" i="41"/>
  <c r="BB121" i="41" s="1"/>
  <c r="CL175" i="41"/>
  <c r="CL179" i="41" s="1"/>
  <c r="CM175" i="41"/>
  <c r="CM179" i="41" s="1"/>
  <c r="CD175" i="41"/>
  <c r="CD179" i="41" s="1"/>
  <c r="CD124" i="41"/>
  <c r="CD128" i="41" s="1"/>
  <c r="CI124" i="41"/>
  <c r="CI128" i="41" s="1"/>
  <c r="CL124" i="41"/>
  <c r="CL128" i="41" s="1"/>
  <c r="AB179" i="41"/>
  <c r="CO172" i="41"/>
  <c r="BB172" i="41" s="1"/>
  <c r="BB65" i="41"/>
  <c r="CP65" i="41"/>
  <c r="CC70" i="41"/>
  <c r="CO70" i="41" s="1"/>
  <c r="CO66" i="41"/>
  <c r="BB66" i="41" s="1"/>
  <c r="CH175" i="41"/>
  <c r="CH179" i="41" s="1"/>
  <c r="CO171" i="41"/>
  <c r="CC175" i="41"/>
  <c r="CJ175" i="41"/>
  <c r="CJ179" i="41" s="1"/>
  <c r="CO120" i="41"/>
  <c r="CC124" i="41"/>
  <c r="CO122" i="41"/>
  <c r="CP174" i="41" l="1"/>
  <c r="AO179" i="41"/>
  <c r="E134" i="22"/>
  <c r="CP66" i="41"/>
  <c r="CP172" i="41"/>
  <c r="BB122" i="41"/>
  <c r="CP122" i="41"/>
  <c r="CC179" i="41"/>
  <c r="CO179" i="41" s="1"/>
  <c r="F134" i="22" s="1"/>
  <c r="G134" i="22" s="1"/>
  <c r="CO175" i="41"/>
  <c r="BB70" i="41"/>
  <c r="CP70" i="41"/>
  <c r="CP123" i="41"/>
  <c r="CC128" i="41"/>
  <c r="CO128" i="41" s="1"/>
  <c r="BB128" i="41" s="1"/>
  <c r="CO124" i="41"/>
  <c r="BB171" i="41"/>
  <c r="CP171" i="41"/>
  <c r="CP121" i="41"/>
  <c r="BB173" i="41"/>
  <c r="CP173" i="41"/>
  <c r="BB120" i="41"/>
  <c r="CP120" i="41"/>
  <c r="H134" i="22" l="1"/>
  <c r="D16" i="40"/>
  <c r="BB179" i="41"/>
  <c r="CP179" i="41"/>
  <c r="BB124" i="41"/>
  <c r="CP124" i="41"/>
  <c r="BB175" i="41"/>
  <c r="CP175" i="41"/>
  <c r="CP128" i="41"/>
  <c r="I134" i="22" l="1"/>
  <c r="E16" i="40"/>
  <c r="L89" i="7"/>
  <c r="L74" i="7"/>
  <c r="L63" i="7"/>
  <c r="L58" i="7"/>
  <c r="L52" i="7"/>
  <c r="L42" i="7"/>
  <c r="L29" i="7"/>
  <c r="L25" i="7"/>
  <c r="L18" i="7"/>
  <c r="C7" i="4"/>
  <c r="C96" i="6"/>
  <c r="C97" i="4" s="1"/>
  <c r="C79" i="6"/>
  <c r="C80" i="4" s="1"/>
  <c r="C72" i="6"/>
  <c r="C73" i="4" s="1"/>
  <c r="C55" i="6"/>
  <c r="C56" i="4" s="1"/>
  <c r="C40" i="4"/>
  <c r="B3" i="4"/>
  <c r="B3" i="6"/>
  <c r="J134" i="22" l="1"/>
  <c r="G16" i="40" s="1"/>
  <c r="F16" i="40"/>
  <c r="L6" i="7"/>
  <c r="R10" i="21"/>
  <c r="R137" i="21" s="1"/>
  <c r="R49" i="21"/>
  <c r="R142" i="21" s="1"/>
  <c r="H129" i="31"/>
  <c r="Q10" i="21"/>
  <c r="Q49" i="21"/>
  <c r="S10" i="21"/>
  <c r="S137" i="21" s="1"/>
  <c r="S49" i="21"/>
  <c r="S142" i="21" s="1"/>
  <c r="A100" i="31"/>
  <c r="A106" i="31" s="1"/>
  <c r="A112" i="31" s="1"/>
  <c r="A99" i="31"/>
  <c r="A105" i="31" s="1"/>
  <c r="A111" i="31" s="1"/>
  <c r="A98" i="31"/>
  <c r="A104" i="31" s="1"/>
  <c r="A110" i="31" s="1"/>
  <c r="B101" i="31"/>
  <c r="B107" i="31" s="1"/>
  <c r="B113" i="31" s="1"/>
  <c r="A97" i="31"/>
  <c r="A103" i="31" s="1"/>
  <c r="A109" i="31" s="1"/>
  <c r="B100" i="31"/>
  <c r="B106" i="31" s="1"/>
  <c r="B112" i="31" s="1"/>
  <c r="B99" i="31"/>
  <c r="B105" i="31" s="1"/>
  <c r="B111" i="31" s="1"/>
  <c r="B98" i="31"/>
  <c r="B104" i="31" s="1"/>
  <c r="B110" i="31" s="1"/>
  <c r="B97" i="31"/>
  <c r="B103" i="31" s="1"/>
  <c r="B109" i="31" s="1"/>
  <c r="R130" i="21" l="1"/>
  <c r="R155" i="21" s="1"/>
  <c r="AA133" i="40"/>
  <c r="Q130" i="21"/>
  <c r="Q155" i="21" s="1"/>
  <c r="S130" i="21"/>
  <c r="S155" i="21" s="1"/>
  <c r="AC133" i="40"/>
  <c r="D237" i="21"/>
  <c r="N116" i="4"/>
  <c r="Q28" i="1"/>
  <c r="B140" i="7"/>
  <c r="C140" i="7" s="1"/>
  <c r="Q137" i="21"/>
  <c r="T137" i="21" s="1"/>
  <c r="U10" i="21"/>
  <c r="Q142" i="21"/>
  <c r="T142" i="21" s="1"/>
  <c r="U49" i="21"/>
  <c r="T49" i="21"/>
  <c r="T10" i="21"/>
  <c r="B126" i="31"/>
  <c r="B128" i="31"/>
  <c r="A127" i="31"/>
  <c r="A129" i="31"/>
  <c r="B127" i="31"/>
  <c r="B129" i="31"/>
  <c r="A126" i="31"/>
  <c r="A128" i="31"/>
  <c r="H106" i="31"/>
  <c r="G106" i="31"/>
  <c r="H94" i="31"/>
  <c r="T155" i="21" l="1"/>
  <c r="T130" i="21"/>
  <c r="AE187" i="40"/>
  <c r="AC158" i="40"/>
  <c r="AC134" i="40"/>
  <c r="AD187" i="40"/>
  <c r="AA158" i="40"/>
  <c r="AA134" i="40"/>
  <c r="H95" i="31"/>
  <c r="G112" i="31"/>
  <c r="H112" i="31"/>
  <c r="AC159" i="40" l="1"/>
  <c r="AE161" i="40" s="1"/>
  <c r="AA159" i="40"/>
  <c r="AD161" i="40" s="1"/>
  <c r="I130" i="21"/>
  <c r="I155" i="21" s="1"/>
  <c r="H130" i="21"/>
  <c r="J130" i="21"/>
  <c r="J155" i="21" s="1"/>
  <c r="AD212" i="40"/>
  <c r="AD199" i="40"/>
  <c r="AD197" i="40"/>
  <c r="AD188" i="40"/>
  <c r="AD190" i="40" s="1"/>
  <c r="AD201" i="40"/>
  <c r="AD211" i="40"/>
  <c r="AD203" i="40"/>
  <c r="AD214" i="40"/>
  <c r="AD209" i="40"/>
  <c r="AD208" i="40"/>
  <c r="AD196" i="40"/>
  <c r="AD202" i="40"/>
  <c r="AD213" i="40"/>
  <c r="AD205" i="40"/>
  <c r="AD204" i="40"/>
  <c r="AD206" i="40"/>
  <c r="AD210" i="40"/>
  <c r="AD207" i="40"/>
  <c r="AD198" i="40"/>
  <c r="AD200" i="40"/>
  <c r="AE203" i="40"/>
  <c r="AE213" i="40"/>
  <c r="AE208" i="40"/>
  <c r="AE209" i="40"/>
  <c r="AE197" i="40"/>
  <c r="AE196" i="40"/>
  <c r="AE214" i="40"/>
  <c r="AE198" i="40"/>
  <c r="AE201" i="40"/>
  <c r="AE211" i="40"/>
  <c r="AE204" i="40"/>
  <c r="AE206" i="40"/>
  <c r="AE200" i="40"/>
  <c r="AE205" i="40"/>
  <c r="AE210" i="40"/>
  <c r="AE212" i="40"/>
  <c r="AE202" i="40"/>
  <c r="AE199" i="40"/>
  <c r="AE207" i="40"/>
  <c r="AE188" i="40"/>
  <c r="AE190" i="40" s="1"/>
  <c r="H155" i="21"/>
  <c r="G130" i="31"/>
  <c r="K155" i="21" l="1"/>
  <c r="AE230" i="40"/>
  <c r="AE228" i="40"/>
  <c r="AE215" i="40"/>
  <c r="AE217" i="40" s="1"/>
  <c r="AD230" i="40"/>
  <c r="AD223" i="40"/>
  <c r="AE229" i="40"/>
  <c r="AE224" i="40"/>
  <c r="AE227" i="40"/>
  <c r="AD225" i="40"/>
  <c r="AD232" i="40"/>
  <c r="AD231" i="40"/>
  <c r="AE226" i="40"/>
  <c r="AE232" i="40"/>
  <c r="AD224" i="40"/>
  <c r="AD226" i="40"/>
  <c r="AD228" i="40"/>
  <c r="AD215" i="40"/>
  <c r="AD217" i="40" s="1"/>
  <c r="AE225" i="40"/>
  <c r="AE231" i="40"/>
  <c r="AE223" i="40"/>
  <c r="AD229" i="40"/>
  <c r="AD227" i="40"/>
  <c r="H130" i="31"/>
  <c r="H9" i="21"/>
  <c r="M9" i="21" s="1"/>
  <c r="I9" i="21"/>
  <c r="I136" i="21" s="1"/>
  <c r="J9" i="21"/>
  <c r="O9" i="21" s="1"/>
  <c r="K9" i="21"/>
  <c r="K163" i="21" s="1"/>
  <c r="P9" i="21"/>
  <c r="Q163" i="21" s="1"/>
  <c r="H11" i="21"/>
  <c r="I11" i="21"/>
  <c r="J11" i="21"/>
  <c r="Q11" i="21"/>
  <c r="R11" i="21"/>
  <c r="S11" i="21"/>
  <c r="K12" i="21"/>
  <c r="T12" i="21"/>
  <c r="K13" i="21"/>
  <c r="T13" i="21"/>
  <c r="K14" i="21"/>
  <c r="T14" i="21"/>
  <c r="K15" i="21"/>
  <c r="T15" i="21"/>
  <c r="K16" i="21"/>
  <c r="T16" i="21"/>
  <c r="K17" i="21"/>
  <c r="T17" i="21"/>
  <c r="K18" i="21"/>
  <c r="T18" i="21"/>
  <c r="K19" i="21"/>
  <c r="T19" i="21"/>
  <c r="K20" i="21"/>
  <c r="T20" i="21"/>
  <c r="Q21" i="21"/>
  <c r="R21" i="21"/>
  <c r="S21" i="21"/>
  <c r="K22" i="21"/>
  <c r="T22" i="21"/>
  <c r="K23" i="21"/>
  <c r="T23" i="21"/>
  <c r="K24" i="21"/>
  <c r="T24" i="21"/>
  <c r="K25" i="21"/>
  <c r="T25" i="21"/>
  <c r="K26" i="21"/>
  <c r="T26" i="21"/>
  <c r="K27" i="21"/>
  <c r="T27" i="21"/>
  <c r="K28" i="21"/>
  <c r="T28" i="21"/>
  <c r="K29" i="21"/>
  <c r="T29" i="21"/>
  <c r="K30" i="21"/>
  <c r="T30" i="21"/>
  <c r="K31" i="21"/>
  <c r="T31" i="21"/>
  <c r="K32" i="21"/>
  <c r="T32" i="21"/>
  <c r="K33" i="21"/>
  <c r="T33" i="21"/>
  <c r="K34" i="21"/>
  <c r="T34" i="21"/>
  <c r="K35" i="21"/>
  <c r="T35" i="21"/>
  <c r="K36" i="21"/>
  <c r="T36" i="21"/>
  <c r="K37" i="21"/>
  <c r="T37" i="21"/>
  <c r="K38" i="21"/>
  <c r="T38" i="21"/>
  <c r="K39" i="21"/>
  <c r="T39" i="21"/>
  <c r="H41" i="21"/>
  <c r="I41" i="21"/>
  <c r="J41" i="21"/>
  <c r="Q41" i="21"/>
  <c r="R41" i="21"/>
  <c r="S41" i="21"/>
  <c r="K42" i="21"/>
  <c r="T42" i="21"/>
  <c r="K43" i="21"/>
  <c r="T43" i="21"/>
  <c r="K45" i="21"/>
  <c r="T45" i="21"/>
  <c r="H46" i="21"/>
  <c r="I46" i="21"/>
  <c r="J46" i="21"/>
  <c r="Q46" i="21"/>
  <c r="R46" i="21"/>
  <c r="S46" i="21"/>
  <c r="K47" i="21"/>
  <c r="T47" i="21"/>
  <c r="K48" i="21"/>
  <c r="T48" i="21"/>
  <c r="Q50" i="21"/>
  <c r="R50" i="21"/>
  <c r="S50" i="21"/>
  <c r="K51" i="21"/>
  <c r="T51" i="21"/>
  <c r="K52" i="21"/>
  <c r="T52" i="21"/>
  <c r="K53" i="21"/>
  <c r="T53" i="21"/>
  <c r="K54" i="21"/>
  <c r="T54" i="21"/>
  <c r="K55" i="21"/>
  <c r="T55" i="21"/>
  <c r="K56" i="21"/>
  <c r="T56" i="21"/>
  <c r="K57" i="21"/>
  <c r="T57" i="21"/>
  <c r="K58" i="21"/>
  <c r="T58" i="21"/>
  <c r="K59" i="21"/>
  <c r="T59" i="21"/>
  <c r="K60" i="21"/>
  <c r="T60" i="21"/>
  <c r="K61" i="21"/>
  <c r="T61" i="21"/>
  <c r="H63" i="21"/>
  <c r="I63" i="21"/>
  <c r="J63" i="21"/>
  <c r="Q63" i="21"/>
  <c r="R63" i="21"/>
  <c r="S63" i="21"/>
  <c r="K64" i="21"/>
  <c r="T64" i="21"/>
  <c r="K65" i="21"/>
  <c r="T65" i="21"/>
  <c r="K66" i="21"/>
  <c r="T66" i="21"/>
  <c r="K68" i="21"/>
  <c r="T68" i="21"/>
  <c r="K69" i="21"/>
  <c r="T69" i="21"/>
  <c r="K70" i="21"/>
  <c r="T70" i="21"/>
  <c r="H71" i="21"/>
  <c r="I71" i="21"/>
  <c r="J71" i="21"/>
  <c r="Q71" i="21"/>
  <c r="R71" i="21"/>
  <c r="S71" i="21"/>
  <c r="G72" i="21"/>
  <c r="K72" i="21"/>
  <c r="T72" i="21"/>
  <c r="K73" i="21"/>
  <c r="T73" i="21"/>
  <c r="K74" i="21"/>
  <c r="T74" i="21"/>
  <c r="K75" i="21"/>
  <c r="T75" i="21"/>
  <c r="G76" i="21"/>
  <c r="K76" i="21"/>
  <c r="T76" i="21"/>
  <c r="G77" i="21"/>
  <c r="K77" i="21"/>
  <c r="T77" i="21"/>
  <c r="K78" i="21"/>
  <c r="T78" i="21"/>
  <c r="K79" i="21"/>
  <c r="T79" i="21"/>
  <c r="H80" i="21"/>
  <c r="I80" i="21"/>
  <c r="J80" i="21"/>
  <c r="Q80" i="21"/>
  <c r="R80" i="21"/>
  <c r="S80" i="21"/>
  <c r="K81" i="21"/>
  <c r="T81" i="21"/>
  <c r="K82" i="21"/>
  <c r="T82" i="21"/>
  <c r="K83" i="21"/>
  <c r="T83" i="21"/>
  <c r="H84" i="21"/>
  <c r="I84" i="21"/>
  <c r="J84" i="21"/>
  <c r="Q84" i="21"/>
  <c r="R84" i="21"/>
  <c r="S84" i="21"/>
  <c r="K85" i="21"/>
  <c r="T85" i="21"/>
  <c r="K86" i="21"/>
  <c r="T86" i="21"/>
  <c r="K87" i="21"/>
  <c r="T87" i="21"/>
  <c r="K88" i="21"/>
  <c r="T88" i="21"/>
  <c r="K89" i="21"/>
  <c r="T89" i="21"/>
  <c r="H90" i="21"/>
  <c r="I90" i="21"/>
  <c r="J90" i="21"/>
  <c r="Q90" i="21"/>
  <c r="R90" i="21"/>
  <c r="S90" i="21"/>
  <c r="K91" i="21"/>
  <c r="T91" i="21"/>
  <c r="D92" i="21"/>
  <c r="E92" i="21"/>
  <c r="F92" i="21"/>
  <c r="K92" i="21"/>
  <c r="T92" i="21"/>
  <c r="K93" i="21"/>
  <c r="T93" i="21"/>
  <c r="K96" i="21"/>
  <c r="T96" i="21"/>
  <c r="K97" i="21"/>
  <c r="T97" i="21"/>
  <c r="K98" i="21"/>
  <c r="T98" i="21"/>
  <c r="K99" i="21"/>
  <c r="T99" i="21"/>
  <c r="K100" i="21"/>
  <c r="T100" i="21"/>
  <c r="K101" i="21"/>
  <c r="T101" i="21"/>
  <c r="K102" i="21"/>
  <c r="T102" i="21"/>
  <c r="K106" i="21"/>
  <c r="T106" i="21"/>
  <c r="K107" i="21"/>
  <c r="T107" i="21"/>
  <c r="K108" i="21"/>
  <c r="T108" i="21"/>
  <c r="K109" i="21"/>
  <c r="T109" i="21"/>
  <c r="K110" i="21"/>
  <c r="T110" i="21"/>
  <c r="K111" i="21"/>
  <c r="T111" i="21"/>
  <c r="K112" i="21"/>
  <c r="T112" i="21"/>
  <c r="K113" i="21"/>
  <c r="T113" i="21"/>
  <c r="K114" i="21"/>
  <c r="T114" i="21"/>
  <c r="K115" i="21"/>
  <c r="T115" i="21"/>
  <c r="H116" i="21"/>
  <c r="I116" i="21"/>
  <c r="J116" i="21"/>
  <c r="Q116" i="21"/>
  <c r="R116" i="21"/>
  <c r="S116" i="21"/>
  <c r="K117" i="21"/>
  <c r="T117" i="21"/>
  <c r="K118" i="21"/>
  <c r="T118" i="21"/>
  <c r="K119" i="21"/>
  <c r="T119" i="21"/>
  <c r="K120" i="21"/>
  <c r="T120" i="21"/>
  <c r="K121" i="21"/>
  <c r="T121" i="21"/>
  <c r="K122" i="21"/>
  <c r="T122" i="21"/>
  <c r="K123" i="21"/>
  <c r="T123" i="21"/>
  <c r="K124" i="21"/>
  <c r="T124" i="21"/>
  <c r="K103" i="21"/>
  <c r="T103" i="21"/>
  <c r="K104" i="21"/>
  <c r="T104" i="21"/>
  <c r="H126" i="21"/>
  <c r="I126" i="21"/>
  <c r="J126" i="21"/>
  <c r="Q126" i="21"/>
  <c r="R126" i="21"/>
  <c r="S126" i="21"/>
  <c r="K127" i="21"/>
  <c r="T127" i="21"/>
  <c r="K128" i="21"/>
  <c r="T128" i="21"/>
  <c r="K130" i="21"/>
  <c r="D136" i="21"/>
  <c r="E136" i="21"/>
  <c r="F136" i="21"/>
  <c r="G136" i="21"/>
  <c r="H136" i="21"/>
  <c r="J136" i="21"/>
  <c r="A137" i="21"/>
  <c r="B137" i="21"/>
  <c r="A138" i="21"/>
  <c r="B138" i="21"/>
  <c r="A139" i="21"/>
  <c r="B139" i="21"/>
  <c r="A140" i="21"/>
  <c r="B140" i="21"/>
  <c r="A141" i="21"/>
  <c r="B141" i="21"/>
  <c r="A142" i="21"/>
  <c r="B142" i="21"/>
  <c r="A143" i="21"/>
  <c r="B143" i="21"/>
  <c r="A144" i="21"/>
  <c r="B144" i="21"/>
  <c r="A145" i="21"/>
  <c r="B145" i="21"/>
  <c r="A146" i="21"/>
  <c r="B146" i="21"/>
  <c r="A147" i="21"/>
  <c r="B147" i="21"/>
  <c r="A148" i="21"/>
  <c r="B148" i="21"/>
  <c r="A149" i="21"/>
  <c r="B149" i="21"/>
  <c r="A150" i="21"/>
  <c r="B150" i="21"/>
  <c r="A152" i="21"/>
  <c r="B152" i="21"/>
  <c r="A153" i="21"/>
  <c r="B153" i="21"/>
  <c r="D155" i="21"/>
  <c r="D162" i="21"/>
  <c r="H162" i="21"/>
  <c r="N162" i="21"/>
  <c r="R162" i="21"/>
  <c r="V162" i="21"/>
  <c r="Z162" i="21"/>
  <c r="D163" i="21"/>
  <c r="E163" i="21"/>
  <c r="F163" i="21"/>
  <c r="G163" i="21"/>
  <c r="H163" i="21"/>
  <c r="J163" i="21"/>
  <c r="K164" i="21"/>
  <c r="Q164" i="21"/>
  <c r="U164" i="21"/>
  <c r="V164" i="21"/>
  <c r="W164" i="21"/>
  <c r="X164" i="21"/>
  <c r="D165" i="21"/>
  <c r="F165" i="21"/>
  <c r="K165" i="21"/>
  <c r="Q165" i="21"/>
  <c r="U165" i="21"/>
  <c r="V165" i="21"/>
  <c r="W165" i="21"/>
  <c r="X165" i="21"/>
  <c r="K166" i="21"/>
  <c r="Q166" i="21"/>
  <c r="U166" i="21"/>
  <c r="V166" i="21"/>
  <c r="W166" i="21"/>
  <c r="X166" i="21"/>
  <c r="K167" i="21"/>
  <c r="Q167" i="21"/>
  <c r="U167" i="21"/>
  <c r="V167" i="21"/>
  <c r="W167" i="21"/>
  <c r="X167" i="21"/>
  <c r="K168" i="21"/>
  <c r="Q168" i="21"/>
  <c r="U168" i="21"/>
  <c r="V168" i="21"/>
  <c r="W168" i="21"/>
  <c r="X168" i="21"/>
  <c r="K169" i="21"/>
  <c r="Q169" i="21"/>
  <c r="U169" i="21"/>
  <c r="V169" i="21"/>
  <c r="W169" i="21"/>
  <c r="X169" i="21"/>
  <c r="K170" i="21"/>
  <c r="Q170" i="21"/>
  <c r="U170" i="21"/>
  <c r="V170" i="21"/>
  <c r="W170" i="21"/>
  <c r="X170" i="21"/>
  <c r="K171" i="21"/>
  <c r="Q171" i="21"/>
  <c r="U171" i="21"/>
  <c r="V171" i="21"/>
  <c r="W171" i="21"/>
  <c r="X171" i="21"/>
  <c r="K172" i="21"/>
  <c r="Q172" i="21"/>
  <c r="U172" i="21"/>
  <c r="V172" i="21"/>
  <c r="W172" i="21"/>
  <c r="X172" i="21"/>
  <c r="K173" i="21"/>
  <c r="Q173" i="21"/>
  <c r="U173" i="21"/>
  <c r="V173" i="21"/>
  <c r="W173" i="21"/>
  <c r="X173" i="21"/>
  <c r="K174" i="21"/>
  <c r="Q174" i="21"/>
  <c r="U174" i="21"/>
  <c r="V174" i="21"/>
  <c r="W174" i="21"/>
  <c r="X174" i="21"/>
  <c r="K175" i="21"/>
  <c r="Q175" i="21"/>
  <c r="U175" i="21"/>
  <c r="V175" i="21"/>
  <c r="W175" i="21"/>
  <c r="X175" i="21"/>
  <c r="K176" i="21"/>
  <c r="Q176" i="21"/>
  <c r="U176" i="21"/>
  <c r="V176" i="21"/>
  <c r="W176" i="21"/>
  <c r="X176" i="21"/>
  <c r="K177" i="21"/>
  <c r="Q177" i="21"/>
  <c r="U177" i="21"/>
  <c r="V177" i="21"/>
  <c r="W177" i="21"/>
  <c r="X177" i="21"/>
  <c r="K178" i="21"/>
  <c r="Q178" i="21"/>
  <c r="U178" i="21"/>
  <c r="V178" i="21"/>
  <c r="W178" i="21"/>
  <c r="X178" i="21"/>
  <c r="K179" i="21"/>
  <c r="Q179" i="21"/>
  <c r="U179" i="21"/>
  <c r="V179" i="21"/>
  <c r="W179" i="21"/>
  <c r="X179" i="21"/>
  <c r="K180" i="21"/>
  <c r="Q180" i="21"/>
  <c r="U180" i="21"/>
  <c r="V180" i="21"/>
  <c r="W180" i="21"/>
  <c r="X180" i="21"/>
  <c r="K181" i="21"/>
  <c r="Q181" i="21"/>
  <c r="U181" i="21"/>
  <c r="V181" i="21"/>
  <c r="W181" i="21"/>
  <c r="X181" i="21"/>
  <c r="K182" i="21"/>
  <c r="Q182" i="21"/>
  <c r="U182" i="21"/>
  <c r="V182" i="21"/>
  <c r="W182" i="21"/>
  <c r="X182" i="21"/>
  <c r="H183" i="21"/>
  <c r="I183" i="21"/>
  <c r="J183" i="21"/>
  <c r="N183" i="21"/>
  <c r="O183" i="21"/>
  <c r="P183" i="21"/>
  <c r="R183" i="21"/>
  <c r="S183" i="21"/>
  <c r="T183" i="21"/>
  <c r="D184" i="21"/>
  <c r="H184" i="21"/>
  <c r="H194" i="21" s="1"/>
  <c r="I184" i="21"/>
  <c r="I202" i="21" s="1"/>
  <c r="J184" i="21"/>
  <c r="J193" i="21" s="1"/>
  <c r="R184" i="21"/>
  <c r="S184" i="21"/>
  <c r="S197" i="21" s="1"/>
  <c r="T184" i="21"/>
  <c r="T193" i="21" s="1"/>
  <c r="D191" i="21"/>
  <c r="H191" i="21"/>
  <c r="N191" i="21"/>
  <c r="R191" i="21"/>
  <c r="V191" i="21"/>
  <c r="Z191" i="21"/>
  <c r="AD192" i="21"/>
  <c r="AE192" i="21"/>
  <c r="AF192" i="21"/>
  <c r="AG192" i="21"/>
  <c r="B193" i="21"/>
  <c r="B194" i="21"/>
  <c r="B195" i="21"/>
  <c r="B196" i="21"/>
  <c r="B197" i="21"/>
  <c r="B198" i="21"/>
  <c r="B199" i="21"/>
  <c r="B200" i="21"/>
  <c r="B201" i="21"/>
  <c r="B202" i="21"/>
  <c r="B203" i="21"/>
  <c r="B204" i="21"/>
  <c r="B205" i="21"/>
  <c r="B206" i="21"/>
  <c r="B207" i="21"/>
  <c r="B208" i="21"/>
  <c r="B209" i="21"/>
  <c r="B210" i="21"/>
  <c r="B211" i="21"/>
  <c r="D218" i="21"/>
  <c r="H218" i="21"/>
  <c r="N218" i="21"/>
  <c r="R218" i="21"/>
  <c r="V218" i="21"/>
  <c r="Z218" i="21"/>
  <c r="AD219" i="21"/>
  <c r="AE219" i="21"/>
  <c r="AF219" i="21"/>
  <c r="AG219" i="21"/>
  <c r="AD233" i="40" l="1"/>
  <c r="AD235" i="40" s="1"/>
  <c r="AE233" i="40"/>
  <c r="AE235" i="40" s="1"/>
  <c r="K21" i="21"/>
  <c r="K50" i="21"/>
  <c r="O136" i="21"/>
  <c r="P163" i="21"/>
  <c r="H210" i="21"/>
  <c r="S207" i="21"/>
  <c r="S226" i="21" s="1"/>
  <c r="N9" i="21"/>
  <c r="S211" i="21"/>
  <c r="S229" i="21" s="1"/>
  <c r="S206" i="21"/>
  <c r="S224" i="21" s="1"/>
  <c r="I163" i="21"/>
  <c r="S9" i="21"/>
  <c r="T105" i="21"/>
  <c r="K105" i="21"/>
  <c r="K95" i="21"/>
  <c r="M136" i="21"/>
  <c r="N163" i="21"/>
  <c r="Q9" i="21"/>
  <c r="Q149" i="21"/>
  <c r="S149" i="21"/>
  <c r="S154" i="21" s="1"/>
  <c r="S156" i="21" s="1"/>
  <c r="R149" i="21"/>
  <c r="R154" i="21" s="1"/>
  <c r="R156" i="21" s="1"/>
  <c r="T95" i="21"/>
  <c r="H206" i="21"/>
  <c r="H224" i="21" s="1"/>
  <c r="S201" i="21"/>
  <c r="S205" i="21"/>
  <c r="S202" i="21"/>
  <c r="F175" i="21"/>
  <c r="AB175" i="21" s="1"/>
  <c r="S193" i="21"/>
  <c r="T9" i="21"/>
  <c r="X9" i="21" s="1"/>
  <c r="T202" i="21"/>
  <c r="P136" i="21"/>
  <c r="K136" i="21"/>
  <c r="K126" i="21"/>
  <c r="T207" i="21"/>
  <c r="T226" i="21" s="1"/>
  <c r="I199" i="21"/>
  <c r="T208" i="21"/>
  <c r="T227" i="21" s="1"/>
  <c r="E175" i="21"/>
  <c r="AA175" i="21" s="1"/>
  <c r="T203" i="21"/>
  <c r="T210" i="21"/>
  <c r="T209" i="21"/>
  <c r="T228" i="21" s="1"/>
  <c r="S208" i="21"/>
  <c r="S227" i="21" s="1"/>
  <c r="T204" i="21"/>
  <c r="S203" i="21"/>
  <c r="S200" i="21"/>
  <c r="H198" i="21"/>
  <c r="Y173" i="21"/>
  <c r="Y169" i="21"/>
  <c r="Y164" i="21"/>
  <c r="T211" i="21"/>
  <c r="T229" i="21" s="1"/>
  <c r="S210" i="21"/>
  <c r="S209" i="21"/>
  <c r="S228" i="21" s="1"/>
  <c r="T206" i="21"/>
  <c r="T224" i="21" s="1"/>
  <c r="T205" i="21"/>
  <c r="S204" i="21"/>
  <c r="T201" i="21"/>
  <c r="M155" i="21"/>
  <c r="U130" i="21"/>
  <c r="N184" i="21"/>
  <c r="N194" i="21" s="1"/>
  <c r="N220" i="21" s="1"/>
  <c r="K90" i="21"/>
  <c r="P76" i="21"/>
  <c r="Y179" i="21"/>
  <c r="Y175" i="21"/>
  <c r="Y181" i="21"/>
  <c r="Y177" i="21"/>
  <c r="Y165" i="21"/>
  <c r="T126" i="21"/>
  <c r="P77" i="21"/>
  <c r="P92" i="21"/>
  <c r="D175" i="21"/>
  <c r="Z175" i="21" s="1"/>
  <c r="E165" i="21"/>
  <c r="AA165" i="21" s="1"/>
  <c r="J211" i="21"/>
  <c r="J229" i="21" s="1"/>
  <c r="J210" i="21"/>
  <c r="J199" i="21"/>
  <c r="T196" i="21"/>
  <c r="T194" i="21"/>
  <c r="T220" i="21" s="1"/>
  <c r="S196" i="21"/>
  <c r="S198" i="21"/>
  <c r="S195" i="21"/>
  <c r="T185" i="21"/>
  <c r="S185" i="21"/>
  <c r="T199" i="21"/>
  <c r="T198" i="21"/>
  <c r="T197" i="21"/>
  <c r="S194" i="21"/>
  <c r="S220" i="21" s="1"/>
  <c r="J200" i="21"/>
  <c r="J198" i="21"/>
  <c r="J196" i="21"/>
  <c r="J197" i="21"/>
  <c r="H202" i="21"/>
  <c r="J205" i="21"/>
  <c r="J203" i="21"/>
  <c r="J202" i="21"/>
  <c r="J204" i="21"/>
  <c r="I207" i="21"/>
  <c r="I226" i="21" s="1"/>
  <c r="I211" i="21"/>
  <c r="I229" i="21" s="1"/>
  <c r="I203" i="21"/>
  <c r="J206" i="21"/>
  <c r="J224" i="21" s="1"/>
  <c r="J194" i="21"/>
  <c r="J220" i="21" s="1"/>
  <c r="J209" i="21"/>
  <c r="J228" i="21" s="1"/>
  <c r="J208" i="21"/>
  <c r="J227" i="21" s="1"/>
  <c r="J207" i="21"/>
  <c r="J226" i="21" s="1"/>
  <c r="J201" i="21"/>
  <c r="I195" i="21"/>
  <c r="J185" i="21"/>
  <c r="I197" i="21"/>
  <c r="I185" i="21"/>
  <c r="H185" i="21"/>
  <c r="I208" i="21"/>
  <c r="I227" i="21" s="1"/>
  <c r="I204" i="21"/>
  <c r="T200" i="21"/>
  <c r="I200" i="21"/>
  <c r="S199" i="21"/>
  <c r="I198" i="21"/>
  <c r="I196" i="21"/>
  <c r="I194" i="21"/>
  <c r="I220" i="21" s="1"/>
  <c r="I193" i="21"/>
  <c r="Y180" i="21"/>
  <c r="Y178" i="21"/>
  <c r="Y174" i="21"/>
  <c r="I209" i="21"/>
  <c r="I228" i="21" s="1"/>
  <c r="I205" i="21"/>
  <c r="I201" i="21"/>
  <c r="I223" i="21" s="1"/>
  <c r="Y182" i="21"/>
  <c r="I210" i="21"/>
  <c r="I206" i="21"/>
  <c r="I224" i="21" s="1"/>
  <c r="T90" i="21"/>
  <c r="K63" i="21"/>
  <c r="Y168" i="21"/>
  <c r="Y166" i="21"/>
  <c r="T80" i="21"/>
  <c r="K41" i="21"/>
  <c r="Y170" i="21"/>
  <c r="K80" i="21"/>
  <c r="T50" i="21"/>
  <c r="T46" i="21"/>
  <c r="K11" i="21"/>
  <c r="Y171" i="21"/>
  <c r="T63" i="21"/>
  <c r="K46" i="21"/>
  <c r="X127" i="21"/>
  <c r="X92" i="21"/>
  <c r="X72" i="21"/>
  <c r="P72" i="21"/>
  <c r="X79" i="21"/>
  <c r="X51" i="21"/>
  <c r="X45" i="21"/>
  <c r="X39" i="21"/>
  <c r="N185" i="21"/>
  <c r="X87" i="21"/>
  <c r="X24" i="21"/>
  <c r="X29" i="21"/>
  <c r="X98" i="21"/>
  <c r="X42" i="21"/>
  <c r="X32" i="21"/>
  <c r="X122" i="21"/>
  <c r="AB42" i="21"/>
  <c r="N202" i="21"/>
  <c r="R195" i="21"/>
  <c r="R199" i="21"/>
  <c r="R203" i="21"/>
  <c r="R207" i="21"/>
  <c r="R211" i="21"/>
  <c r="R196" i="21"/>
  <c r="R200" i="21"/>
  <c r="R204" i="21"/>
  <c r="R208" i="21"/>
  <c r="U184" i="21"/>
  <c r="R193" i="21"/>
  <c r="R197" i="21"/>
  <c r="R201" i="21"/>
  <c r="R205" i="21"/>
  <c r="R209" i="21"/>
  <c r="AB165" i="21"/>
  <c r="N199" i="21"/>
  <c r="N193" i="21"/>
  <c r="N209" i="21"/>
  <c r="N210" i="21"/>
  <c r="R210" i="21"/>
  <c r="R206" i="21"/>
  <c r="R202" i="21"/>
  <c r="R198" i="21"/>
  <c r="R194" i="21"/>
  <c r="Y176" i="21"/>
  <c r="W183" i="21"/>
  <c r="Y167" i="21"/>
  <c r="K183" i="21"/>
  <c r="U183" i="21"/>
  <c r="H220" i="21"/>
  <c r="R185" i="21"/>
  <c r="H195" i="21"/>
  <c r="H199" i="21"/>
  <c r="H203" i="21"/>
  <c r="H207" i="21"/>
  <c r="H211" i="21"/>
  <c r="H196" i="21"/>
  <c r="H200" i="21"/>
  <c r="H204" i="21"/>
  <c r="H208" i="21"/>
  <c r="K184" i="21"/>
  <c r="H193" i="21"/>
  <c r="H197" i="21"/>
  <c r="H201" i="21"/>
  <c r="H205" i="21"/>
  <c r="H209" i="21"/>
  <c r="V183" i="21"/>
  <c r="Y172" i="21"/>
  <c r="G165" i="21"/>
  <c r="X183" i="21"/>
  <c r="Q183" i="21"/>
  <c r="T195" i="21"/>
  <c r="J195" i="21"/>
  <c r="K116" i="21"/>
  <c r="Z165" i="21"/>
  <c r="T116" i="21"/>
  <c r="X107" i="21"/>
  <c r="X113" i="21"/>
  <c r="X109" i="21"/>
  <c r="AB87" i="21"/>
  <c r="X77" i="21"/>
  <c r="AB77" i="21"/>
  <c r="K71" i="21"/>
  <c r="G92" i="21"/>
  <c r="AB92" i="21"/>
  <c r="T84" i="21"/>
  <c r="K84" i="21"/>
  <c r="X76" i="21"/>
  <c r="X73" i="21"/>
  <c r="T71" i="21"/>
  <c r="AB88" i="21"/>
  <c r="AB76" i="21"/>
  <c r="X59" i="21"/>
  <c r="AB59" i="21"/>
  <c r="X55" i="21"/>
  <c r="X70" i="21"/>
  <c r="X57" i="21"/>
  <c r="AB57" i="21"/>
  <c r="X53" i="21"/>
  <c r="AB53" i="21"/>
  <c r="AB70" i="21"/>
  <c r="X43" i="21"/>
  <c r="T41" i="21"/>
  <c r="AB32" i="21"/>
  <c r="AB43" i="21"/>
  <c r="AB39" i="21"/>
  <c r="X30" i="21"/>
  <c r="AB30" i="21"/>
  <c r="T21" i="21"/>
  <c r="X14" i="21"/>
  <c r="X12" i="21"/>
  <c r="X22" i="21"/>
  <c r="AB24" i="21"/>
  <c r="AB14" i="21"/>
  <c r="T11" i="21"/>
  <c r="E47" i="31"/>
  <c r="D47" i="31"/>
  <c r="C47" i="31"/>
  <c r="E9" i="31"/>
  <c r="D9" i="31"/>
  <c r="C9" i="31"/>
  <c r="K210" i="21" l="1"/>
  <c r="N196" i="21"/>
  <c r="U198" i="21"/>
  <c r="S223" i="21"/>
  <c r="U202" i="21"/>
  <c r="T225" i="21"/>
  <c r="S222" i="21"/>
  <c r="R9" i="21"/>
  <c r="N136" i="21"/>
  <c r="O163" i="21"/>
  <c r="W9" i="21"/>
  <c r="T163" i="21"/>
  <c r="S136" i="21"/>
  <c r="R129" i="21"/>
  <c r="R131" i="21" s="1"/>
  <c r="S187" i="21" s="1"/>
  <c r="U9" i="21"/>
  <c r="Q136" i="21"/>
  <c r="R163" i="21"/>
  <c r="T129" i="21"/>
  <c r="T131" i="21" s="1"/>
  <c r="Q154" i="21"/>
  <c r="T149" i="21"/>
  <c r="I225" i="21"/>
  <c r="T223" i="21"/>
  <c r="U205" i="21"/>
  <c r="U203" i="21"/>
  <c r="S225" i="21"/>
  <c r="U196" i="21"/>
  <c r="J225" i="21"/>
  <c r="AC175" i="21"/>
  <c r="S212" i="21"/>
  <c r="U163" i="21"/>
  <c r="T136" i="21"/>
  <c r="K200" i="21"/>
  <c r="V184" i="21"/>
  <c r="Z184" i="21" s="1"/>
  <c r="N208" i="21"/>
  <c r="N227" i="21" s="1"/>
  <c r="N211" i="21"/>
  <c r="N229" i="21" s="1"/>
  <c r="N195" i="21"/>
  <c r="N206" i="21"/>
  <c r="N224" i="21" s="1"/>
  <c r="K205" i="21"/>
  <c r="N201" i="21"/>
  <c r="N223" i="21" s="1"/>
  <c r="N204" i="21"/>
  <c r="V204" i="21" s="1"/>
  <c r="N207" i="21"/>
  <c r="N226" i="21" s="1"/>
  <c r="K203" i="21"/>
  <c r="N205" i="21"/>
  <c r="V205" i="21" s="1"/>
  <c r="V194" i="21"/>
  <c r="V220" i="21" s="1"/>
  <c r="U210" i="21"/>
  <c r="N197" i="21"/>
  <c r="V197" i="21" s="1"/>
  <c r="N200" i="21"/>
  <c r="V200" i="21" s="1"/>
  <c r="N203" i="21"/>
  <c r="V203" i="21" s="1"/>
  <c r="U204" i="21"/>
  <c r="N198" i="21"/>
  <c r="V198" i="21" s="1"/>
  <c r="I222" i="21"/>
  <c r="G175" i="21"/>
  <c r="T222" i="21"/>
  <c r="S221" i="21"/>
  <c r="X136" i="21"/>
  <c r="Y163" i="21"/>
  <c r="AB9" i="21"/>
  <c r="U155" i="21"/>
  <c r="Y130" i="21"/>
  <c r="Y155" i="21" s="1"/>
  <c r="J221" i="21"/>
  <c r="K196" i="21"/>
  <c r="T221" i="21"/>
  <c r="U197" i="21"/>
  <c r="K202" i="21"/>
  <c r="J222" i="21"/>
  <c r="U200" i="21"/>
  <c r="AB55" i="21"/>
  <c r="K198" i="21"/>
  <c r="J223" i="21"/>
  <c r="K194" i="21"/>
  <c r="K197" i="21"/>
  <c r="K204" i="21"/>
  <c r="I212" i="21"/>
  <c r="I221" i="21"/>
  <c r="K224" i="21"/>
  <c r="K206" i="21"/>
  <c r="X119" i="21"/>
  <c r="X86" i="21"/>
  <c r="AB86" i="21"/>
  <c r="X34" i="21"/>
  <c r="AB34" i="21"/>
  <c r="W41" i="21"/>
  <c r="U185" i="21"/>
  <c r="AB72" i="21"/>
  <c r="K185" i="21"/>
  <c r="AB98" i="21"/>
  <c r="Y183" i="21"/>
  <c r="X83" i="21"/>
  <c r="AB79" i="21"/>
  <c r="AB36" i="21"/>
  <c r="AB118" i="21"/>
  <c r="X36" i="21"/>
  <c r="AB29" i="21"/>
  <c r="AB114" i="21"/>
  <c r="AB103" i="21"/>
  <c r="X121" i="21"/>
  <c r="AB119" i="21"/>
  <c r="X97" i="21"/>
  <c r="AB113" i="21"/>
  <c r="AB12" i="21"/>
  <c r="X78" i="21"/>
  <c r="X118" i="21"/>
  <c r="W126" i="21"/>
  <c r="X75" i="21"/>
  <c r="X120" i="21"/>
  <c r="AB122" i="21"/>
  <c r="AA126" i="21"/>
  <c r="AA41" i="21"/>
  <c r="AB127" i="21"/>
  <c r="K209" i="21"/>
  <c r="H228" i="21"/>
  <c r="K228" i="21" s="1"/>
  <c r="V193" i="21"/>
  <c r="X13" i="21"/>
  <c r="AB20" i="21"/>
  <c r="X20" i="21"/>
  <c r="X15" i="21"/>
  <c r="AB15" i="21"/>
  <c r="X35" i="21"/>
  <c r="X58" i="21"/>
  <c r="X100" i="21"/>
  <c r="X114" i="21"/>
  <c r="X112" i="21"/>
  <c r="AC165" i="21"/>
  <c r="X103" i="21"/>
  <c r="H222" i="21"/>
  <c r="K199" i="21"/>
  <c r="X124" i="21"/>
  <c r="AB124" i="21"/>
  <c r="U206" i="21"/>
  <c r="R224" i="21"/>
  <c r="U224" i="21" s="1"/>
  <c r="V196" i="21"/>
  <c r="V199" i="21"/>
  <c r="U209" i="21"/>
  <c r="R228" i="21"/>
  <c r="U228" i="21" s="1"/>
  <c r="R212" i="21"/>
  <c r="U193" i="21"/>
  <c r="R225" i="21"/>
  <c r="AB45" i="21"/>
  <c r="X19" i="21"/>
  <c r="AB19" i="21"/>
  <c r="AB18" i="21"/>
  <c r="X18" i="21"/>
  <c r="X33" i="21"/>
  <c r="AB33" i="21"/>
  <c r="X27" i="21"/>
  <c r="AB27" i="21"/>
  <c r="X56" i="21"/>
  <c r="AB56" i="21"/>
  <c r="X64" i="21"/>
  <c r="AB64" i="21"/>
  <c r="AB78" i="21"/>
  <c r="AB73" i="21"/>
  <c r="AB83" i="21"/>
  <c r="AB120" i="21"/>
  <c r="AB97" i="21"/>
  <c r="AB121" i="21"/>
  <c r="AB75" i="21"/>
  <c r="K201" i="21"/>
  <c r="H223" i="21"/>
  <c r="K208" i="21"/>
  <c r="H227" i="21"/>
  <c r="K227" i="21" s="1"/>
  <c r="H229" i="21"/>
  <c r="K229" i="21" s="1"/>
  <c r="K211" i="21"/>
  <c r="H221" i="21"/>
  <c r="K195" i="21"/>
  <c r="V211" i="21"/>
  <c r="V195" i="21"/>
  <c r="R222" i="21"/>
  <c r="U199" i="21"/>
  <c r="X17" i="21"/>
  <c r="AB17" i="21"/>
  <c r="AB51" i="21"/>
  <c r="X102" i="21"/>
  <c r="AB102" i="21"/>
  <c r="AB107" i="21"/>
  <c r="H212" i="21"/>
  <c r="K193" i="21"/>
  <c r="H225" i="21"/>
  <c r="U194" i="21"/>
  <c r="R220" i="21"/>
  <c r="V209" i="21"/>
  <c r="N228" i="21"/>
  <c r="R226" i="21"/>
  <c r="U226" i="21" s="1"/>
  <c r="U207" i="21"/>
  <c r="V202" i="21"/>
  <c r="AB22" i="21"/>
  <c r="X26" i="21"/>
  <c r="AB26" i="21"/>
  <c r="S129" i="21"/>
  <c r="S131" i="21" s="1"/>
  <c r="AB16" i="21"/>
  <c r="X16" i="21"/>
  <c r="AB25" i="21"/>
  <c r="X25" i="21"/>
  <c r="Q129" i="21"/>
  <c r="Q131" i="21" s="1"/>
  <c r="X31" i="21"/>
  <c r="AB31" i="21"/>
  <c r="X54" i="21"/>
  <c r="AB54" i="21"/>
  <c r="X85" i="21"/>
  <c r="X96" i="21"/>
  <c r="AB109" i="21"/>
  <c r="Z126" i="21"/>
  <c r="H226" i="21"/>
  <c r="K226" i="21" s="1"/>
  <c r="K207" i="21"/>
  <c r="T212" i="21"/>
  <c r="K220" i="21"/>
  <c r="V210" i="21"/>
  <c r="J212" i="21"/>
  <c r="U201" i="21"/>
  <c r="R223" i="21"/>
  <c r="U208" i="21"/>
  <c r="R227" i="21"/>
  <c r="U227" i="21" s="1"/>
  <c r="R229" i="21"/>
  <c r="U229" i="21" s="1"/>
  <c r="U211" i="21"/>
  <c r="R221" i="21"/>
  <c r="U195" i="21"/>
  <c r="V201" i="21" l="1"/>
  <c r="V223" i="21" s="1"/>
  <c r="N222" i="21"/>
  <c r="S158" i="21"/>
  <c r="U225" i="21"/>
  <c r="V207" i="21"/>
  <c r="V226" i="21" s="1"/>
  <c r="K225" i="21"/>
  <c r="U223" i="21"/>
  <c r="S214" i="21"/>
  <c r="V9" i="21"/>
  <c r="S163" i="21"/>
  <c r="R136" i="21"/>
  <c r="T230" i="21"/>
  <c r="T232" i="21" s="1"/>
  <c r="AA9" i="21"/>
  <c r="W136" i="21"/>
  <c r="X163" i="21"/>
  <c r="U222" i="21"/>
  <c r="V206" i="21"/>
  <c r="V224" i="21" s="1"/>
  <c r="Y9" i="21"/>
  <c r="V163" i="21"/>
  <c r="U136" i="21"/>
  <c r="T154" i="21"/>
  <c r="T156" i="21" s="1"/>
  <c r="U158" i="21" s="1"/>
  <c r="Q156" i="21"/>
  <c r="R158" i="21" s="1"/>
  <c r="N221" i="21"/>
  <c r="V208" i="21"/>
  <c r="V227" i="21" s="1"/>
  <c r="U221" i="21"/>
  <c r="K223" i="21"/>
  <c r="V185" i="21"/>
  <c r="S230" i="21"/>
  <c r="S232" i="21" s="1"/>
  <c r="N225" i="21"/>
  <c r="I230" i="21"/>
  <c r="N212" i="21"/>
  <c r="AB136" i="21"/>
  <c r="AC163" i="21"/>
  <c r="AG163" i="21" s="1"/>
  <c r="J230" i="21"/>
  <c r="K222" i="21"/>
  <c r="K221" i="21"/>
  <c r="AB58" i="21"/>
  <c r="H230" i="21"/>
  <c r="V63" i="21"/>
  <c r="AB35" i="21"/>
  <c r="X89" i="21"/>
  <c r="AB89" i="21"/>
  <c r="W84" i="21"/>
  <c r="X38" i="21"/>
  <c r="AB38" i="21"/>
  <c r="AB100" i="21"/>
  <c r="AB112" i="21"/>
  <c r="X52" i="21"/>
  <c r="V116" i="21"/>
  <c r="R214" i="21"/>
  <c r="R187" i="21"/>
  <c r="K212" i="21"/>
  <c r="X128" i="21"/>
  <c r="U126" i="21"/>
  <c r="V229" i="21"/>
  <c r="AB65" i="21"/>
  <c r="X65" i="21"/>
  <c r="V41" i="21"/>
  <c r="V222" i="21"/>
  <c r="V80" i="21"/>
  <c r="X81" i="21"/>
  <c r="U116" i="21"/>
  <c r="X117" i="21"/>
  <c r="V71" i="21"/>
  <c r="X74" i="21"/>
  <c r="X23" i="21"/>
  <c r="U220" i="21"/>
  <c r="R230" i="21"/>
  <c r="R232" i="21" s="1"/>
  <c r="V221" i="21"/>
  <c r="X101" i="21"/>
  <c r="AB101" i="21"/>
  <c r="U187" i="21"/>
  <c r="X108" i="21"/>
  <c r="AB108" i="21"/>
  <c r="V84" i="21"/>
  <c r="X111" i="21"/>
  <c r="AB111" i="21"/>
  <c r="X104" i="21"/>
  <c r="AB104" i="21"/>
  <c r="X37" i="21"/>
  <c r="AB37" i="21"/>
  <c r="T187" i="21"/>
  <c r="T158" i="21"/>
  <c r="T214" i="21"/>
  <c r="X82" i="21"/>
  <c r="AB82" i="21"/>
  <c r="X115" i="21"/>
  <c r="AB115" i="21"/>
  <c r="W63" i="21"/>
  <c r="X110" i="21"/>
  <c r="AB110" i="21"/>
  <c r="U212" i="21"/>
  <c r="U214" i="21" s="1"/>
  <c r="Z63" i="21"/>
  <c r="AB13" i="21"/>
  <c r="V225" i="21"/>
  <c r="X99" i="21"/>
  <c r="AB99" i="21"/>
  <c r="AA84" i="21"/>
  <c r="Z50" i="21"/>
  <c r="V50" i="21"/>
  <c r="U63" i="21"/>
  <c r="V228" i="21"/>
  <c r="W116" i="21"/>
  <c r="X106" i="21"/>
  <c r="AB106" i="21"/>
  <c r="X28" i="21"/>
  <c r="AB28" i="21"/>
  <c r="X123" i="21"/>
  <c r="AB123" i="21"/>
  <c r="AA80" i="21"/>
  <c r="Y71" i="21"/>
  <c r="N201" i="35"/>
  <c r="N200" i="35"/>
  <c r="N199" i="35"/>
  <c r="N198" i="35"/>
  <c r="N197" i="35"/>
  <c r="N196" i="35"/>
  <c r="N192" i="35"/>
  <c r="N191" i="35"/>
  <c r="N190" i="35"/>
  <c r="N189" i="35"/>
  <c r="N188" i="35"/>
  <c r="N187" i="35"/>
  <c r="N183" i="35"/>
  <c r="N182" i="35"/>
  <c r="N181" i="35"/>
  <c r="N180" i="35"/>
  <c r="N179" i="35"/>
  <c r="N178" i="35"/>
  <c r="N88" i="35"/>
  <c r="N84" i="35"/>
  <c r="N85" i="35"/>
  <c r="N86" i="35"/>
  <c r="N87" i="35"/>
  <c r="N83" i="35"/>
  <c r="N79" i="35"/>
  <c r="N75" i="35"/>
  <c r="N76" i="35"/>
  <c r="N77" i="35"/>
  <c r="N78" i="35"/>
  <c r="N74" i="35"/>
  <c r="N70" i="35"/>
  <c r="N69" i="35"/>
  <c r="N68" i="35"/>
  <c r="N67" i="35"/>
  <c r="N66" i="35"/>
  <c r="N65" i="35"/>
  <c r="N71" i="35" s="1"/>
  <c r="AD71" i="35" s="1"/>
  <c r="N127" i="35"/>
  <c r="AD124" i="35" s="1"/>
  <c r="N137" i="35"/>
  <c r="AD134" i="35" s="1"/>
  <c r="N147" i="35"/>
  <c r="AD143" i="35" s="1"/>
  <c r="N14" i="35"/>
  <c r="AD11" i="35" s="1"/>
  <c r="N24" i="35"/>
  <c r="AD21" i="35" s="1"/>
  <c r="N34" i="35"/>
  <c r="AD32" i="35" s="1"/>
  <c r="E196" i="35"/>
  <c r="F196" i="35"/>
  <c r="G196" i="35"/>
  <c r="H196" i="35"/>
  <c r="I196" i="35"/>
  <c r="J196" i="35"/>
  <c r="K196" i="35"/>
  <c r="L196" i="35"/>
  <c r="M196" i="35"/>
  <c r="E197" i="35"/>
  <c r="F197" i="35"/>
  <c r="G197" i="35"/>
  <c r="H197" i="35"/>
  <c r="I197" i="35"/>
  <c r="J197" i="35"/>
  <c r="K197" i="35"/>
  <c r="L197" i="35"/>
  <c r="M197" i="35"/>
  <c r="E198" i="35"/>
  <c r="F198" i="35"/>
  <c r="G198" i="35"/>
  <c r="H198" i="35"/>
  <c r="I198" i="35"/>
  <c r="J198" i="35"/>
  <c r="K198" i="35"/>
  <c r="L198" i="35"/>
  <c r="M198" i="35"/>
  <c r="E199" i="35"/>
  <c r="F199" i="35"/>
  <c r="G199" i="35"/>
  <c r="H199" i="35"/>
  <c r="I199" i="35"/>
  <c r="J199" i="35"/>
  <c r="K199" i="35"/>
  <c r="L199" i="35"/>
  <c r="M199" i="35"/>
  <c r="E200" i="35"/>
  <c r="F200" i="35"/>
  <c r="G200" i="35"/>
  <c r="H200" i="35"/>
  <c r="I200" i="35"/>
  <c r="J200" i="35"/>
  <c r="K200" i="35"/>
  <c r="L200" i="35"/>
  <c r="M200" i="35"/>
  <c r="E201" i="35"/>
  <c r="F201" i="35"/>
  <c r="G201" i="35"/>
  <c r="H201" i="35"/>
  <c r="I201" i="35"/>
  <c r="J201" i="35"/>
  <c r="K201" i="35"/>
  <c r="L201" i="35"/>
  <c r="M201" i="35"/>
  <c r="E187" i="35"/>
  <c r="F187" i="35"/>
  <c r="G187" i="35"/>
  <c r="H187" i="35"/>
  <c r="I187" i="35"/>
  <c r="J187" i="35"/>
  <c r="K187" i="35"/>
  <c r="L187" i="35"/>
  <c r="M187" i="35"/>
  <c r="E188" i="35"/>
  <c r="F188" i="35"/>
  <c r="G188" i="35"/>
  <c r="H188" i="35"/>
  <c r="I188" i="35"/>
  <c r="J188" i="35"/>
  <c r="K188" i="35"/>
  <c r="L188" i="35"/>
  <c r="M188" i="35"/>
  <c r="E189" i="35"/>
  <c r="F189" i="35"/>
  <c r="G189" i="35"/>
  <c r="H189" i="35"/>
  <c r="I189" i="35"/>
  <c r="J189" i="35"/>
  <c r="K189" i="35"/>
  <c r="L189" i="35"/>
  <c r="M189" i="35"/>
  <c r="E190" i="35"/>
  <c r="F190" i="35"/>
  <c r="G190" i="35"/>
  <c r="H190" i="35"/>
  <c r="I190" i="35"/>
  <c r="J190" i="35"/>
  <c r="K190" i="35"/>
  <c r="L190" i="35"/>
  <c r="M190" i="35"/>
  <c r="E191" i="35"/>
  <c r="F191" i="35"/>
  <c r="G191" i="35"/>
  <c r="H191" i="35"/>
  <c r="I191" i="35"/>
  <c r="J191" i="35"/>
  <c r="K191" i="35"/>
  <c r="L191" i="35"/>
  <c r="M191" i="35"/>
  <c r="E192" i="35"/>
  <c r="F192" i="35"/>
  <c r="G192" i="35"/>
  <c r="H192" i="35"/>
  <c r="I192" i="35"/>
  <c r="J192" i="35"/>
  <c r="K192" i="35"/>
  <c r="L192" i="35"/>
  <c r="M192" i="35"/>
  <c r="E178" i="35"/>
  <c r="F178" i="35"/>
  <c r="G178" i="35"/>
  <c r="H178" i="35"/>
  <c r="I178" i="35"/>
  <c r="J178" i="35"/>
  <c r="K178" i="35"/>
  <c r="L178" i="35"/>
  <c r="M178" i="35"/>
  <c r="E179" i="35"/>
  <c r="F179" i="35"/>
  <c r="G179" i="35"/>
  <c r="H179" i="35"/>
  <c r="I179" i="35"/>
  <c r="J179" i="35"/>
  <c r="K179" i="35"/>
  <c r="L179" i="35"/>
  <c r="M179" i="35"/>
  <c r="E180" i="35"/>
  <c r="F180" i="35"/>
  <c r="G180" i="35"/>
  <c r="H180" i="35"/>
  <c r="I180" i="35"/>
  <c r="J180" i="35"/>
  <c r="K180" i="35"/>
  <c r="L180" i="35"/>
  <c r="M180" i="35"/>
  <c r="E181" i="35"/>
  <c r="F181" i="35"/>
  <c r="G181" i="35"/>
  <c r="H181" i="35"/>
  <c r="I181" i="35"/>
  <c r="J181" i="35"/>
  <c r="K181" i="35"/>
  <c r="L181" i="35"/>
  <c r="M181" i="35"/>
  <c r="E182" i="35"/>
  <c r="F182" i="35"/>
  <c r="G182" i="35"/>
  <c r="H182" i="35"/>
  <c r="I182" i="35"/>
  <c r="J182" i="35"/>
  <c r="K182" i="35"/>
  <c r="L182" i="35"/>
  <c r="M182" i="35"/>
  <c r="E183" i="35"/>
  <c r="F183" i="35"/>
  <c r="G183" i="35"/>
  <c r="H183" i="35"/>
  <c r="I183" i="35"/>
  <c r="J183" i="35"/>
  <c r="K183" i="35"/>
  <c r="L183" i="35"/>
  <c r="M183" i="35"/>
  <c r="E202" i="35"/>
  <c r="T175" i="35"/>
  <c r="R175" i="35"/>
  <c r="E83" i="35"/>
  <c r="F83" i="35"/>
  <c r="G83" i="35"/>
  <c r="H83" i="35"/>
  <c r="I83" i="35"/>
  <c r="J83" i="35"/>
  <c r="K83" i="35"/>
  <c r="L83" i="35"/>
  <c r="M83" i="35"/>
  <c r="E84" i="35"/>
  <c r="F84" i="35"/>
  <c r="G84" i="35"/>
  <c r="H84" i="35"/>
  <c r="I84" i="35"/>
  <c r="J84" i="35"/>
  <c r="K84" i="35"/>
  <c r="L84" i="35"/>
  <c r="M84" i="35"/>
  <c r="E85" i="35"/>
  <c r="F85" i="35"/>
  <c r="G85" i="35"/>
  <c r="H85" i="35"/>
  <c r="I85" i="35"/>
  <c r="J85" i="35"/>
  <c r="K85" i="35"/>
  <c r="L85" i="35"/>
  <c r="M85" i="35"/>
  <c r="E86" i="35"/>
  <c r="F86" i="35"/>
  <c r="G86" i="35"/>
  <c r="H86" i="35"/>
  <c r="H89" i="35" s="1"/>
  <c r="I86" i="35"/>
  <c r="J86" i="35"/>
  <c r="K86" i="35"/>
  <c r="L86" i="35"/>
  <c r="M86" i="35"/>
  <c r="E87" i="35"/>
  <c r="F87" i="35"/>
  <c r="G87" i="35"/>
  <c r="H87" i="35"/>
  <c r="I87" i="35"/>
  <c r="J87" i="35"/>
  <c r="K87" i="35"/>
  <c r="L87" i="35"/>
  <c r="M87" i="35"/>
  <c r="E88" i="35"/>
  <c r="F88" i="35"/>
  <c r="G88" i="35"/>
  <c r="H88" i="35"/>
  <c r="I88" i="35"/>
  <c r="J88" i="35"/>
  <c r="K88" i="35"/>
  <c r="L88" i="35"/>
  <c r="M88" i="35"/>
  <c r="I74" i="35"/>
  <c r="J74" i="35"/>
  <c r="K74" i="35"/>
  <c r="L74" i="35"/>
  <c r="M74" i="35"/>
  <c r="I75" i="35"/>
  <c r="J75" i="35"/>
  <c r="K75" i="35"/>
  <c r="L75" i="35"/>
  <c r="M75" i="35"/>
  <c r="I76" i="35"/>
  <c r="J76" i="35"/>
  <c r="K76" i="35"/>
  <c r="L76" i="35"/>
  <c r="M76" i="35"/>
  <c r="I77" i="35"/>
  <c r="J77" i="35"/>
  <c r="K77" i="35"/>
  <c r="L77" i="35"/>
  <c r="M77" i="35"/>
  <c r="I78" i="35"/>
  <c r="J78" i="35"/>
  <c r="K78" i="35"/>
  <c r="L78" i="35"/>
  <c r="M78" i="35"/>
  <c r="I79" i="35"/>
  <c r="J79" i="35"/>
  <c r="K79" i="35"/>
  <c r="L79" i="35"/>
  <c r="M79" i="35"/>
  <c r="D65" i="35"/>
  <c r="E65" i="35"/>
  <c r="F65" i="35"/>
  <c r="G65" i="35"/>
  <c r="H65" i="35"/>
  <c r="I65" i="35"/>
  <c r="J65" i="35"/>
  <c r="K65" i="35"/>
  <c r="L65" i="35"/>
  <c r="M65" i="35"/>
  <c r="D66" i="35"/>
  <c r="E66" i="35"/>
  <c r="F66" i="35"/>
  <c r="G66" i="35"/>
  <c r="H66" i="35"/>
  <c r="I66" i="35"/>
  <c r="J66" i="35"/>
  <c r="K66" i="35"/>
  <c r="L66" i="35"/>
  <c r="M66" i="35"/>
  <c r="D67" i="35"/>
  <c r="E67" i="35"/>
  <c r="F67" i="35"/>
  <c r="G67" i="35"/>
  <c r="H67" i="35"/>
  <c r="I67" i="35"/>
  <c r="J67" i="35"/>
  <c r="K67" i="35"/>
  <c r="L67" i="35"/>
  <c r="M67" i="35"/>
  <c r="D68" i="35"/>
  <c r="E68" i="35"/>
  <c r="F68" i="35"/>
  <c r="G68" i="35"/>
  <c r="H68" i="35"/>
  <c r="I68" i="35"/>
  <c r="J68" i="35"/>
  <c r="K68" i="35"/>
  <c r="L68" i="35"/>
  <c r="M68" i="35"/>
  <c r="D69" i="35"/>
  <c r="E69" i="35"/>
  <c r="F69" i="35"/>
  <c r="G69" i="35"/>
  <c r="H69" i="35"/>
  <c r="I69" i="35"/>
  <c r="J69" i="35"/>
  <c r="K69" i="35"/>
  <c r="L69" i="35"/>
  <c r="M69" i="35"/>
  <c r="D70" i="35"/>
  <c r="E70" i="35"/>
  <c r="F70" i="35"/>
  <c r="G70" i="35"/>
  <c r="H70" i="35"/>
  <c r="I70" i="35"/>
  <c r="J70" i="35"/>
  <c r="K70" i="35"/>
  <c r="L70" i="35"/>
  <c r="M70" i="35"/>
  <c r="C70" i="35"/>
  <c r="C66" i="35"/>
  <c r="C67" i="35"/>
  <c r="C68" i="35"/>
  <c r="C69" i="35"/>
  <c r="C65" i="35"/>
  <c r="M89" i="35"/>
  <c r="T62" i="35"/>
  <c r="R62" i="35"/>
  <c r="T117" i="35"/>
  <c r="R117" i="35"/>
  <c r="T4" i="35"/>
  <c r="R4" i="35"/>
  <c r="M147" i="35"/>
  <c r="L127" i="35"/>
  <c r="L147" i="35"/>
  <c r="K127" i="35"/>
  <c r="K147" i="35"/>
  <c r="J127" i="35"/>
  <c r="J147" i="35"/>
  <c r="I127" i="35"/>
  <c r="I147" i="35"/>
  <c r="H127" i="35"/>
  <c r="H147" i="35"/>
  <c r="G127" i="35"/>
  <c r="G147" i="35"/>
  <c r="F127" i="35"/>
  <c r="F147" i="35"/>
  <c r="E127" i="35"/>
  <c r="E147" i="35"/>
  <c r="M137" i="35"/>
  <c r="L137" i="35"/>
  <c r="K137" i="35"/>
  <c r="J137" i="35"/>
  <c r="I137" i="35"/>
  <c r="E137" i="35"/>
  <c r="M127" i="35"/>
  <c r="AD142" i="35" l="1"/>
  <c r="N184" i="35"/>
  <c r="AD180" i="35" s="1"/>
  <c r="N202" i="35"/>
  <c r="AD122" i="35"/>
  <c r="F193" i="35"/>
  <c r="K202" i="35"/>
  <c r="AA197" i="35" s="1"/>
  <c r="AD126" i="35"/>
  <c r="V192" i="35"/>
  <c r="V189" i="35"/>
  <c r="V188" i="35"/>
  <c r="AD33" i="35"/>
  <c r="AD136" i="35"/>
  <c r="AD198" i="35"/>
  <c r="AD7" i="35"/>
  <c r="AD121" i="35"/>
  <c r="AD131" i="35"/>
  <c r="AD146" i="35"/>
  <c r="I80" i="35"/>
  <c r="Y77" i="35" s="1"/>
  <c r="AD132" i="35"/>
  <c r="AD29" i="35"/>
  <c r="AD125" i="35"/>
  <c r="AD135" i="35"/>
  <c r="M80" i="35"/>
  <c r="F89" i="35"/>
  <c r="V88" i="35" s="1"/>
  <c r="K89" i="35"/>
  <c r="U197" i="35"/>
  <c r="U201" i="35"/>
  <c r="U196" i="35"/>
  <c r="H184" i="35"/>
  <c r="X181" i="35" s="1"/>
  <c r="J193" i="35"/>
  <c r="AD191" i="35"/>
  <c r="I89" i="35"/>
  <c r="Y88" i="35" s="1"/>
  <c r="E89" i="35"/>
  <c r="U88" i="35" s="1"/>
  <c r="G184" i="35"/>
  <c r="W183" i="35" s="1"/>
  <c r="AA201" i="35"/>
  <c r="U200" i="35"/>
  <c r="G89" i="35"/>
  <c r="W84" i="35" s="1"/>
  <c r="M193" i="35"/>
  <c r="AC188" i="35" s="1"/>
  <c r="AD196" i="35"/>
  <c r="AD197" i="35"/>
  <c r="AD201" i="35"/>
  <c r="V191" i="35"/>
  <c r="V187" i="35"/>
  <c r="U199" i="35"/>
  <c r="Z198" i="35"/>
  <c r="L202" i="35"/>
  <c r="H202" i="35"/>
  <c r="X196" i="35" s="1"/>
  <c r="AD189" i="35"/>
  <c r="N193" i="35"/>
  <c r="AD188" i="35" s="1"/>
  <c r="AD199" i="35"/>
  <c r="G193" i="35"/>
  <c r="M202" i="35"/>
  <c r="W182" i="35"/>
  <c r="M184" i="35"/>
  <c r="W178" i="35"/>
  <c r="H193" i="35"/>
  <c r="V190" i="35"/>
  <c r="K193" i="35"/>
  <c r="AA189" i="35" s="1"/>
  <c r="W189" i="35"/>
  <c r="I193" i="35"/>
  <c r="Y188" i="35" s="1"/>
  <c r="E193" i="35"/>
  <c r="U187" i="35" s="1"/>
  <c r="AA200" i="35"/>
  <c r="I202" i="35"/>
  <c r="Y198" i="35" s="1"/>
  <c r="U198" i="35"/>
  <c r="F202" i="35"/>
  <c r="V197" i="35" s="1"/>
  <c r="G202" i="35"/>
  <c r="W197" i="35" s="1"/>
  <c r="AD10" i="35"/>
  <c r="AD8" i="35"/>
  <c r="AD13" i="35"/>
  <c r="AD9" i="35"/>
  <c r="AD12" i="35"/>
  <c r="AD178" i="35"/>
  <c r="AD200" i="35"/>
  <c r="AD183" i="35"/>
  <c r="AD141" i="35"/>
  <c r="J202" i="35"/>
  <c r="AD68" i="35"/>
  <c r="AD123" i="35"/>
  <c r="AD133" i="35"/>
  <c r="AD144" i="35"/>
  <c r="AD145" i="35"/>
  <c r="L193" i="35"/>
  <c r="AB189" i="35" s="1"/>
  <c r="AD120" i="35"/>
  <c r="AD127" i="35" s="1"/>
  <c r="AD130" i="35"/>
  <c r="AD140" i="35"/>
  <c r="X21" i="21"/>
  <c r="AB105" i="21"/>
  <c r="X105" i="21"/>
  <c r="V212" i="21"/>
  <c r="U230" i="21"/>
  <c r="U232" i="21" s="1"/>
  <c r="W163" i="21"/>
  <c r="Z9" i="21"/>
  <c r="V136" i="21"/>
  <c r="AA136" i="21"/>
  <c r="AB163" i="21"/>
  <c r="AF163" i="21" s="1"/>
  <c r="X95" i="21"/>
  <c r="Z163" i="21"/>
  <c r="AD163" i="21" s="1"/>
  <c r="Y136" i="21"/>
  <c r="N230" i="21"/>
  <c r="K230" i="21"/>
  <c r="U50" i="21"/>
  <c r="X60" i="21"/>
  <c r="X71" i="21"/>
  <c r="U71" i="21"/>
  <c r="X61" i="21"/>
  <c r="AB61" i="21"/>
  <c r="W50" i="21"/>
  <c r="X41" i="21"/>
  <c r="U41" i="21"/>
  <c r="Y41" i="21"/>
  <c r="X68" i="21"/>
  <c r="AB68" i="21"/>
  <c r="AB69" i="21"/>
  <c r="X69" i="21"/>
  <c r="U80" i="21"/>
  <c r="W71" i="21"/>
  <c r="AA71" i="21"/>
  <c r="X66" i="21"/>
  <c r="AB66" i="21"/>
  <c r="U84" i="21"/>
  <c r="V230" i="21"/>
  <c r="AA116" i="21"/>
  <c r="AB96" i="21"/>
  <c r="AB95" i="21" s="1"/>
  <c r="AB23" i="21"/>
  <c r="AB21" i="21" s="1"/>
  <c r="Z71" i="21"/>
  <c r="AB74" i="21"/>
  <c r="X116" i="21"/>
  <c r="Z41" i="21"/>
  <c r="Z84" i="21"/>
  <c r="AB85" i="21"/>
  <c r="Z80" i="21"/>
  <c r="AB81" i="21"/>
  <c r="AB128" i="21"/>
  <c r="AB126" i="21" s="1"/>
  <c r="Y126" i="21"/>
  <c r="Y63" i="21"/>
  <c r="Y80" i="21"/>
  <c r="X80" i="21"/>
  <c r="Z116" i="21"/>
  <c r="AA63" i="21"/>
  <c r="AB52" i="21"/>
  <c r="Y116" i="21"/>
  <c r="AB117" i="21"/>
  <c r="Y84" i="21"/>
  <c r="AD65" i="35"/>
  <c r="AD66" i="35"/>
  <c r="AD70" i="35"/>
  <c r="AD69" i="35"/>
  <c r="AD67" i="35"/>
  <c r="N89" i="35"/>
  <c r="AD87" i="35" s="1"/>
  <c r="AD30" i="35"/>
  <c r="AD34" i="35"/>
  <c r="AD27" i="35"/>
  <c r="AD31" i="35"/>
  <c r="AD28" i="35"/>
  <c r="AD24" i="35"/>
  <c r="AD20" i="35"/>
  <c r="AD23" i="35"/>
  <c r="AD19" i="35"/>
  <c r="AD22" i="35"/>
  <c r="AD18" i="35"/>
  <c r="AD17" i="35"/>
  <c r="N80" i="35"/>
  <c r="AD75" i="35" s="1"/>
  <c r="E184" i="35"/>
  <c r="U180" i="35" s="1"/>
  <c r="I184" i="35"/>
  <c r="L71" i="35"/>
  <c r="AB70" i="35" s="1"/>
  <c r="D71" i="35"/>
  <c r="T70" i="35" s="1"/>
  <c r="F184" i="35"/>
  <c r="V180" i="35" s="1"/>
  <c r="L184" i="35"/>
  <c r="AB67" i="35"/>
  <c r="T67" i="35"/>
  <c r="K184" i="35"/>
  <c r="J184" i="35"/>
  <c r="Z180" i="35" s="1"/>
  <c r="AB68" i="35"/>
  <c r="AB131" i="35"/>
  <c r="AA132" i="35"/>
  <c r="W121" i="35"/>
  <c r="AA125" i="35"/>
  <c r="AC78" i="35"/>
  <c r="Y78" i="35"/>
  <c r="L80" i="35"/>
  <c r="AB75" i="35" s="1"/>
  <c r="AC74" i="35"/>
  <c r="AA87" i="35"/>
  <c r="L89" i="35"/>
  <c r="AB86" i="35" s="1"/>
  <c r="X86" i="35"/>
  <c r="AC85" i="35"/>
  <c r="U85" i="35"/>
  <c r="AA83" i="35"/>
  <c r="Z146" i="35"/>
  <c r="AB144" i="35"/>
  <c r="AC77" i="35"/>
  <c r="AC88" i="35"/>
  <c r="J89" i="35"/>
  <c r="Z87" i="35" s="1"/>
  <c r="AA86" i="35"/>
  <c r="W86" i="35"/>
  <c r="X85" i="35"/>
  <c r="AC84" i="35"/>
  <c r="U84" i="35"/>
  <c r="AC134" i="35"/>
  <c r="V121" i="35"/>
  <c r="X126" i="35"/>
  <c r="Z124" i="35"/>
  <c r="AB122" i="35"/>
  <c r="AB65" i="35"/>
  <c r="H71" i="35"/>
  <c r="X66" i="35" s="1"/>
  <c r="AC76" i="35"/>
  <c r="Y76" i="35"/>
  <c r="X88" i="35"/>
  <c r="AC87" i="35"/>
  <c r="Y87" i="35"/>
  <c r="U87" i="35"/>
  <c r="AA85" i="35"/>
  <c r="W85" i="35"/>
  <c r="X84" i="35"/>
  <c r="AC83" i="35"/>
  <c r="U83" i="35"/>
  <c r="AC79" i="35"/>
  <c r="Y79" i="35"/>
  <c r="AC75" i="35"/>
  <c r="Y75" i="35"/>
  <c r="AA88" i="35"/>
  <c r="W88" i="35"/>
  <c r="X87" i="35"/>
  <c r="AC86" i="35"/>
  <c r="Y86" i="35"/>
  <c r="U86" i="35"/>
  <c r="AA84" i="35"/>
  <c r="AB83" i="35"/>
  <c r="X83" i="35"/>
  <c r="J80" i="35"/>
  <c r="Z79" i="35" s="1"/>
  <c r="K80" i="35"/>
  <c r="AA79" i="35" s="1"/>
  <c r="J71" i="35"/>
  <c r="Z65" i="35" s="1"/>
  <c r="C71" i="35"/>
  <c r="S67" i="35" s="1"/>
  <c r="M71" i="35"/>
  <c r="AC70" i="35" s="1"/>
  <c r="I71" i="35"/>
  <c r="Y65" i="35" s="1"/>
  <c r="K71" i="35"/>
  <c r="AA67" i="35" s="1"/>
  <c r="G71" i="35"/>
  <c r="W69" i="35" s="1"/>
  <c r="E71" i="35"/>
  <c r="U69" i="35" s="1"/>
  <c r="F71" i="35"/>
  <c r="V70" i="35" s="1"/>
  <c r="AC126" i="35"/>
  <c r="AC122" i="35"/>
  <c r="AC124" i="35"/>
  <c r="Y133" i="35"/>
  <c r="Y136" i="35"/>
  <c r="Y135" i="35"/>
  <c r="Y131" i="35"/>
  <c r="U126" i="35"/>
  <c r="U124" i="35"/>
  <c r="Y126" i="35"/>
  <c r="Y122" i="35"/>
  <c r="Y124" i="35"/>
  <c r="U133" i="35"/>
  <c r="U136" i="35"/>
  <c r="U135" i="35"/>
  <c r="U131" i="35"/>
  <c r="Z136" i="35"/>
  <c r="Z132" i="35"/>
  <c r="Z135" i="35"/>
  <c r="Z134" i="35"/>
  <c r="Z130" i="35"/>
  <c r="V145" i="35"/>
  <c r="V143" i="35"/>
  <c r="V140" i="35"/>
  <c r="V146" i="35"/>
  <c r="V144" i="35"/>
  <c r="V141" i="35"/>
  <c r="V142" i="35"/>
  <c r="X144" i="35"/>
  <c r="X141" i="35"/>
  <c r="X142" i="35"/>
  <c r="X145" i="35"/>
  <c r="X143" i="35"/>
  <c r="X140" i="35"/>
  <c r="X146" i="35"/>
  <c r="V120" i="35"/>
  <c r="Z120" i="35"/>
  <c r="U121" i="35"/>
  <c r="Y121" i="35"/>
  <c r="AC121" i="35"/>
  <c r="Z122" i="35"/>
  <c r="Y123" i="35"/>
  <c r="X124" i="35"/>
  <c r="W125" i="35"/>
  <c r="V126" i="35"/>
  <c r="U130" i="35"/>
  <c r="AC130" i="35"/>
  <c r="U134" i="35"/>
  <c r="W120" i="35"/>
  <c r="AA120" i="35"/>
  <c r="Z121" i="35"/>
  <c r="U122" i="35"/>
  <c r="AA123" i="35"/>
  <c r="Y125" i="35"/>
  <c r="U132" i="35"/>
  <c r="AC132" i="35"/>
  <c r="Y134" i="35"/>
  <c r="AA136" i="35"/>
  <c r="AA135" i="35"/>
  <c r="AA131" i="35"/>
  <c r="AA134" i="35"/>
  <c r="AA133" i="35"/>
  <c r="V125" i="35"/>
  <c r="V123" i="35"/>
  <c r="X123" i="35"/>
  <c r="X125" i="35"/>
  <c r="Z125" i="35"/>
  <c r="Z123" i="35"/>
  <c r="AB123" i="35"/>
  <c r="AB125" i="35"/>
  <c r="AB135" i="35"/>
  <c r="AB134" i="35"/>
  <c r="AB130" i="35"/>
  <c r="AB133" i="35"/>
  <c r="AB136" i="35"/>
  <c r="AB132" i="35"/>
  <c r="U142" i="35"/>
  <c r="U145" i="35"/>
  <c r="U143" i="35"/>
  <c r="U140" i="35"/>
  <c r="U146" i="35"/>
  <c r="U144" i="35"/>
  <c r="U141" i="35"/>
  <c r="W146" i="35"/>
  <c r="W144" i="35"/>
  <c r="W141" i="35"/>
  <c r="W142" i="35"/>
  <c r="W145" i="35"/>
  <c r="W143" i="35"/>
  <c r="W140" i="35"/>
  <c r="Y142" i="35"/>
  <c r="Y145" i="35"/>
  <c r="Y143" i="35"/>
  <c r="Y140" i="35"/>
  <c r="Y146" i="35"/>
  <c r="Y144" i="35"/>
  <c r="Y141" i="35"/>
  <c r="AA144" i="35"/>
  <c r="AA145" i="35"/>
  <c r="AA141" i="35"/>
  <c r="AA142" i="35"/>
  <c r="AC143" i="35"/>
  <c r="AC140" i="35"/>
  <c r="AC146" i="35"/>
  <c r="AC141" i="35"/>
  <c r="AC144" i="35"/>
  <c r="AC142" i="35"/>
  <c r="AC145" i="35"/>
  <c r="X120" i="35"/>
  <c r="AB120" i="35"/>
  <c r="AA121" i="35"/>
  <c r="V122" i="35"/>
  <c r="U123" i="35"/>
  <c r="AC123" i="35"/>
  <c r="AB124" i="35"/>
  <c r="Z126" i="35"/>
  <c r="Y130" i="35"/>
  <c r="AC133" i="35"/>
  <c r="AC136" i="35"/>
  <c r="AC135" i="35"/>
  <c r="AC131" i="35"/>
  <c r="W124" i="35"/>
  <c r="W126" i="35"/>
  <c r="W122" i="35"/>
  <c r="AA124" i="35"/>
  <c r="AA126" i="35"/>
  <c r="AA122" i="35"/>
  <c r="U120" i="35"/>
  <c r="Y120" i="35"/>
  <c r="AC120" i="35"/>
  <c r="X121" i="35"/>
  <c r="AB121" i="35"/>
  <c r="X122" i="35"/>
  <c r="W123" i="35"/>
  <c r="V124" i="35"/>
  <c r="U125" i="35"/>
  <c r="AC125" i="35"/>
  <c r="AB126" i="35"/>
  <c r="AA130" i="35"/>
  <c r="Z131" i="35"/>
  <c r="Y132" i="35"/>
  <c r="Z133" i="35"/>
  <c r="AB141" i="35"/>
  <c r="Z143" i="35"/>
  <c r="AB145" i="35"/>
  <c r="AA146" i="35"/>
  <c r="Z140" i="35"/>
  <c r="AB142" i="35"/>
  <c r="AA143" i="35"/>
  <c r="Z144" i="35"/>
  <c r="AB146" i="35"/>
  <c r="AA140" i="35"/>
  <c r="Z141" i="35"/>
  <c r="AB143" i="35"/>
  <c r="Z145" i="35"/>
  <c r="AB140" i="35"/>
  <c r="Z142" i="35"/>
  <c r="G137" i="35"/>
  <c r="H137" i="35"/>
  <c r="F137" i="35"/>
  <c r="M34" i="35"/>
  <c r="AC31" i="35" s="1"/>
  <c r="L34" i="35"/>
  <c r="K34" i="35"/>
  <c r="AA31" i="35" s="1"/>
  <c r="J34" i="35"/>
  <c r="Z31" i="35" s="1"/>
  <c r="I34" i="35"/>
  <c r="H34" i="35"/>
  <c r="G34" i="35"/>
  <c r="W33" i="35" s="1"/>
  <c r="F34" i="35"/>
  <c r="V33" i="35" s="1"/>
  <c r="E34" i="35"/>
  <c r="U33" i="35" s="1"/>
  <c r="M24" i="35"/>
  <c r="AC23" i="35" s="1"/>
  <c r="L24" i="35"/>
  <c r="AB23" i="35" s="1"/>
  <c r="K24" i="35"/>
  <c r="J24" i="35"/>
  <c r="Z23" i="35" s="1"/>
  <c r="I24" i="35"/>
  <c r="Y23" i="35" s="1"/>
  <c r="M14" i="35"/>
  <c r="AC12" i="35" s="1"/>
  <c r="L14" i="35"/>
  <c r="AB12" i="35" s="1"/>
  <c r="K14" i="35"/>
  <c r="AA12" i="35" s="1"/>
  <c r="J14" i="35"/>
  <c r="I14" i="35"/>
  <c r="Y12" i="35" s="1"/>
  <c r="H14" i="35"/>
  <c r="X12" i="35" s="1"/>
  <c r="G14" i="35"/>
  <c r="W12" i="35" s="1"/>
  <c r="F14" i="35"/>
  <c r="E14" i="35"/>
  <c r="U8" i="35" s="1"/>
  <c r="D14" i="35"/>
  <c r="T8" i="35" s="1"/>
  <c r="H17" i="35"/>
  <c r="H74" i="35" s="1"/>
  <c r="H18" i="35"/>
  <c r="H75" i="35" s="1"/>
  <c r="H19" i="35"/>
  <c r="H76" i="35" s="1"/>
  <c r="H20" i="35"/>
  <c r="H77" i="35" s="1"/>
  <c r="H21" i="35"/>
  <c r="H78" i="35" s="1"/>
  <c r="H22" i="35"/>
  <c r="H23" i="35"/>
  <c r="H79" i="35" s="1"/>
  <c r="G22" i="35"/>
  <c r="G23" i="35"/>
  <c r="G79" i="35" s="1"/>
  <c r="G21" i="35"/>
  <c r="G78" i="35" s="1"/>
  <c r="G20" i="35"/>
  <c r="G77" i="35" s="1"/>
  <c r="G19" i="35"/>
  <c r="G76" i="35" s="1"/>
  <c r="G18" i="35"/>
  <c r="G75" i="35" s="1"/>
  <c r="G17" i="35"/>
  <c r="G74" i="35" s="1"/>
  <c r="F23" i="35"/>
  <c r="F79" i="35" s="1"/>
  <c r="F21" i="35"/>
  <c r="F78" i="35" s="1"/>
  <c r="F20" i="35"/>
  <c r="F77" i="35" s="1"/>
  <c r="F19" i="35"/>
  <c r="F76" i="35" s="1"/>
  <c r="F18" i="35"/>
  <c r="F75" i="35" s="1"/>
  <c r="F17" i="35"/>
  <c r="F74" i="35" s="1"/>
  <c r="E23" i="35"/>
  <c r="E79" i="35" s="1"/>
  <c r="E21" i="35"/>
  <c r="E78" i="35" s="1"/>
  <c r="E20" i="35"/>
  <c r="E77" i="35" s="1"/>
  <c r="E19" i="35"/>
  <c r="E76" i="35" s="1"/>
  <c r="E18" i="35"/>
  <c r="E75" i="35" s="1"/>
  <c r="E17" i="35"/>
  <c r="E74" i="35" s="1"/>
  <c r="C14" i="35"/>
  <c r="S10" i="35" s="1"/>
  <c r="AB77" i="35" l="1"/>
  <c r="AD14" i="35"/>
  <c r="AA198" i="35"/>
  <c r="AD181" i="35"/>
  <c r="X147" i="35"/>
  <c r="V147" i="35"/>
  <c r="AB66" i="35"/>
  <c r="AC192" i="35"/>
  <c r="AA199" i="35"/>
  <c r="AB69" i="35"/>
  <c r="AD182" i="35"/>
  <c r="AD184" i="35" s="1"/>
  <c r="AA196" i="35"/>
  <c r="X199" i="35"/>
  <c r="AC187" i="35"/>
  <c r="AC191" i="35"/>
  <c r="AD179" i="35"/>
  <c r="AD147" i="35"/>
  <c r="U191" i="35"/>
  <c r="V179" i="35"/>
  <c r="AA190" i="35"/>
  <c r="U202" i="35"/>
  <c r="Z85" i="35"/>
  <c r="V86" i="35"/>
  <c r="Y74" i="35"/>
  <c r="V183" i="35"/>
  <c r="U188" i="35"/>
  <c r="Y127" i="35"/>
  <c r="AC137" i="35"/>
  <c r="AC147" i="35"/>
  <c r="AB137" i="35"/>
  <c r="X69" i="35"/>
  <c r="V87" i="35"/>
  <c r="AB188" i="35"/>
  <c r="AB76" i="35"/>
  <c r="AA181" i="35"/>
  <c r="AA180" i="35"/>
  <c r="AB180" i="35"/>
  <c r="AB183" i="35"/>
  <c r="AB179" i="35"/>
  <c r="Y183" i="35"/>
  <c r="Y179" i="35"/>
  <c r="Y182" i="35"/>
  <c r="Y178" i="35"/>
  <c r="AD74" i="35"/>
  <c r="AD86" i="35"/>
  <c r="X191" i="35"/>
  <c r="X187" i="35"/>
  <c r="X190" i="35"/>
  <c r="AC183" i="35"/>
  <c r="AC179" i="35"/>
  <c r="AC182" i="35"/>
  <c r="AC178" i="35"/>
  <c r="AC201" i="35"/>
  <c r="AC197" i="35"/>
  <c r="AC200" i="35"/>
  <c r="AC196" i="35"/>
  <c r="AB198" i="35"/>
  <c r="AB197" i="35"/>
  <c r="AB201" i="35"/>
  <c r="X200" i="35"/>
  <c r="Z189" i="35"/>
  <c r="Z192" i="35"/>
  <c r="Z188" i="35"/>
  <c r="X180" i="35"/>
  <c r="X179" i="35"/>
  <c r="X183" i="35"/>
  <c r="AB182" i="35"/>
  <c r="V85" i="35"/>
  <c r="Y83" i="35"/>
  <c r="T69" i="35"/>
  <c r="V83" i="35"/>
  <c r="W83" i="35"/>
  <c r="Y85" i="35"/>
  <c r="W87" i="35"/>
  <c r="T66" i="35"/>
  <c r="T68" i="35"/>
  <c r="T65" i="35"/>
  <c r="V182" i="35"/>
  <c r="V181" i="35"/>
  <c r="V178" i="35"/>
  <c r="U183" i="35"/>
  <c r="U179" i="35"/>
  <c r="U178" i="35"/>
  <c r="U182" i="35"/>
  <c r="AD84" i="35"/>
  <c r="AB191" i="35"/>
  <c r="AB187" i="35"/>
  <c r="AB190" i="35"/>
  <c r="AB199" i="35"/>
  <c r="U190" i="35"/>
  <c r="U189" i="35"/>
  <c r="X188" i="35"/>
  <c r="AA188" i="35"/>
  <c r="AA192" i="35"/>
  <c r="AA187" i="35"/>
  <c r="AA191" i="35"/>
  <c r="Y191" i="35"/>
  <c r="AB192" i="35"/>
  <c r="Z179" i="35"/>
  <c r="AC180" i="35"/>
  <c r="AA182" i="35"/>
  <c r="W192" i="35"/>
  <c r="W188" i="35"/>
  <c r="W191" i="35"/>
  <c r="W187" i="35"/>
  <c r="AB200" i="35"/>
  <c r="W190" i="35"/>
  <c r="U192" i="35"/>
  <c r="AB178" i="35"/>
  <c r="U181" i="35"/>
  <c r="AD77" i="35"/>
  <c r="AD83" i="35"/>
  <c r="W201" i="35"/>
  <c r="W199" i="35"/>
  <c r="W198" i="35"/>
  <c r="V196" i="35"/>
  <c r="V201" i="35"/>
  <c r="V200" i="35"/>
  <c r="V199" i="35"/>
  <c r="Y201" i="35"/>
  <c r="Y197" i="35"/>
  <c r="Y200" i="35"/>
  <c r="Y196" i="35"/>
  <c r="W200" i="35"/>
  <c r="Y190" i="35"/>
  <c r="Y189" i="35"/>
  <c r="X198" i="35"/>
  <c r="X201" i="35"/>
  <c r="X197" i="35"/>
  <c r="Y199" i="35"/>
  <c r="AD202" i="35"/>
  <c r="AC181" i="35"/>
  <c r="W181" i="35"/>
  <c r="W180" i="35"/>
  <c r="Y192" i="35"/>
  <c r="W179" i="35"/>
  <c r="Y181" i="35"/>
  <c r="AB87" i="35"/>
  <c r="AB88" i="35"/>
  <c r="Y84" i="35"/>
  <c r="V84" i="35"/>
  <c r="Z182" i="35"/>
  <c r="Z178" i="35"/>
  <c r="Z181" i="35"/>
  <c r="AD78" i="35"/>
  <c r="AD85" i="35"/>
  <c r="AD137" i="35"/>
  <c r="Z200" i="35"/>
  <c r="Z201" i="35"/>
  <c r="Z196" i="35"/>
  <c r="Z199" i="35"/>
  <c r="W196" i="35"/>
  <c r="Z197" i="35"/>
  <c r="AC198" i="35"/>
  <c r="Y187" i="35"/>
  <c r="Z190" i="35"/>
  <c r="X192" i="35"/>
  <c r="AA178" i="35"/>
  <c r="Y180" i="35"/>
  <c r="AB181" i="35"/>
  <c r="Z183" i="35"/>
  <c r="AD192" i="35"/>
  <c r="AD187" i="35"/>
  <c r="AD190" i="35"/>
  <c r="AB196" i="35"/>
  <c r="V198" i="35"/>
  <c r="AC199" i="35"/>
  <c r="Z187" i="35"/>
  <c r="X189" i="35"/>
  <c r="AC190" i="35"/>
  <c r="AC189" i="35"/>
  <c r="AA183" i="35"/>
  <c r="Z191" i="35"/>
  <c r="X178" i="35"/>
  <c r="X184" i="35" s="1"/>
  <c r="AA179" i="35"/>
  <c r="X182" i="35"/>
  <c r="AA163" i="21"/>
  <c r="AE163" i="21" s="1"/>
  <c r="Z136" i="21"/>
  <c r="X63" i="21"/>
  <c r="X50" i="21"/>
  <c r="AB41" i="21"/>
  <c r="AA50" i="21"/>
  <c r="AB71" i="21"/>
  <c r="AB60" i="21"/>
  <c r="Y50" i="21"/>
  <c r="AB116" i="21"/>
  <c r="V11" i="21"/>
  <c r="Z11" i="21"/>
  <c r="U11" i="21"/>
  <c r="AB80" i="21"/>
  <c r="AB84" i="21"/>
  <c r="AB63" i="21"/>
  <c r="AA11" i="21"/>
  <c r="W11" i="21"/>
  <c r="AD88" i="35"/>
  <c r="AD79" i="35"/>
  <c r="AD76" i="35"/>
  <c r="U70" i="35"/>
  <c r="Z74" i="35"/>
  <c r="AA77" i="35"/>
  <c r="U66" i="35"/>
  <c r="AA74" i="35"/>
  <c r="AB74" i="35"/>
  <c r="AB78" i="35"/>
  <c r="AA76" i="35"/>
  <c r="AC69" i="35"/>
  <c r="W147" i="35"/>
  <c r="Z78" i="35"/>
  <c r="Y66" i="35"/>
  <c r="AA75" i="35"/>
  <c r="Y67" i="35"/>
  <c r="AB193" i="35"/>
  <c r="X65" i="35"/>
  <c r="S65" i="35"/>
  <c r="Z137" i="35"/>
  <c r="AC67" i="35"/>
  <c r="V67" i="35"/>
  <c r="S70" i="35"/>
  <c r="V69" i="35"/>
  <c r="AB79" i="35"/>
  <c r="W66" i="35"/>
  <c r="Y68" i="35"/>
  <c r="F80" i="35"/>
  <c r="V74" i="35" s="1"/>
  <c r="G80" i="35"/>
  <c r="W79" i="35" s="1"/>
  <c r="AA69" i="35"/>
  <c r="S68" i="35"/>
  <c r="S69" i="35"/>
  <c r="Z88" i="35"/>
  <c r="X70" i="35"/>
  <c r="X67" i="35"/>
  <c r="AC65" i="35"/>
  <c r="Y69" i="35"/>
  <c r="S66" i="35"/>
  <c r="X68" i="35"/>
  <c r="W65" i="35"/>
  <c r="U68" i="35"/>
  <c r="E80" i="35"/>
  <c r="U77" i="35" s="1"/>
  <c r="AC66" i="35"/>
  <c r="Y70" i="35"/>
  <c r="Z75" i="35"/>
  <c r="AA78" i="35"/>
  <c r="V68" i="35"/>
  <c r="Z83" i="35"/>
  <c r="Z76" i="35"/>
  <c r="W68" i="35"/>
  <c r="Z84" i="35"/>
  <c r="Z77" i="35"/>
  <c r="Z67" i="35"/>
  <c r="U184" i="35"/>
  <c r="V66" i="35"/>
  <c r="U65" i="35"/>
  <c r="AA66" i="35"/>
  <c r="W70" i="35"/>
  <c r="V65" i="35"/>
  <c r="Z69" i="35"/>
  <c r="W67" i="35"/>
  <c r="AC68" i="35"/>
  <c r="Y137" i="35"/>
  <c r="Y147" i="35"/>
  <c r="AA65" i="35"/>
  <c r="W75" i="35"/>
  <c r="H80" i="35"/>
  <c r="X77" i="35" s="1"/>
  <c r="AA202" i="35"/>
  <c r="AB84" i="35"/>
  <c r="Z86" i="35"/>
  <c r="Z68" i="35"/>
  <c r="Z70" i="35"/>
  <c r="AB85" i="35"/>
  <c r="U67" i="35"/>
  <c r="AA68" i="35"/>
  <c r="Z66" i="35"/>
  <c r="AA70" i="35"/>
  <c r="U147" i="35"/>
  <c r="AA137" i="35"/>
  <c r="AA127" i="35"/>
  <c r="W127" i="35"/>
  <c r="V127" i="35"/>
  <c r="Z127" i="35"/>
  <c r="U137" i="35"/>
  <c r="AA147" i="35"/>
  <c r="AC127" i="35"/>
  <c r="X30" i="35"/>
  <c r="V7" i="35"/>
  <c r="Z7" i="35"/>
  <c r="S8" i="35"/>
  <c r="W8" i="35"/>
  <c r="AA8" i="35"/>
  <c r="T9" i="35"/>
  <c r="X9" i="35"/>
  <c r="AB9" i="35"/>
  <c r="U10" i="35"/>
  <c r="Y10" i="35"/>
  <c r="AC10" i="35"/>
  <c r="V11" i="35"/>
  <c r="Z11" i="35"/>
  <c r="V13" i="35"/>
  <c r="Z13" i="35"/>
  <c r="Z17" i="35"/>
  <c r="Z18" i="35"/>
  <c r="Z19" i="35"/>
  <c r="Z20" i="35"/>
  <c r="Z21" i="35"/>
  <c r="AB22" i="35"/>
  <c r="W27" i="35"/>
  <c r="AC27" i="35"/>
  <c r="Z28" i="35"/>
  <c r="U29" i="35"/>
  <c r="AA29" i="35"/>
  <c r="V30" i="35"/>
  <c r="AB30" i="35"/>
  <c r="W31" i="35"/>
  <c r="Z32" i="35"/>
  <c r="AA33" i="35"/>
  <c r="X127" i="35"/>
  <c r="Y33" i="35"/>
  <c r="S7" i="35"/>
  <c r="W7" i="35"/>
  <c r="AA7" i="35"/>
  <c r="X8" i="35"/>
  <c r="AB8" i="35"/>
  <c r="U9" i="35"/>
  <c r="Y9" i="35"/>
  <c r="AC9" i="35"/>
  <c r="V10" i="35"/>
  <c r="Z10" i="35"/>
  <c r="S11" i="35"/>
  <c r="W11" i="35"/>
  <c r="AA11" i="35"/>
  <c r="W13" i="35"/>
  <c r="AA13" i="35"/>
  <c r="AA17" i="35"/>
  <c r="AA18" i="35"/>
  <c r="AA19" i="35"/>
  <c r="AA20" i="35"/>
  <c r="AA21" i="35"/>
  <c r="Y22" i="35"/>
  <c r="AC22" i="35"/>
  <c r="Z27" i="35"/>
  <c r="U28" i="35"/>
  <c r="AA28" i="35"/>
  <c r="V29" i="35"/>
  <c r="AB29" i="35"/>
  <c r="W30" i="35"/>
  <c r="AC30" i="35"/>
  <c r="U32" i="35"/>
  <c r="AA32" i="35"/>
  <c r="AB33" i="35"/>
  <c r="V136" i="35"/>
  <c r="V132" i="35"/>
  <c r="V135" i="35"/>
  <c r="V134" i="35"/>
  <c r="V130" i="35"/>
  <c r="V133" i="35"/>
  <c r="V131" i="35"/>
  <c r="T7" i="35"/>
  <c r="X7" i="35"/>
  <c r="AB7" i="35"/>
  <c r="Y8" i="35"/>
  <c r="AC8" i="35"/>
  <c r="V9" i="35"/>
  <c r="Z9" i="35"/>
  <c r="W10" i="35"/>
  <c r="AA10" i="35"/>
  <c r="T11" i="35"/>
  <c r="X11" i="35"/>
  <c r="AB11" i="35"/>
  <c r="X13" i="35"/>
  <c r="AB13" i="35"/>
  <c r="AB17" i="35"/>
  <c r="AB18" i="35"/>
  <c r="AB19" i="35"/>
  <c r="AB20" i="35"/>
  <c r="AB21" i="35"/>
  <c r="Z22" i="35"/>
  <c r="U27" i="35"/>
  <c r="AA27" i="35"/>
  <c r="V28" i="35"/>
  <c r="AB28" i="35"/>
  <c r="W29" i="35"/>
  <c r="AC29" i="35"/>
  <c r="Z30" i="35"/>
  <c r="U31" i="35"/>
  <c r="V32" i="35"/>
  <c r="AB32" i="35"/>
  <c r="AC33" i="35"/>
  <c r="X135" i="35"/>
  <c r="X134" i="35"/>
  <c r="X130" i="35"/>
  <c r="X133" i="35"/>
  <c r="X136" i="35"/>
  <c r="X132" i="35"/>
  <c r="X131" i="35"/>
  <c r="AB147" i="35"/>
  <c r="Z147" i="35"/>
  <c r="U7" i="35"/>
  <c r="Y7" i="35"/>
  <c r="AC7" i="35"/>
  <c r="V8" i="35"/>
  <c r="Z8" i="35"/>
  <c r="S9" i="35"/>
  <c r="W9" i="35"/>
  <c r="AA9" i="35"/>
  <c r="T10" i="35"/>
  <c r="X10" i="35"/>
  <c r="AB10" i="35"/>
  <c r="U11" i="35"/>
  <c r="Y11" i="35"/>
  <c r="AC11" i="35"/>
  <c r="Z12" i="35"/>
  <c r="U13" i="35"/>
  <c r="Y13" i="35"/>
  <c r="AC13" i="35"/>
  <c r="Y17" i="35"/>
  <c r="AC17" i="35"/>
  <c r="Y18" i="35"/>
  <c r="AC18" i="35"/>
  <c r="Y19" i="35"/>
  <c r="AC19" i="35"/>
  <c r="Y20" i="35"/>
  <c r="AC20" i="35"/>
  <c r="Y21" i="35"/>
  <c r="AC21" i="35"/>
  <c r="AA22" i="35"/>
  <c r="AA23" i="35"/>
  <c r="V27" i="35"/>
  <c r="AB27" i="35"/>
  <c r="W28" i="35"/>
  <c r="AC28" i="35"/>
  <c r="Z29" i="35"/>
  <c r="U30" i="35"/>
  <c r="AA30" i="35"/>
  <c r="V31" i="35"/>
  <c r="AB31" i="35"/>
  <c r="W32" i="35"/>
  <c r="AC32" i="35"/>
  <c r="Z33" i="35"/>
  <c r="W136" i="35"/>
  <c r="W135" i="35"/>
  <c r="W131" i="35"/>
  <c r="W134" i="35"/>
  <c r="W133" i="35"/>
  <c r="W132" i="35"/>
  <c r="W130" i="35"/>
  <c r="AB127" i="35"/>
  <c r="U127" i="35"/>
  <c r="X27" i="35"/>
  <c r="Y30" i="35"/>
  <c r="X31" i="35"/>
  <c r="Y27" i="35"/>
  <c r="X28" i="35"/>
  <c r="Y31" i="35"/>
  <c r="X32" i="35"/>
  <c r="Y28" i="35"/>
  <c r="X29" i="35"/>
  <c r="Y32" i="35"/>
  <c r="X33" i="35"/>
  <c r="Y29" i="35"/>
  <c r="W14" i="35"/>
  <c r="F24" i="35"/>
  <c r="V17" i="35" s="1"/>
  <c r="E24" i="35"/>
  <c r="G24" i="35"/>
  <c r="H24" i="35"/>
  <c r="F180" i="12"/>
  <c r="F179" i="12"/>
  <c r="F178" i="12"/>
  <c r="F176" i="12"/>
  <c r="F175" i="12"/>
  <c r="F174" i="12"/>
  <c r="F173" i="12"/>
  <c r="F171" i="12"/>
  <c r="F170" i="12"/>
  <c r="F169" i="12"/>
  <c r="F168" i="12"/>
  <c r="F166" i="12"/>
  <c r="F165" i="12"/>
  <c r="F164" i="12"/>
  <c r="F163" i="12"/>
  <c r="F155" i="12"/>
  <c r="D180" i="12"/>
  <c r="D179" i="12"/>
  <c r="D178" i="12"/>
  <c r="D176" i="12"/>
  <c r="D175" i="12"/>
  <c r="D174" i="12"/>
  <c r="D173" i="12"/>
  <c r="D171" i="12"/>
  <c r="D170" i="12"/>
  <c r="D169" i="12"/>
  <c r="D168" i="12"/>
  <c r="D166" i="12"/>
  <c r="D165" i="12"/>
  <c r="D164" i="12"/>
  <c r="D163" i="12"/>
  <c r="D155" i="12"/>
  <c r="Y184" i="35" l="1"/>
  <c r="S14" i="35"/>
  <c r="Z193" i="35"/>
  <c r="AC202" i="35"/>
  <c r="AA193" i="35"/>
  <c r="W202" i="35"/>
  <c r="W184" i="35"/>
  <c r="U193" i="35"/>
  <c r="V184" i="35"/>
  <c r="AD80" i="35"/>
  <c r="AA184" i="35"/>
  <c r="AC193" i="35"/>
  <c r="AB202" i="35"/>
  <c r="Z184" i="35"/>
  <c r="Z202" i="35"/>
  <c r="X202" i="35"/>
  <c r="Y193" i="35"/>
  <c r="Y202" i="35"/>
  <c r="V202" i="35"/>
  <c r="AB184" i="35"/>
  <c r="AD89" i="35"/>
  <c r="AC184" i="35"/>
  <c r="W77" i="35"/>
  <c r="AD193" i="35"/>
  <c r="AB50" i="21"/>
  <c r="X11" i="21"/>
  <c r="AB11" i="21"/>
  <c r="Y11" i="21"/>
  <c r="W78" i="35"/>
  <c r="X74" i="35"/>
  <c r="W74" i="35"/>
  <c r="X14" i="35"/>
  <c r="V193" i="35"/>
  <c r="U74" i="35"/>
  <c r="T14" i="35"/>
  <c r="W76" i="35"/>
  <c r="W34" i="35"/>
  <c r="V77" i="35"/>
  <c r="X193" i="35"/>
  <c r="W193" i="35"/>
  <c r="U76" i="35"/>
  <c r="U34" i="35"/>
  <c r="AA14" i="35"/>
  <c r="X78" i="35"/>
  <c r="U79" i="35"/>
  <c r="V76" i="35"/>
  <c r="X76" i="35"/>
  <c r="V78" i="35"/>
  <c r="X79" i="35"/>
  <c r="V75" i="35"/>
  <c r="V34" i="35"/>
  <c r="AB14" i="35"/>
  <c r="U75" i="35"/>
  <c r="X75" i="35"/>
  <c r="U78" i="35"/>
  <c r="V79" i="35"/>
  <c r="W137" i="35"/>
  <c r="AC34" i="35"/>
  <c r="V137" i="35"/>
  <c r="AB89" i="35"/>
  <c r="AA80" i="35"/>
  <c r="Z89" i="35"/>
  <c r="AC89" i="35"/>
  <c r="AB80" i="35"/>
  <c r="Z71" i="35"/>
  <c r="V71" i="35"/>
  <c r="Z80" i="35"/>
  <c r="X137" i="35"/>
  <c r="V89" i="35"/>
  <c r="Y80" i="35"/>
  <c r="AB71" i="35"/>
  <c r="T71" i="35"/>
  <c r="AA71" i="35"/>
  <c r="AC14" i="35"/>
  <c r="V21" i="35"/>
  <c r="U23" i="35"/>
  <c r="U21" i="35"/>
  <c r="V18" i="35"/>
  <c r="Y71" i="35"/>
  <c r="AC80" i="35"/>
  <c r="AA34" i="35"/>
  <c r="Y14" i="35"/>
  <c r="Z14" i="35"/>
  <c r="U20" i="35"/>
  <c r="W21" i="35"/>
  <c r="U17" i="35"/>
  <c r="W23" i="35"/>
  <c r="AB34" i="35"/>
  <c r="AC24" i="35"/>
  <c r="W89" i="35"/>
  <c r="S71" i="35"/>
  <c r="X71" i="35"/>
  <c r="AA24" i="35"/>
  <c r="Y89" i="35"/>
  <c r="U89" i="35"/>
  <c r="W71" i="35"/>
  <c r="AB24" i="35"/>
  <c r="U14" i="35"/>
  <c r="V14" i="35"/>
  <c r="X89" i="35"/>
  <c r="W22" i="35"/>
  <c r="U19" i="35"/>
  <c r="W17" i="35"/>
  <c r="W20" i="35"/>
  <c r="V20" i="35"/>
  <c r="Y24" i="35"/>
  <c r="AA89" i="35"/>
  <c r="AC71" i="35"/>
  <c r="U71" i="35"/>
  <c r="Z34" i="35"/>
  <c r="Z24" i="35"/>
  <c r="W19" i="35"/>
  <c r="W18" i="35"/>
  <c r="V19" i="35"/>
  <c r="V23" i="35"/>
  <c r="U18" i="35"/>
  <c r="X23" i="35"/>
  <c r="X21" i="35"/>
  <c r="X17" i="35"/>
  <c r="X20" i="35"/>
  <c r="X19" i="35"/>
  <c r="X18" i="35"/>
  <c r="X34" i="35"/>
  <c r="Y34" i="35"/>
  <c r="X22" i="35"/>
  <c r="G180" i="12"/>
  <c r="G179" i="12"/>
  <c r="G178" i="12"/>
  <c r="E177" i="12"/>
  <c r="C177" i="12"/>
  <c r="D177" i="12" s="1"/>
  <c r="G176" i="12"/>
  <c r="G175" i="12"/>
  <c r="G174" i="12"/>
  <c r="G173" i="12"/>
  <c r="E172" i="12"/>
  <c r="F172" i="12" s="1"/>
  <c r="C172" i="12"/>
  <c r="D172" i="12" s="1"/>
  <c r="G171" i="12"/>
  <c r="G170" i="12"/>
  <c r="G169" i="12"/>
  <c r="G168" i="12"/>
  <c r="E167" i="12"/>
  <c r="F167" i="12" s="1"/>
  <c r="C167" i="12"/>
  <c r="D167" i="12" s="1"/>
  <c r="G166" i="12"/>
  <c r="G165" i="12"/>
  <c r="G164" i="12"/>
  <c r="G163" i="12"/>
  <c r="E162" i="12"/>
  <c r="F162" i="12" s="1"/>
  <c r="C162" i="12"/>
  <c r="D162" i="12" s="1"/>
  <c r="E161" i="12"/>
  <c r="F161" i="12" s="1"/>
  <c r="C161" i="12"/>
  <c r="D161" i="12" s="1"/>
  <c r="E160" i="12"/>
  <c r="F160" i="12" s="1"/>
  <c r="C160" i="12"/>
  <c r="D160" i="12" s="1"/>
  <c r="E159" i="12"/>
  <c r="F159" i="12" s="1"/>
  <c r="C159" i="12"/>
  <c r="D159" i="12" s="1"/>
  <c r="E158" i="12"/>
  <c r="F158" i="12" s="1"/>
  <c r="C158" i="12"/>
  <c r="D158" i="12" s="1"/>
  <c r="G155" i="12"/>
  <c r="F143" i="12"/>
  <c r="F142" i="12"/>
  <c r="F141" i="12"/>
  <c r="F139" i="12"/>
  <c r="F138" i="12"/>
  <c r="F137" i="12"/>
  <c r="F136" i="12"/>
  <c r="F134" i="12"/>
  <c r="F133" i="12"/>
  <c r="F132" i="12"/>
  <c r="F131" i="12"/>
  <c r="F129" i="12"/>
  <c r="F128" i="12"/>
  <c r="F127" i="12"/>
  <c r="F126" i="12"/>
  <c r="F118" i="12"/>
  <c r="D143" i="12"/>
  <c r="D142" i="12"/>
  <c r="D141" i="12"/>
  <c r="D139" i="12"/>
  <c r="D138" i="12"/>
  <c r="D137" i="12"/>
  <c r="D136" i="12"/>
  <c r="D134" i="12"/>
  <c r="D133" i="12"/>
  <c r="D132" i="12"/>
  <c r="D131" i="12"/>
  <c r="D129" i="12"/>
  <c r="D128" i="12"/>
  <c r="D127" i="12"/>
  <c r="D126" i="12"/>
  <c r="D118" i="12"/>
  <c r="F106" i="12"/>
  <c r="F105" i="12"/>
  <c r="F104" i="12"/>
  <c r="F102" i="12"/>
  <c r="F101" i="12"/>
  <c r="F100" i="12"/>
  <c r="F99" i="12"/>
  <c r="F97" i="12"/>
  <c r="F96" i="12"/>
  <c r="F95" i="12"/>
  <c r="F94" i="12"/>
  <c r="F92" i="12"/>
  <c r="F91" i="12"/>
  <c r="F90" i="12"/>
  <c r="F89" i="12"/>
  <c r="F81" i="12"/>
  <c r="D106" i="12"/>
  <c r="D105" i="12"/>
  <c r="D104" i="12"/>
  <c r="D102" i="12"/>
  <c r="D101" i="12"/>
  <c r="D100" i="12"/>
  <c r="D99" i="12"/>
  <c r="D97" i="12"/>
  <c r="D96" i="12"/>
  <c r="D95" i="12"/>
  <c r="D94" i="12"/>
  <c r="D92" i="12"/>
  <c r="D91" i="12"/>
  <c r="D90" i="12"/>
  <c r="D89" i="12"/>
  <c r="D81" i="12"/>
  <c r="H170" i="12" l="1"/>
  <c r="H173" i="12"/>
  <c r="H180" i="12"/>
  <c r="H166" i="12"/>
  <c r="H165" i="12"/>
  <c r="H155" i="12"/>
  <c r="H164" i="12"/>
  <c r="H163" i="12"/>
  <c r="H171" i="12"/>
  <c r="H174" i="12"/>
  <c r="H168" i="12"/>
  <c r="H175" i="12"/>
  <c r="H178" i="12"/>
  <c r="H169" i="12"/>
  <c r="H176" i="12"/>
  <c r="H179" i="12"/>
  <c r="V24" i="35"/>
  <c r="X80" i="35"/>
  <c r="W24" i="35"/>
  <c r="V80" i="35"/>
  <c r="W80" i="35"/>
  <c r="U24" i="35"/>
  <c r="U80" i="35"/>
  <c r="X24" i="35"/>
  <c r="E183" i="12"/>
  <c r="F183" i="12" s="1"/>
  <c r="F177" i="12"/>
  <c r="C157" i="12"/>
  <c r="D157" i="12" s="1"/>
  <c r="E157" i="12"/>
  <c r="E156" i="12" s="1"/>
  <c r="C186" i="12"/>
  <c r="D186" i="12" s="1"/>
  <c r="G158" i="12"/>
  <c r="H158" i="12" s="1"/>
  <c r="G160" i="12"/>
  <c r="H160" i="12" s="1"/>
  <c r="G162" i="12"/>
  <c r="H162" i="12" s="1"/>
  <c r="G172" i="12"/>
  <c r="H172" i="12" s="1"/>
  <c r="C183" i="12"/>
  <c r="D183" i="12" s="1"/>
  <c r="E184" i="12"/>
  <c r="F184" i="12" s="1"/>
  <c r="C185" i="12"/>
  <c r="D185" i="12" s="1"/>
  <c r="E186" i="12"/>
  <c r="F186" i="12" s="1"/>
  <c r="G159" i="12"/>
  <c r="H159" i="12" s="1"/>
  <c r="G161" i="12"/>
  <c r="H161" i="12" s="1"/>
  <c r="G167" i="12"/>
  <c r="H167" i="12" s="1"/>
  <c r="G177" i="12"/>
  <c r="H177" i="12" s="1"/>
  <c r="C184" i="12"/>
  <c r="D184" i="12" s="1"/>
  <c r="E185" i="12"/>
  <c r="F185" i="12" s="1"/>
  <c r="E124" i="12"/>
  <c r="F124" i="12" s="1"/>
  <c r="E123" i="12"/>
  <c r="F123" i="12" s="1"/>
  <c r="E122" i="12"/>
  <c r="F122" i="12" s="1"/>
  <c r="E121" i="12"/>
  <c r="F121" i="12" s="1"/>
  <c r="C124" i="12"/>
  <c r="D124" i="12" s="1"/>
  <c r="C123" i="12"/>
  <c r="D123" i="12" s="1"/>
  <c r="C122" i="12"/>
  <c r="D122" i="12" s="1"/>
  <c r="C121" i="12"/>
  <c r="D121" i="12" s="1"/>
  <c r="E87" i="12"/>
  <c r="F87" i="12" s="1"/>
  <c r="E86" i="12"/>
  <c r="F86" i="12" s="1"/>
  <c r="E85" i="12"/>
  <c r="F85" i="12" s="1"/>
  <c r="E84" i="12"/>
  <c r="F84" i="12" s="1"/>
  <c r="C87" i="12"/>
  <c r="D87" i="12" s="1"/>
  <c r="C86" i="12"/>
  <c r="D86" i="12" s="1"/>
  <c r="C85" i="12"/>
  <c r="D85" i="12" s="1"/>
  <c r="C84" i="12"/>
  <c r="D84" i="12" s="1"/>
  <c r="E50" i="12"/>
  <c r="E49" i="12"/>
  <c r="E48" i="12"/>
  <c r="F48" i="12" s="1"/>
  <c r="E47" i="12"/>
  <c r="C50" i="12"/>
  <c r="C49" i="12"/>
  <c r="C48" i="12"/>
  <c r="D48" i="12" s="1"/>
  <c r="C47" i="12"/>
  <c r="E13" i="12"/>
  <c r="F13" i="12" s="1"/>
  <c r="E12" i="12"/>
  <c r="E11" i="12"/>
  <c r="F11" i="12" s="1"/>
  <c r="E10" i="12"/>
  <c r="C13" i="12"/>
  <c r="C12" i="12"/>
  <c r="C11" i="12"/>
  <c r="D11" i="12" s="1"/>
  <c r="C10" i="12"/>
  <c r="F69" i="12"/>
  <c r="F68" i="12"/>
  <c r="F67" i="12"/>
  <c r="F65" i="12"/>
  <c r="F64" i="12"/>
  <c r="F63" i="12"/>
  <c r="F62" i="12"/>
  <c r="F60" i="12"/>
  <c r="F59" i="12"/>
  <c r="F58" i="12"/>
  <c r="F57" i="12"/>
  <c r="F55" i="12"/>
  <c r="F54" i="12"/>
  <c r="F53" i="12"/>
  <c r="F52" i="12"/>
  <c r="F50" i="12"/>
  <c r="F49" i="12"/>
  <c r="F47" i="12"/>
  <c r="F44" i="12"/>
  <c r="D69" i="12"/>
  <c r="D68" i="12"/>
  <c r="D67" i="12"/>
  <c r="D65" i="12"/>
  <c r="D64" i="12"/>
  <c r="D63" i="12"/>
  <c r="D62" i="12"/>
  <c r="D60" i="12"/>
  <c r="D59" i="12"/>
  <c r="D58" i="12"/>
  <c r="D57" i="12"/>
  <c r="D55" i="12"/>
  <c r="D54" i="12"/>
  <c r="D53" i="12"/>
  <c r="D52" i="12"/>
  <c r="D50" i="12"/>
  <c r="D49" i="12"/>
  <c r="D47" i="12"/>
  <c r="D44" i="12"/>
  <c r="D7" i="12"/>
  <c r="F7" i="12"/>
  <c r="G7" i="12"/>
  <c r="H7" i="12" s="1"/>
  <c r="D10" i="12"/>
  <c r="F10" i="12"/>
  <c r="G10" i="12"/>
  <c r="D12" i="12"/>
  <c r="F12" i="12"/>
  <c r="D13" i="12"/>
  <c r="G13" i="12"/>
  <c r="C14" i="12"/>
  <c r="E14" i="12"/>
  <c r="D15" i="12"/>
  <c r="F15" i="12"/>
  <c r="G15" i="12"/>
  <c r="D16" i="12"/>
  <c r="F16" i="12"/>
  <c r="G16" i="12"/>
  <c r="H16" i="12" s="1"/>
  <c r="D17" i="12"/>
  <c r="F17" i="12"/>
  <c r="G17" i="12"/>
  <c r="D18" i="12"/>
  <c r="F18" i="12"/>
  <c r="G18" i="12"/>
  <c r="H18" i="12" s="1"/>
  <c r="C19" i="12"/>
  <c r="D19" i="12" s="1"/>
  <c r="E19" i="12"/>
  <c r="D20" i="12"/>
  <c r="F20" i="12"/>
  <c r="G20" i="12"/>
  <c r="D21" i="12"/>
  <c r="F21" i="12"/>
  <c r="G21" i="12"/>
  <c r="H21" i="12" s="1"/>
  <c r="D22" i="12"/>
  <c r="F22" i="12"/>
  <c r="G22" i="12"/>
  <c r="D23" i="12"/>
  <c r="F23" i="12"/>
  <c r="G23" i="12"/>
  <c r="H23" i="12" s="1"/>
  <c r="C24" i="12"/>
  <c r="D24" i="12" s="1"/>
  <c r="E24" i="12"/>
  <c r="F24" i="12" s="1"/>
  <c r="D25" i="12"/>
  <c r="F25" i="12"/>
  <c r="G25" i="12"/>
  <c r="H25" i="12" s="1"/>
  <c r="D26" i="12"/>
  <c r="F26" i="12"/>
  <c r="G26" i="12"/>
  <c r="D27" i="12"/>
  <c r="F27" i="12"/>
  <c r="G27" i="12"/>
  <c r="H27" i="12" s="1"/>
  <c r="D28" i="12"/>
  <c r="F28" i="12"/>
  <c r="G28" i="12"/>
  <c r="C29" i="12"/>
  <c r="D29" i="12" s="1"/>
  <c r="E29" i="12"/>
  <c r="E35" i="12" s="1"/>
  <c r="F35" i="12" s="1"/>
  <c r="D30" i="12"/>
  <c r="F30" i="12"/>
  <c r="G30" i="12"/>
  <c r="H30" i="12" s="1"/>
  <c r="D31" i="12"/>
  <c r="F31" i="12"/>
  <c r="G31" i="12"/>
  <c r="D32" i="12"/>
  <c r="F32" i="12"/>
  <c r="G32" i="12"/>
  <c r="H32" i="12" s="1"/>
  <c r="E36" i="12"/>
  <c r="C37" i="12"/>
  <c r="G143" i="12"/>
  <c r="G142" i="12"/>
  <c r="G141" i="12"/>
  <c r="E140" i="12"/>
  <c r="C140" i="12"/>
  <c r="D140" i="12" s="1"/>
  <c r="G139" i="12"/>
  <c r="G138" i="12"/>
  <c r="G137" i="12"/>
  <c r="G136" i="12"/>
  <c r="E135" i="12"/>
  <c r="F135" i="12" s="1"/>
  <c r="C135" i="12"/>
  <c r="D135" i="12" s="1"/>
  <c r="G134" i="12"/>
  <c r="G133" i="12"/>
  <c r="G132" i="12"/>
  <c r="G131" i="12"/>
  <c r="E130" i="12"/>
  <c r="F130" i="12" s="1"/>
  <c r="C130" i="12"/>
  <c r="G129" i="12"/>
  <c r="G128" i="12"/>
  <c r="G127" i="12"/>
  <c r="G126" i="12"/>
  <c r="E125" i="12"/>
  <c r="C125" i="12"/>
  <c r="D125" i="12" s="1"/>
  <c r="G118" i="12"/>
  <c r="H118" i="12" s="1"/>
  <c r="G106" i="12"/>
  <c r="G105" i="12"/>
  <c r="G104" i="12"/>
  <c r="E103" i="12"/>
  <c r="F103" i="12" s="1"/>
  <c r="C103" i="12"/>
  <c r="D103" i="12" s="1"/>
  <c r="G102" i="12"/>
  <c r="G101" i="12"/>
  <c r="G100" i="12"/>
  <c r="G99" i="12"/>
  <c r="E98" i="12"/>
  <c r="F98" i="12" s="1"/>
  <c r="C98" i="12"/>
  <c r="D98" i="12" s="1"/>
  <c r="G97" i="12"/>
  <c r="G96" i="12"/>
  <c r="G95" i="12"/>
  <c r="G94" i="12"/>
  <c r="E93" i="12"/>
  <c r="F93" i="12" s="1"/>
  <c r="C93" i="12"/>
  <c r="D93" i="12" s="1"/>
  <c r="G92" i="12"/>
  <c r="G91" i="12"/>
  <c r="G90" i="12"/>
  <c r="G89" i="12"/>
  <c r="E88" i="12"/>
  <c r="F88" i="12" s="1"/>
  <c r="C88" i="12"/>
  <c r="D88" i="12" s="1"/>
  <c r="G81" i="12"/>
  <c r="H81" i="12" s="1"/>
  <c r="G69" i="12"/>
  <c r="G68" i="12"/>
  <c r="G67" i="12"/>
  <c r="E66" i="12"/>
  <c r="E72" i="12" s="1"/>
  <c r="F72" i="12" s="1"/>
  <c r="C66" i="12"/>
  <c r="D66" i="12" s="1"/>
  <c r="G65" i="12"/>
  <c r="G64" i="12"/>
  <c r="G63" i="12"/>
  <c r="G62" i="12"/>
  <c r="E61" i="12"/>
  <c r="F61" i="12" s="1"/>
  <c r="C61" i="12"/>
  <c r="D61" i="12" s="1"/>
  <c r="G60" i="12"/>
  <c r="G59" i="12"/>
  <c r="G58" i="12"/>
  <c r="G57" i="12"/>
  <c r="E56" i="12"/>
  <c r="F56" i="12" s="1"/>
  <c r="C56" i="12"/>
  <c r="D56" i="12" s="1"/>
  <c r="G55" i="12"/>
  <c r="G54" i="12"/>
  <c r="G53" i="12"/>
  <c r="G52" i="12"/>
  <c r="E51" i="12"/>
  <c r="C51" i="12"/>
  <c r="G44" i="12"/>
  <c r="H44" i="12" s="1"/>
  <c r="E38" i="12" l="1"/>
  <c r="H10" i="12"/>
  <c r="H53" i="12"/>
  <c r="H60" i="12"/>
  <c r="H63" i="12"/>
  <c r="H90" i="12"/>
  <c r="H100" i="12"/>
  <c r="H127" i="12"/>
  <c r="H137" i="12"/>
  <c r="C46" i="12"/>
  <c r="H54" i="12"/>
  <c r="H57" i="12"/>
  <c r="H64" i="12"/>
  <c r="H67" i="12"/>
  <c r="H91" i="12"/>
  <c r="H94" i="12"/>
  <c r="H101" i="12"/>
  <c r="H104" i="12"/>
  <c r="H128" i="12"/>
  <c r="H131" i="12"/>
  <c r="H138" i="12"/>
  <c r="H141" i="12"/>
  <c r="F14" i="12"/>
  <c r="E9" i="12"/>
  <c r="E8" i="12" s="1"/>
  <c r="F8" i="12" s="1"/>
  <c r="H97" i="12"/>
  <c r="E146" i="12"/>
  <c r="F146" i="12" s="1"/>
  <c r="F140" i="12"/>
  <c r="F51" i="12"/>
  <c r="E46" i="12"/>
  <c r="H55" i="12"/>
  <c r="H58" i="12"/>
  <c r="H65" i="12"/>
  <c r="H68" i="12"/>
  <c r="H92" i="12"/>
  <c r="H95" i="12"/>
  <c r="H102" i="12"/>
  <c r="H105" i="12"/>
  <c r="E120" i="12"/>
  <c r="F125" i="12"/>
  <c r="H129" i="12"/>
  <c r="H132" i="12"/>
  <c r="H139" i="12"/>
  <c r="H142" i="12"/>
  <c r="D14" i="12"/>
  <c r="C9" i="12"/>
  <c r="H134" i="12"/>
  <c r="H52" i="12"/>
  <c r="H59" i="12"/>
  <c r="H62" i="12"/>
  <c r="H69" i="12"/>
  <c r="H89" i="12"/>
  <c r="H96" i="12"/>
  <c r="H99" i="12"/>
  <c r="H106" i="12"/>
  <c r="H126" i="12"/>
  <c r="H133" i="12"/>
  <c r="H136" i="12"/>
  <c r="H143" i="12"/>
  <c r="F156" i="12"/>
  <c r="F157" i="12"/>
  <c r="C156" i="12"/>
  <c r="D156" i="12" s="1"/>
  <c r="G157" i="12"/>
  <c r="H157" i="12" s="1"/>
  <c r="G184" i="12"/>
  <c r="H184" i="12" s="1"/>
  <c r="G183" i="12"/>
  <c r="H183" i="12" s="1"/>
  <c r="C182" i="12"/>
  <c r="D182" i="12" s="1"/>
  <c r="G185" i="12"/>
  <c r="H185" i="12" s="1"/>
  <c r="G186" i="12"/>
  <c r="H186" i="12" s="1"/>
  <c r="E182" i="12"/>
  <c r="F182" i="12" s="1"/>
  <c r="C120" i="12"/>
  <c r="D130" i="12"/>
  <c r="C149" i="12"/>
  <c r="D149" i="12" s="1"/>
  <c r="C83" i="12"/>
  <c r="E83" i="12"/>
  <c r="F83" i="12" s="1"/>
  <c r="C112" i="12"/>
  <c r="D112" i="12" s="1"/>
  <c r="C75" i="12"/>
  <c r="D75" i="12" s="1"/>
  <c r="F66" i="12"/>
  <c r="D51" i="12"/>
  <c r="C35" i="12"/>
  <c r="G29" i="12"/>
  <c r="H29" i="12" s="1"/>
  <c r="G24" i="12"/>
  <c r="H24" i="12" s="1"/>
  <c r="C36" i="12"/>
  <c r="D36" i="12" s="1"/>
  <c r="E37" i="12"/>
  <c r="F37" i="12" s="1"/>
  <c r="C38" i="12"/>
  <c r="D38" i="12" s="1"/>
  <c r="G14" i="12"/>
  <c r="H14" i="12" s="1"/>
  <c r="H26" i="12"/>
  <c r="H22" i="12"/>
  <c r="H15" i="12"/>
  <c r="H31" i="12"/>
  <c r="H28" i="12"/>
  <c r="H20" i="12"/>
  <c r="H17" i="12"/>
  <c r="H13" i="12"/>
  <c r="G9" i="12"/>
  <c r="H9" i="12" s="1"/>
  <c r="G11" i="12"/>
  <c r="H11" i="12" s="1"/>
  <c r="G19" i="12"/>
  <c r="H19" i="12" s="1"/>
  <c r="G12" i="12"/>
  <c r="H12" i="12" s="1"/>
  <c r="F38" i="12"/>
  <c r="D37" i="12"/>
  <c r="F36" i="12"/>
  <c r="F29" i="12"/>
  <c r="F19" i="12"/>
  <c r="F9" i="12"/>
  <c r="E109" i="12"/>
  <c r="F109" i="12" s="1"/>
  <c r="G120" i="12"/>
  <c r="H120" i="12" s="1"/>
  <c r="G121" i="12"/>
  <c r="H121" i="12" s="1"/>
  <c r="G125" i="12"/>
  <c r="H125" i="12" s="1"/>
  <c r="G135" i="12"/>
  <c r="H135" i="12" s="1"/>
  <c r="C146" i="12"/>
  <c r="D146" i="12" s="1"/>
  <c r="E147" i="12"/>
  <c r="F147" i="12" s="1"/>
  <c r="E86" i="3" s="1"/>
  <c r="C148" i="12"/>
  <c r="D148" i="12" s="1"/>
  <c r="E149" i="12"/>
  <c r="F149" i="12" s="1"/>
  <c r="G123" i="12"/>
  <c r="H123" i="12" s="1"/>
  <c r="C147" i="12"/>
  <c r="D147" i="12" s="1"/>
  <c r="E82" i="3" s="1"/>
  <c r="E148" i="12"/>
  <c r="F148" i="12" s="1"/>
  <c r="G122" i="12"/>
  <c r="H122" i="12" s="1"/>
  <c r="G124" i="12"/>
  <c r="H124" i="12" s="1"/>
  <c r="G130" i="12"/>
  <c r="H130" i="12" s="1"/>
  <c r="G140" i="12"/>
  <c r="H140" i="12" s="1"/>
  <c r="G98" i="12"/>
  <c r="H98" i="12" s="1"/>
  <c r="C109" i="12"/>
  <c r="D109" i="12" s="1"/>
  <c r="E110" i="12"/>
  <c r="F110" i="12" s="1"/>
  <c r="C111" i="12"/>
  <c r="D111" i="12" s="1"/>
  <c r="E112" i="12"/>
  <c r="F112" i="12" s="1"/>
  <c r="G84" i="12"/>
  <c r="H84" i="12" s="1"/>
  <c r="G86" i="12"/>
  <c r="H86" i="12" s="1"/>
  <c r="G88" i="12"/>
  <c r="H88" i="12" s="1"/>
  <c r="G85" i="12"/>
  <c r="H85" i="12" s="1"/>
  <c r="G87" i="12"/>
  <c r="H87" i="12" s="1"/>
  <c r="G93" i="12"/>
  <c r="H93" i="12" s="1"/>
  <c r="G103" i="12"/>
  <c r="H103" i="12" s="1"/>
  <c r="C110" i="12"/>
  <c r="D110" i="12" s="1"/>
  <c r="E111" i="12"/>
  <c r="F111" i="12" s="1"/>
  <c r="G51" i="12"/>
  <c r="H51" i="12" s="1"/>
  <c r="G61" i="12"/>
  <c r="H61" i="12" s="1"/>
  <c r="C72" i="12"/>
  <c r="D72" i="12" s="1"/>
  <c r="E73" i="12"/>
  <c r="F73" i="12" s="1"/>
  <c r="C74" i="12"/>
  <c r="D74" i="12" s="1"/>
  <c r="E75" i="12"/>
  <c r="F75" i="12" s="1"/>
  <c r="G47" i="12"/>
  <c r="H47" i="12" s="1"/>
  <c r="G49" i="12"/>
  <c r="H49" i="12" s="1"/>
  <c r="G48" i="12"/>
  <c r="H48" i="12" s="1"/>
  <c r="G56" i="12"/>
  <c r="H56" i="12" s="1"/>
  <c r="G66" i="12"/>
  <c r="H66" i="12" s="1"/>
  <c r="C73" i="12"/>
  <c r="D73" i="12" s="1"/>
  <c r="E74" i="12"/>
  <c r="F74" i="12" s="1"/>
  <c r="G46" i="12"/>
  <c r="H46" i="12" s="1"/>
  <c r="G50" i="12"/>
  <c r="H50" i="12" s="1"/>
  <c r="C8" i="12" l="1"/>
  <c r="D9" i="12"/>
  <c r="E45" i="12"/>
  <c r="F45" i="12" s="1"/>
  <c r="F46" i="12"/>
  <c r="C82" i="12"/>
  <c r="D82" i="12" s="1"/>
  <c r="D83" i="12"/>
  <c r="E119" i="12"/>
  <c r="F119" i="12" s="1"/>
  <c r="F120" i="12"/>
  <c r="C45" i="12"/>
  <c r="D46" i="12"/>
  <c r="G156" i="12"/>
  <c r="H156" i="12" s="1"/>
  <c r="E181" i="12"/>
  <c r="F181" i="12" s="1"/>
  <c r="G182" i="12"/>
  <c r="H182" i="12" s="1"/>
  <c r="C181" i="12"/>
  <c r="D181" i="12" s="1"/>
  <c r="C119" i="12"/>
  <c r="D120" i="12"/>
  <c r="G83" i="12"/>
  <c r="H83" i="12" s="1"/>
  <c r="E82" i="12"/>
  <c r="F82" i="12" s="1"/>
  <c r="D35" i="12"/>
  <c r="G35" i="12"/>
  <c r="H35" i="12" s="1"/>
  <c r="C34" i="12"/>
  <c r="D34" i="12" s="1"/>
  <c r="G36" i="12"/>
  <c r="H36" i="12" s="1"/>
  <c r="E34" i="12"/>
  <c r="G37" i="12"/>
  <c r="H37" i="12" s="1"/>
  <c r="G38" i="12"/>
  <c r="H38" i="12" s="1"/>
  <c r="G112" i="12"/>
  <c r="H112" i="12" s="1"/>
  <c r="G75" i="12"/>
  <c r="H75" i="12" s="1"/>
  <c r="E145" i="12"/>
  <c r="F145" i="12" s="1"/>
  <c r="G146" i="12"/>
  <c r="H146" i="12" s="1"/>
  <c r="G147" i="12"/>
  <c r="H147" i="12" s="1"/>
  <c r="G149" i="12"/>
  <c r="H149" i="12" s="1"/>
  <c r="C145" i="12"/>
  <c r="D145" i="12" s="1"/>
  <c r="G148" i="12"/>
  <c r="H148" i="12" s="1"/>
  <c r="E108" i="12"/>
  <c r="F108" i="12" s="1"/>
  <c r="G109" i="12"/>
  <c r="H109" i="12" s="1"/>
  <c r="C108" i="12"/>
  <c r="D108" i="12" s="1"/>
  <c r="G111" i="12"/>
  <c r="H111" i="12" s="1"/>
  <c r="G110" i="12"/>
  <c r="H110" i="12" s="1"/>
  <c r="G72" i="12"/>
  <c r="H72" i="12" s="1"/>
  <c r="G73" i="12"/>
  <c r="H73" i="12" s="1"/>
  <c r="C71" i="12"/>
  <c r="D71" i="12" s="1"/>
  <c r="G74" i="12"/>
  <c r="H74" i="12" s="1"/>
  <c r="E71" i="12"/>
  <c r="F71" i="12" s="1"/>
  <c r="B902" i="3"/>
  <c r="B903" i="3"/>
  <c r="B901" i="3"/>
  <c r="B898" i="3"/>
  <c r="B899" i="3"/>
  <c r="B900" i="3"/>
  <c r="B897" i="3"/>
  <c r="B894" i="3"/>
  <c r="B895" i="3"/>
  <c r="B893" i="3"/>
  <c r="B890" i="3"/>
  <c r="B891" i="3"/>
  <c r="B892" i="3"/>
  <c r="B889" i="3"/>
  <c r="B886" i="3"/>
  <c r="B887" i="3"/>
  <c r="B885" i="3"/>
  <c r="B882" i="3"/>
  <c r="B883" i="3"/>
  <c r="B884" i="3"/>
  <c r="B881" i="3"/>
  <c r="E874" i="3"/>
  <c r="B878" i="3"/>
  <c r="B879" i="3"/>
  <c r="B877" i="3"/>
  <c r="B874" i="3"/>
  <c r="B875" i="3"/>
  <c r="B876" i="3"/>
  <c r="B873" i="3"/>
  <c r="E866" i="3"/>
  <c r="B870" i="3"/>
  <c r="B871" i="3"/>
  <c r="B869" i="3"/>
  <c r="B866" i="3"/>
  <c r="B867" i="3"/>
  <c r="B868" i="3"/>
  <c r="B865" i="3"/>
  <c r="B863" i="3"/>
  <c r="B861" i="3"/>
  <c r="B862" i="3"/>
  <c r="B860" i="3"/>
  <c r="B859" i="3"/>
  <c r="E858" i="3"/>
  <c r="B858" i="3"/>
  <c r="B857" i="3"/>
  <c r="B854" i="3"/>
  <c r="B852" i="3"/>
  <c r="J853" i="3"/>
  <c r="I853" i="3"/>
  <c r="O853" i="3" s="1"/>
  <c r="H853" i="3"/>
  <c r="G853" i="3"/>
  <c r="F853" i="3"/>
  <c r="E853" i="3"/>
  <c r="B853" i="3"/>
  <c r="J851" i="3"/>
  <c r="I851" i="3"/>
  <c r="H851" i="3"/>
  <c r="G851" i="3"/>
  <c r="F851" i="3"/>
  <c r="E851" i="3"/>
  <c r="B851" i="3"/>
  <c r="B850" i="3"/>
  <c r="E849" i="3"/>
  <c r="B849" i="3"/>
  <c r="B848" i="3"/>
  <c r="O851" i="3" l="1"/>
  <c r="D45" i="12"/>
  <c r="G45" i="12"/>
  <c r="H45" i="12" s="1"/>
  <c r="D8" i="12"/>
  <c r="G8" i="12"/>
  <c r="H8" i="12" s="1"/>
  <c r="G181" i="12"/>
  <c r="H181" i="12" s="1"/>
  <c r="D119" i="12"/>
  <c r="G119" i="12"/>
  <c r="H119" i="12" s="1"/>
  <c r="G82" i="12"/>
  <c r="H82" i="12" s="1"/>
  <c r="G34" i="12"/>
  <c r="H34" i="12" s="1"/>
  <c r="C33" i="12"/>
  <c r="D33" i="12" s="1"/>
  <c r="F34" i="12"/>
  <c r="E33" i="12"/>
  <c r="F33" i="12" s="1"/>
  <c r="E144" i="12"/>
  <c r="F144" i="12" s="1"/>
  <c r="G145" i="12"/>
  <c r="H145" i="12" s="1"/>
  <c r="C144" i="12"/>
  <c r="D144" i="12" s="1"/>
  <c r="E107" i="12"/>
  <c r="F107" i="12" s="1"/>
  <c r="G108" i="12"/>
  <c r="H108" i="12" s="1"/>
  <c r="C107" i="12"/>
  <c r="D107" i="12" s="1"/>
  <c r="E70" i="12"/>
  <c r="F70" i="12" s="1"/>
  <c r="G71" i="12"/>
  <c r="H71" i="12" s="1"/>
  <c r="C70" i="12"/>
  <c r="D70" i="12" s="1"/>
  <c r="G33" i="12" l="1"/>
  <c r="H33" i="12" s="1"/>
  <c r="G144" i="12"/>
  <c r="H144" i="12" s="1"/>
  <c r="G107" i="12"/>
  <c r="H107" i="12" s="1"/>
  <c r="G70" i="12"/>
  <c r="H70" i="12" s="1"/>
  <c r="D272" i="33"/>
  <c r="D271" i="33"/>
  <c r="D270" i="33"/>
  <c r="D269" i="33"/>
  <c r="D268" i="33"/>
  <c r="D267" i="33"/>
  <c r="D266" i="33"/>
  <c r="F266" i="33" s="1"/>
  <c r="B261" i="33"/>
  <c r="A261" i="33"/>
  <c r="F271" i="33"/>
  <c r="F270" i="33"/>
  <c r="F269" i="33"/>
  <c r="E268" i="33"/>
  <c r="F268" i="33" s="1"/>
  <c r="F267" i="33"/>
  <c r="D143" i="33"/>
  <c r="D144" i="33"/>
  <c r="D145" i="33"/>
  <c r="F145" i="33" s="1"/>
  <c r="D146" i="33"/>
  <c r="D147" i="33"/>
  <c r="F147" i="33" s="1"/>
  <c r="D148" i="33"/>
  <c r="D142" i="33"/>
  <c r="F142" i="33" s="1"/>
  <c r="B137" i="33"/>
  <c r="A137" i="33"/>
  <c r="F146" i="33"/>
  <c r="E144" i="33"/>
  <c r="F143" i="33"/>
  <c r="E130" i="33"/>
  <c r="D134" i="33"/>
  <c r="D133" i="33"/>
  <c r="D132" i="33"/>
  <c r="D131" i="33"/>
  <c r="D130" i="33"/>
  <c r="D129" i="33"/>
  <c r="F129" i="33" s="1"/>
  <c r="D128" i="33"/>
  <c r="F128" i="33" s="1"/>
  <c r="B123" i="33"/>
  <c r="A123" i="33"/>
  <c r="F133" i="33"/>
  <c r="F132" i="33"/>
  <c r="F131" i="33"/>
  <c r="B78" i="33"/>
  <c r="A78" i="33"/>
  <c r="D451" i="33"/>
  <c r="D452" i="33"/>
  <c r="D453" i="33"/>
  <c r="D454" i="33"/>
  <c r="D455" i="33"/>
  <c r="D456" i="33"/>
  <c r="D432" i="33"/>
  <c r="D433" i="33"/>
  <c r="D434" i="33"/>
  <c r="D435" i="33"/>
  <c r="D436" i="33"/>
  <c r="D437" i="33"/>
  <c r="D415" i="33"/>
  <c r="D416" i="33"/>
  <c r="D417" i="33"/>
  <c r="D418" i="33"/>
  <c r="D419" i="33"/>
  <c r="D420" i="33"/>
  <c r="D396" i="33"/>
  <c r="D397" i="33"/>
  <c r="D398" i="33"/>
  <c r="D399" i="33"/>
  <c r="D400" i="33"/>
  <c r="D401" i="33"/>
  <c r="D377" i="33"/>
  <c r="D378" i="33"/>
  <c r="D379" i="33"/>
  <c r="D380" i="33"/>
  <c r="D381" i="33"/>
  <c r="D382" i="33"/>
  <c r="D360" i="33"/>
  <c r="D361" i="33"/>
  <c r="D362" i="33"/>
  <c r="D363" i="33"/>
  <c r="D364" i="33"/>
  <c r="D365" i="33"/>
  <c r="D286" i="33"/>
  <c r="D287" i="33"/>
  <c r="D288" i="33"/>
  <c r="D289" i="33"/>
  <c r="D290" i="33"/>
  <c r="D291" i="33"/>
  <c r="D253" i="33"/>
  <c r="D254" i="33"/>
  <c r="D255" i="33"/>
  <c r="D256" i="33"/>
  <c r="D257" i="33"/>
  <c r="D258" i="33"/>
  <c r="D236" i="33"/>
  <c r="D237" i="33"/>
  <c r="D238" i="33"/>
  <c r="D239" i="33"/>
  <c r="D240" i="33"/>
  <c r="D241" i="33"/>
  <c r="D198" i="33"/>
  <c r="D199" i="33"/>
  <c r="D200" i="33"/>
  <c r="D201" i="33"/>
  <c r="D202" i="33"/>
  <c r="D203" i="33"/>
  <c r="D181" i="33"/>
  <c r="D182" i="33"/>
  <c r="D183" i="33"/>
  <c r="D184" i="33"/>
  <c r="D185" i="33"/>
  <c r="D186" i="33"/>
  <c r="D162" i="33"/>
  <c r="D163" i="33"/>
  <c r="D164" i="33"/>
  <c r="D165" i="33"/>
  <c r="D166" i="33"/>
  <c r="D167" i="33"/>
  <c r="D70" i="33"/>
  <c r="D71" i="33"/>
  <c r="D72" i="33"/>
  <c r="D73" i="33"/>
  <c r="D74" i="33"/>
  <c r="D75" i="33"/>
  <c r="D51" i="33"/>
  <c r="D52" i="33"/>
  <c r="D53" i="33"/>
  <c r="D54" i="33"/>
  <c r="D55" i="33"/>
  <c r="D56" i="33"/>
  <c r="D431" i="33"/>
  <c r="D376" i="33"/>
  <c r="D252" i="33"/>
  <c r="D197" i="33"/>
  <c r="D37" i="33"/>
  <c r="D36" i="33"/>
  <c r="D35" i="33"/>
  <c r="D34" i="33"/>
  <c r="D33" i="33"/>
  <c r="D32" i="33"/>
  <c r="D31" i="33"/>
  <c r="D450" i="33"/>
  <c r="D414" i="33"/>
  <c r="D395" i="33"/>
  <c r="D359" i="33"/>
  <c r="D285" i="33"/>
  <c r="D235" i="33"/>
  <c r="D180" i="33"/>
  <c r="D161" i="33"/>
  <c r="D69" i="33"/>
  <c r="D50" i="33"/>
  <c r="D20" i="33"/>
  <c r="D19" i="33"/>
  <c r="D18" i="33"/>
  <c r="D17" i="33"/>
  <c r="D16" i="33"/>
  <c r="D15" i="33"/>
  <c r="D14" i="33"/>
  <c r="F288" i="33"/>
  <c r="F287" i="33"/>
  <c r="F286" i="33"/>
  <c r="F255" i="33"/>
  <c r="F254" i="33"/>
  <c r="F253" i="33"/>
  <c r="F238" i="33"/>
  <c r="F237" i="33"/>
  <c r="F236" i="33"/>
  <c r="F202" i="33"/>
  <c r="F200" i="33"/>
  <c r="F199" i="33"/>
  <c r="F198" i="33"/>
  <c r="F183" i="33"/>
  <c r="F182" i="33"/>
  <c r="F181" i="33"/>
  <c r="F164" i="33"/>
  <c r="F163" i="33"/>
  <c r="F162" i="33"/>
  <c r="F105" i="33"/>
  <c r="F104" i="33"/>
  <c r="F103" i="33"/>
  <c r="F72" i="33"/>
  <c r="F71" i="33"/>
  <c r="F70" i="33"/>
  <c r="F53" i="33"/>
  <c r="F52" i="33"/>
  <c r="F51" i="33"/>
  <c r="F34" i="33"/>
  <c r="F33" i="33"/>
  <c r="F32" i="33"/>
  <c r="F17" i="33"/>
  <c r="F16" i="33"/>
  <c r="F15" i="33"/>
  <c r="B440" i="33"/>
  <c r="A440" i="33"/>
  <c r="E431" i="33"/>
  <c r="E432" i="33"/>
  <c r="F432" i="33"/>
  <c r="E433" i="33"/>
  <c r="F433" i="33"/>
  <c r="E434" i="33"/>
  <c r="F434" i="33"/>
  <c r="E435" i="33"/>
  <c r="G435" i="33" s="1"/>
  <c r="F436" i="33"/>
  <c r="G436" i="33" s="1"/>
  <c r="B404" i="33"/>
  <c r="A404" i="33"/>
  <c r="B385" i="33"/>
  <c r="A385" i="33"/>
  <c r="B349" i="33"/>
  <c r="A349" i="33"/>
  <c r="F455" i="33"/>
  <c r="E454" i="33"/>
  <c r="G454" i="33" s="1"/>
  <c r="F453" i="33"/>
  <c r="E453" i="33"/>
  <c r="F452" i="33"/>
  <c r="E452" i="33"/>
  <c r="F451" i="33"/>
  <c r="E451" i="33"/>
  <c r="E450" i="33"/>
  <c r="F419" i="33"/>
  <c r="E418" i="33"/>
  <c r="G418" i="33" s="1"/>
  <c r="F417" i="33"/>
  <c r="E417" i="33"/>
  <c r="F416" i="33"/>
  <c r="E416" i="33"/>
  <c r="F415" i="33"/>
  <c r="E415" i="33"/>
  <c r="E414" i="33"/>
  <c r="F400" i="33"/>
  <c r="G400" i="33" s="1"/>
  <c r="E399" i="33"/>
  <c r="G399" i="33" s="1"/>
  <c r="F398" i="33"/>
  <c r="E398" i="33"/>
  <c r="F397" i="33"/>
  <c r="E397" i="33"/>
  <c r="F396" i="33"/>
  <c r="E396" i="33"/>
  <c r="E395" i="33"/>
  <c r="F381" i="33"/>
  <c r="G381" i="33" s="1"/>
  <c r="E380" i="33"/>
  <c r="G380" i="33" s="1"/>
  <c r="F379" i="33"/>
  <c r="E379" i="33"/>
  <c r="F378" i="33"/>
  <c r="E378" i="33"/>
  <c r="F377" i="33"/>
  <c r="E377" i="33"/>
  <c r="E376" i="33"/>
  <c r="F364" i="33"/>
  <c r="E363" i="33"/>
  <c r="G363" i="33" s="1"/>
  <c r="F362" i="33"/>
  <c r="E362" i="33"/>
  <c r="F361" i="33"/>
  <c r="E361" i="33"/>
  <c r="F360" i="33"/>
  <c r="E360" i="33"/>
  <c r="E359" i="33"/>
  <c r="G359" i="33" s="1"/>
  <c r="F343" i="33"/>
  <c r="F342" i="33"/>
  <c r="F341" i="33"/>
  <c r="D341" i="33"/>
  <c r="D342" i="33"/>
  <c r="D343" i="33"/>
  <c r="D344" i="33"/>
  <c r="D345" i="33"/>
  <c r="D346" i="33"/>
  <c r="D340" i="33"/>
  <c r="B330" i="33"/>
  <c r="A330" i="33"/>
  <c r="F272" i="33" l="1"/>
  <c r="F273" i="33" s="1"/>
  <c r="C634" i="22" s="1"/>
  <c r="F130" i="33"/>
  <c r="F134" i="33" s="1"/>
  <c r="F135" i="33" s="1"/>
  <c r="C259" i="22" s="1"/>
  <c r="F144" i="33"/>
  <c r="F148" i="33" s="1"/>
  <c r="F149" i="33" s="1"/>
  <c r="C358" i="22" s="1"/>
  <c r="G395" i="33"/>
  <c r="G364" i="33"/>
  <c r="G419" i="33"/>
  <c r="G455" i="33"/>
  <c r="G450" i="33"/>
  <c r="G431" i="33"/>
  <c r="G376" i="33"/>
  <c r="G414" i="33"/>
  <c r="G433" i="33"/>
  <c r="G432" i="33"/>
  <c r="G434" i="33"/>
  <c r="G361" i="33"/>
  <c r="G396" i="33"/>
  <c r="G398" i="33"/>
  <c r="G451" i="33"/>
  <c r="G453" i="33"/>
  <c r="G452" i="33"/>
  <c r="G415" i="33"/>
  <c r="G416" i="33"/>
  <c r="G417" i="33"/>
  <c r="G397" i="33"/>
  <c r="G377" i="33"/>
  <c r="G379" i="33"/>
  <c r="G362" i="33"/>
  <c r="G378" i="33"/>
  <c r="G360" i="33"/>
  <c r="G456" i="33" l="1"/>
  <c r="G457" i="33" s="1"/>
  <c r="G437" i="33"/>
  <c r="G438" i="33" s="1"/>
  <c r="C765" i="22" s="1"/>
  <c r="G420" i="33"/>
  <c r="G421" i="33" s="1"/>
  <c r="C764" i="22" s="1"/>
  <c r="G365" i="33"/>
  <c r="G366" i="33" s="1"/>
  <c r="C661" i="22" s="1"/>
  <c r="G401" i="33"/>
  <c r="G402" i="33" s="1"/>
  <c r="C749" i="22" s="1"/>
  <c r="G382" i="33"/>
  <c r="G383" i="33" s="1"/>
  <c r="C662" i="22" s="1"/>
  <c r="C673" i="22" l="1"/>
  <c r="D673" i="22" s="1"/>
  <c r="F324" i="33"/>
  <c r="F323" i="33"/>
  <c r="F322" i="33"/>
  <c r="F307" i="33"/>
  <c r="F306" i="33"/>
  <c r="F305" i="33"/>
  <c r="D327" i="33"/>
  <c r="D326" i="33"/>
  <c r="D325" i="33"/>
  <c r="D324" i="33"/>
  <c r="D323" i="33"/>
  <c r="D322" i="33"/>
  <c r="D321" i="33"/>
  <c r="D310" i="33"/>
  <c r="D309" i="33"/>
  <c r="D308" i="33"/>
  <c r="D307" i="33"/>
  <c r="D306" i="33"/>
  <c r="D305" i="33"/>
  <c r="D304" i="33"/>
  <c r="A294" i="33"/>
  <c r="B294" i="33"/>
  <c r="B275" i="33"/>
  <c r="A275" i="33"/>
  <c r="B225" i="33"/>
  <c r="A225" i="33"/>
  <c r="B170" i="33"/>
  <c r="A170" i="33"/>
  <c r="B151" i="33"/>
  <c r="A151" i="33"/>
  <c r="D118" i="33"/>
  <c r="D117" i="33"/>
  <c r="G117" i="33" s="1"/>
  <c r="D116" i="33"/>
  <c r="G116" i="33" s="1"/>
  <c r="D115" i="33"/>
  <c r="G115" i="33" s="1"/>
  <c r="D114" i="33"/>
  <c r="G114" i="33" s="1"/>
  <c r="D113" i="33"/>
  <c r="G113" i="33" s="1"/>
  <c r="D112" i="33"/>
  <c r="G112" i="33" s="1"/>
  <c r="D103" i="33"/>
  <c r="D104" i="33"/>
  <c r="D105" i="33"/>
  <c r="D106" i="33"/>
  <c r="D107" i="33"/>
  <c r="D108" i="33"/>
  <c r="D102" i="33"/>
  <c r="F107" i="33"/>
  <c r="E106" i="33"/>
  <c r="E105" i="33"/>
  <c r="E104" i="33"/>
  <c r="E103" i="33"/>
  <c r="E102" i="33"/>
  <c r="B92" i="33"/>
  <c r="A92" i="33"/>
  <c r="B59" i="33"/>
  <c r="A59" i="33"/>
  <c r="B40" i="33"/>
  <c r="A40" i="33"/>
  <c r="F345" i="33"/>
  <c r="E344" i="33"/>
  <c r="E343" i="33"/>
  <c r="E342" i="33"/>
  <c r="E341" i="33"/>
  <c r="E340" i="33"/>
  <c r="F326" i="33"/>
  <c r="E325" i="33"/>
  <c r="E324" i="33"/>
  <c r="E323" i="33"/>
  <c r="E322" i="33"/>
  <c r="E321" i="33"/>
  <c r="F309" i="33"/>
  <c r="E308" i="33"/>
  <c r="E307" i="33"/>
  <c r="E306" i="33"/>
  <c r="E305" i="33"/>
  <c r="E304" i="33"/>
  <c r="F290" i="33"/>
  <c r="E289" i="33"/>
  <c r="E288" i="33"/>
  <c r="E287" i="33"/>
  <c r="E286" i="33"/>
  <c r="E285" i="33"/>
  <c r="F257" i="33"/>
  <c r="E256" i="33"/>
  <c r="E255" i="33"/>
  <c r="E254" i="33"/>
  <c r="E253" i="33"/>
  <c r="E252" i="33"/>
  <c r="F240" i="33"/>
  <c r="E239" i="33"/>
  <c r="E238" i="33"/>
  <c r="E237" i="33"/>
  <c r="E236" i="33"/>
  <c r="E235" i="33"/>
  <c r="E201" i="33"/>
  <c r="E200" i="33"/>
  <c r="E199" i="33"/>
  <c r="E198" i="33"/>
  <c r="E197" i="33"/>
  <c r="F185" i="33"/>
  <c r="E184" i="33"/>
  <c r="E183" i="33"/>
  <c r="E182" i="33"/>
  <c r="E181" i="33"/>
  <c r="E180" i="33"/>
  <c r="F166" i="33"/>
  <c r="E165" i="33"/>
  <c r="E164" i="33"/>
  <c r="E163" i="33"/>
  <c r="E162" i="33"/>
  <c r="E161" i="33"/>
  <c r="F74" i="33"/>
  <c r="E73" i="33"/>
  <c r="E72" i="33"/>
  <c r="E71" i="33"/>
  <c r="E70" i="33"/>
  <c r="E69" i="33"/>
  <c r="F55" i="33"/>
  <c r="E54" i="33"/>
  <c r="E53" i="33"/>
  <c r="E52" i="33"/>
  <c r="E51" i="33"/>
  <c r="E50" i="33"/>
  <c r="B4" i="33"/>
  <c r="A4" i="33"/>
  <c r="F36" i="33"/>
  <c r="E35" i="33"/>
  <c r="E34" i="33"/>
  <c r="E33" i="33"/>
  <c r="E32" i="33"/>
  <c r="E31" i="33"/>
  <c r="F19" i="33"/>
  <c r="E18" i="33"/>
  <c r="E17" i="33"/>
  <c r="E16" i="33"/>
  <c r="E15" i="33"/>
  <c r="E14" i="33"/>
  <c r="E47" i="32"/>
  <c r="E43" i="32"/>
  <c r="E45" i="32"/>
  <c r="E46" i="32"/>
  <c r="E44" i="32"/>
  <c r="B40" i="32"/>
  <c r="A40" i="32"/>
  <c r="B28" i="32"/>
  <c r="A28" i="32"/>
  <c r="B16" i="32"/>
  <c r="A16" i="32"/>
  <c r="B4" i="32"/>
  <c r="A4" i="32"/>
  <c r="D44" i="32"/>
  <c r="D45" i="32"/>
  <c r="F45" i="32" s="1"/>
  <c r="D46" i="32"/>
  <c r="F46" i="32" s="1"/>
  <c r="D47" i="32"/>
  <c r="F47" i="32" s="1"/>
  <c r="D48" i="32"/>
  <c r="F48" i="32" s="1"/>
  <c r="D49" i="32"/>
  <c r="D32" i="32"/>
  <c r="F32" i="32" s="1"/>
  <c r="D33" i="32"/>
  <c r="D34" i="32"/>
  <c r="D35" i="32"/>
  <c r="D36" i="32"/>
  <c r="F36" i="32" s="1"/>
  <c r="D37" i="32"/>
  <c r="D20" i="32"/>
  <c r="D21" i="32"/>
  <c r="D22" i="32"/>
  <c r="F22" i="32" s="1"/>
  <c r="D23" i="32"/>
  <c r="D24" i="32"/>
  <c r="D25" i="32"/>
  <c r="D43" i="32"/>
  <c r="D31" i="32"/>
  <c r="D19" i="32"/>
  <c r="F19" i="32" s="1"/>
  <c r="D8" i="32"/>
  <c r="D9" i="32"/>
  <c r="F9" i="32" s="1"/>
  <c r="D10" i="32"/>
  <c r="D11" i="32"/>
  <c r="F11" i="32" s="1"/>
  <c r="D12" i="32"/>
  <c r="D13" i="32"/>
  <c r="D7" i="32"/>
  <c r="F35" i="32"/>
  <c r="F34" i="32"/>
  <c r="F33" i="32"/>
  <c r="F31" i="32"/>
  <c r="F24" i="32"/>
  <c r="F23" i="32"/>
  <c r="F21" i="32"/>
  <c r="F20" i="32"/>
  <c r="F12" i="32"/>
  <c r="F10" i="32"/>
  <c r="F8" i="32"/>
  <c r="F7" i="32"/>
  <c r="B611" i="22"/>
  <c r="A611" i="22"/>
  <c r="D677" i="22" l="1"/>
  <c r="E673" i="22"/>
  <c r="F43" i="32"/>
  <c r="G106" i="33"/>
  <c r="G104" i="33"/>
  <c r="G163" i="33"/>
  <c r="G166" i="33"/>
  <c r="G201" i="33"/>
  <c r="G340" i="33"/>
  <c r="G107" i="33"/>
  <c r="G103" i="33"/>
  <c r="G343" i="33"/>
  <c r="G31" i="33"/>
  <c r="G35" i="33"/>
  <c r="G185" i="33"/>
  <c r="G202" i="33"/>
  <c r="G289" i="33"/>
  <c r="G342" i="33"/>
  <c r="G344" i="33"/>
  <c r="G257" i="33"/>
  <c r="G341" i="33"/>
  <c r="G102" i="33"/>
  <c r="G105" i="33"/>
  <c r="G198" i="33"/>
  <c r="G256" i="33"/>
  <c r="G345" i="33"/>
  <c r="G118" i="33"/>
  <c r="G119" i="33" s="1"/>
  <c r="G55" i="33"/>
  <c r="G180" i="33"/>
  <c r="G304" i="33"/>
  <c r="G321" i="33"/>
  <c r="G36" i="33"/>
  <c r="G54" i="33"/>
  <c r="G71" i="33"/>
  <c r="G74" i="33"/>
  <c r="G184" i="33"/>
  <c r="G240" i="33"/>
  <c r="G290" i="33"/>
  <c r="G308" i="33"/>
  <c r="G325" i="33"/>
  <c r="G73" i="33"/>
  <c r="G165" i="33"/>
  <c r="G197" i="33"/>
  <c r="G239" i="33"/>
  <c r="G285" i="33"/>
  <c r="G288" i="33"/>
  <c r="G307" i="33"/>
  <c r="G324" i="33"/>
  <c r="G19" i="33"/>
  <c r="G69" i="33"/>
  <c r="G72" i="33"/>
  <c r="G161" i="33"/>
  <c r="G164" i="33"/>
  <c r="G181" i="33"/>
  <c r="G199" i="33"/>
  <c r="G235" i="33"/>
  <c r="G238" i="33"/>
  <c r="G252" i="33"/>
  <c r="G255" i="33"/>
  <c r="G309" i="33"/>
  <c r="G326" i="33"/>
  <c r="G50" i="33"/>
  <c r="G51" i="33"/>
  <c r="G183" i="33"/>
  <c r="G287" i="33"/>
  <c r="G306" i="33"/>
  <c r="G323" i="33"/>
  <c r="G53" i="33"/>
  <c r="G70" i="33"/>
  <c r="G162" i="33"/>
  <c r="G33" i="33"/>
  <c r="G52" i="33"/>
  <c r="G182" i="33"/>
  <c r="G200" i="33"/>
  <c r="G237" i="33"/>
  <c r="G254" i="33"/>
  <c r="G286" i="33"/>
  <c r="G305" i="33"/>
  <c r="G322" i="33"/>
  <c r="G236" i="33"/>
  <c r="G253" i="33"/>
  <c r="G14" i="33"/>
  <c r="G17" i="33"/>
  <c r="G18" i="33"/>
  <c r="G32" i="33"/>
  <c r="G16" i="33"/>
  <c r="G15" i="33"/>
  <c r="G34" i="33"/>
  <c r="F44" i="32"/>
  <c r="F37" i="32"/>
  <c r="F38" i="32" s="1"/>
  <c r="C624" i="22" s="1"/>
  <c r="F25" i="32"/>
  <c r="F26" i="32" s="1"/>
  <c r="C348" i="22" s="1"/>
  <c r="F13" i="32"/>
  <c r="F14" i="32" s="1"/>
  <c r="C229" i="22" s="1"/>
  <c r="E613" i="22"/>
  <c r="F613" i="22"/>
  <c r="D613" i="22"/>
  <c r="B76" i="31"/>
  <c r="B77" i="31"/>
  <c r="B75" i="31"/>
  <c r="A76" i="31"/>
  <c r="A77" i="31"/>
  <c r="A75" i="31"/>
  <c r="B74" i="31"/>
  <c r="A74" i="31"/>
  <c r="B72" i="31"/>
  <c r="B71" i="31"/>
  <c r="A72" i="31"/>
  <c r="A71" i="31"/>
  <c r="B70" i="31"/>
  <c r="A70" i="31"/>
  <c r="E57" i="31"/>
  <c r="D57" i="31"/>
  <c r="D56" i="31" s="1"/>
  <c r="C57" i="31"/>
  <c r="E60" i="31"/>
  <c r="E76" i="31" s="1"/>
  <c r="D60" i="31"/>
  <c r="D76" i="31" s="1"/>
  <c r="C60" i="31"/>
  <c r="C76" i="31" s="1"/>
  <c r="E59" i="31"/>
  <c r="D59" i="31"/>
  <c r="C59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I41" i="31" s="1"/>
  <c r="I42" i="31" s="1"/>
  <c r="D41" i="31"/>
  <c r="C41" i="31"/>
  <c r="E49" i="31"/>
  <c r="D49" i="31"/>
  <c r="C49" i="31"/>
  <c r="E25" i="31"/>
  <c r="D25" i="31"/>
  <c r="C25" i="31"/>
  <c r="E19" i="31"/>
  <c r="E17" i="31" s="1"/>
  <c r="D19" i="31"/>
  <c r="D17" i="31" s="1"/>
  <c r="C19" i="31"/>
  <c r="C17" i="31" s="1"/>
  <c r="F673" i="22" l="1"/>
  <c r="E677" i="22"/>
  <c r="E104" i="21" s="1"/>
  <c r="D104" i="21"/>
  <c r="F49" i="32"/>
  <c r="F50" i="32" s="1"/>
  <c r="C93" i="22" s="1"/>
  <c r="C723" i="22" s="1"/>
  <c r="D723" i="22" s="1"/>
  <c r="D725" i="22" s="1"/>
  <c r="E78" i="31"/>
  <c r="E77" i="31"/>
  <c r="E75" i="31"/>
  <c r="E40" i="31"/>
  <c r="D78" i="31"/>
  <c r="C75" i="31"/>
  <c r="C77" i="31"/>
  <c r="C40" i="31"/>
  <c r="D75" i="31"/>
  <c r="D77" i="31"/>
  <c r="D40" i="31"/>
  <c r="E72" i="31"/>
  <c r="E71" i="31"/>
  <c r="E73" i="31"/>
  <c r="C72" i="31"/>
  <c r="C71" i="31"/>
  <c r="C73" i="31"/>
  <c r="D72" i="31"/>
  <c r="D71" i="31"/>
  <c r="D73" i="31"/>
  <c r="G291" i="33"/>
  <c r="G292" i="33" s="1"/>
  <c r="C640" i="22" s="1"/>
  <c r="G37" i="33"/>
  <c r="G38" i="33" s="1"/>
  <c r="C115" i="22" s="1"/>
  <c r="D115" i="22" s="1"/>
  <c r="E115" i="22" s="1"/>
  <c r="F115" i="22" s="1"/>
  <c r="G115" i="22" s="1"/>
  <c r="H115" i="22" s="1"/>
  <c r="I115" i="22" s="1"/>
  <c r="J115" i="22" s="1"/>
  <c r="G20" i="33"/>
  <c r="G21" i="33" s="1"/>
  <c r="C114" i="22" s="1"/>
  <c r="D114" i="22" s="1"/>
  <c r="G167" i="33"/>
  <c r="G168" i="33" s="1"/>
  <c r="C363" i="22" s="1"/>
  <c r="G258" i="33"/>
  <c r="G259" i="33" s="1"/>
  <c r="C567" i="22" s="1"/>
  <c r="G186" i="33"/>
  <c r="G187" i="33" s="1"/>
  <c r="C516" i="22" s="1"/>
  <c r="G346" i="33"/>
  <c r="G347" i="33" s="1"/>
  <c r="C655" i="22" s="1"/>
  <c r="G327" i="33"/>
  <c r="G328" i="33" s="1"/>
  <c r="C648" i="22" s="1"/>
  <c r="G56" i="33"/>
  <c r="G57" i="33" s="1"/>
  <c r="C154" i="22" s="1"/>
  <c r="G310" i="33"/>
  <c r="G311" i="33" s="1"/>
  <c r="C647" i="22" s="1"/>
  <c r="G75" i="33"/>
  <c r="G76" i="33" s="1"/>
  <c r="C185" i="22" s="1"/>
  <c r="G203" i="33"/>
  <c r="G204" i="33" s="1"/>
  <c r="C517" i="22" s="1"/>
  <c r="G241" i="33"/>
  <c r="G242" i="33" s="1"/>
  <c r="C566" i="22" s="1"/>
  <c r="G108" i="33"/>
  <c r="G109" i="33" s="1"/>
  <c r="G121" i="33" s="1"/>
  <c r="C239" i="22" s="1"/>
  <c r="K613" i="22"/>
  <c r="C56" i="31"/>
  <c r="C78" i="31" s="1"/>
  <c r="E50" i="31"/>
  <c r="E8" i="31"/>
  <c r="E30" i="31" s="1"/>
  <c r="E151" i="31" s="1"/>
  <c r="E56" i="31"/>
  <c r="C50" i="31"/>
  <c r="D8" i="31"/>
  <c r="D30" i="31" s="1"/>
  <c r="D151" i="31" s="1"/>
  <c r="D50" i="31"/>
  <c r="C8" i="31"/>
  <c r="C30" i="31" s="1"/>
  <c r="C151" i="31" s="1"/>
  <c r="C437" i="22"/>
  <c r="B437" i="22"/>
  <c r="B389" i="22"/>
  <c r="C389" i="22"/>
  <c r="C154" i="31" l="1"/>
  <c r="M153" i="31"/>
  <c r="E114" i="22"/>
  <c r="D118" i="22"/>
  <c r="E154" i="31"/>
  <c r="J151" i="31" s="1"/>
  <c r="E159" i="31"/>
  <c r="E165" i="31" s="1"/>
  <c r="D154" i="31"/>
  <c r="I151" i="31"/>
  <c r="D159" i="31"/>
  <c r="D165" i="31" s="1"/>
  <c r="F677" i="22"/>
  <c r="F104" i="21" s="1"/>
  <c r="G673" i="22"/>
  <c r="E723" i="22"/>
  <c r="E725" i="22" s="1"/>
  <c r="D74" i="31"/>
  <c r="C74" i="31"/>
  <c r="C305" i="22"/>
  <c r="C311" i="22"/>
  <c r="E74" i="31"/>
  <c r="C616" i="22"/>
  <c r="C606" i="22"/>
  <c r="F606" i="22" s="1"/>
  <c r="G609" i="22" s="1"/>
  <c r="C90" i="31"/>
  <c r="E48" i="31"/>
  <c r="E39" i="31" s="1"/>
  <c r="E61" i="31" s="1"/>
  <c r="C48" i="31"/>
  <c r="C39" i="31" s="1"/>
  <c r="C61" i="31" s="1"/>
  <c r="D70" i="31"/>
  <c r="D48" i="31"/>
  <c r="C70" i="31"/>
  <c r="E70" i="31"/>
  <c r="F114" i="22" l="1"/>
  <c r="E118" i="22"/>
  <c r="J153" i="31"/>
  <c r="J152" i="31"/>
  <c r="H153" i="31"/>
  <c r="H152" i="31"/>
  <c r="D308" i="22"/>
  <c r="O305" i="22"/>
  <c r="F305" i="22"/>
  <c r="I152" i="31"/>
  <c r="I153" i="31"/>
  <c r="H151" i="31"/>
  <c r="H673" i="22"/>
  <c r="G677" i="22"/>
  <c r="K677" i="22"/>
  <c r="C79" i="31"/>
  <c r="C80" i="31" s="1"/>
  <c r="E84" i="31"/>
  <c r="F723" i="22"/>
  <c r="D84" i="31"/>
  <c r="C92" i="31"/>
  <c r="D83" i="31"/>
  <c r="E92" i="31"/>
  <c r="E93" i="31" s="1"/>
  <c r="D92" i="31"/>
  <c r="D93" i="31" s="1"/>
  <c r="F84" i="31"/>
  <c r="E83" i="31"/>
  <c r="D79" i="31"/>
  <c r="E79" i="31"/>
  <c r="D39" i="31"/>
  <c r="D61" i="31" s="1"/>
  <c r="P305" i="22" l="1"/>
  <c r="G308" i="22"/>
  <c r="G114" i="22"/>
  <c r="F118" i="22"/>
  <c r="K118" i="22" s="1"/>
  <c r="I106" i="40"/>
  <c r="I673" i="22"/>
  <c r="H677" i="22"/>
  <c r="J106" i="40" s="1"/>
  <c r="F725" i="22"/>
  <c r="G723" i="22"/>
  <c r="C107" i="31"/>
  <c r="C93" i="31"/>
  <c r="C113" i="31" s="1"/>
  <c r="E80" i="31"/>
  <c r="E113" i="31"/>
  <c r="E95" i="31"/>
  <c r="D80" i="31"/>
  <c r="D113" i="31"/>
  <c r="E107" i="31"/>
  <c r="E94" i="31"/>
  <c r="D94" i="31"/>
  <c r="D107" i="31"/>
  <c r="F94" i="31"/>
  <c r="F106" i="31"/>
  <c r="G94" i="31"/>
  <c r="E85" i="31"/>
  <c r="D85" i="31"/>
  <c r="F83" i="31"/>
  <c r="F79" i="31"/>
  <c r="C264" i="22"/>
  <c r="D264" i="22" s="1"/>
  <c r="B264" i="22"/>
  <c r="B263" i="22"/>
  <c r="A263" i="22"/>
  <c r="B149" i="22"/>
  <c r="C24" i="22"/>
  <c r="C149" i="22" s="1"/>
  <c r="D149" i="22" s="1"/>
  <c r="C771" i="22"/>
  <c r="D771" i="22" s="1"/>
  <c r="B771" i="22"/>
  <c r="B770" i="22"/>
  <c r="A770" i="22"/>
  <c r="B765" i="22"/>
  <c r="B764" i="22"/>
  <c r="B763" i="22"/>
  <c r="A763" i="22"/>
  <c r="C760" i="22"/>
  <c r="D760" i="22" s="1"/>
  <c r="E760" i="22" s="1"/>
  <c r="F760" i="22" s="1"/>
  <c r="G760" i="22" s="1"/>
  <c r="H760" i="22" s="1"/>
  <c r="I760" i="22" s="1"/>
  <c r="J760" i="22" s="1"/>
  <c r="B760" i="22"/>
  <c r="C759" i="22"/>
  <c r="B759" i="22"/>
  <c r="B758" i="22"/>
  <c r="A758" i="22"/>
  <c r="D759" i="22"/>
  <c r="C754" i="22"/>
  <c r="D754" i="22" s="1"/>
  <c r="D756" i="22" s="1"/>
  <c r="D121" i="21" s="1"/>
  <c r="B754" i="22"/>
  <c r="B753" i="22"/>
  <c r="A753" i="22"/>
  <c r="B749" i="22"/>
  <c r="B748" i="22"/>
  <c r="A748" i="22"/>
  <c r="D749" i="22"/>
  <c r="D751" i="22" s="1"/>
  <c r="D120" i="21" s="1"/>
  <c r="F740" i="22"/>
  <c r="E740" i="22"/>
  <c r="D740" i="22"/>
  <c r="C744" i="22"/>
  <c r="D744" i="22" s="1"/>
  <c r="B744" i="22"/>
  <c r="B743" i="22"/>
  <c r="A743" i="22"/>
  <c r="F745" i="22"/>
  <c r="E745" i="22"/>
  <c r="D745" i="22"/>
  <c r="C739" i="22"/>
  <c r="D739" i="22" s="1"/>
  <c r="B739" i="22"/>
  <c r="B738" i="22"/>
  <c r="A738" i="22"/>
  <c r="B734" i="22"/>
  <c r="B733" i="22"/>
  <c r="A733" i="22"/>
  <c r="B731" i="22"/>
  <c r="A731" i="22"/>
  <c r="C781" i="22"/>
  <c r="B781" i="22"/>
  <c r="B780" i="22"/>
  <c r="A780" i="22"/>
  <c r="C777" i="22"/>
  <c r="D777" i="22" s="1"/>
  <c r="D127" i="21" s="1"/>
  <c r="B777" i="22"/>
  <c r="B776" i="22"/>
  <c r="A776" i="22"/>
  <c r="D781" i="22"/>
  <c r="B774" i="22"/>
  <c r="A774" i="22"/>
  <c r="H114" i="22" l="1"/>
  <c r="G118" i="22"/>
  <c r="K725" i="22"/>
  <c r="J673" i="22"/>
  <c r="J677" i="22" s="1"/>
  <c r="L106" i="40" s="1"/>
  <c r="I677" i="22"/>
  <c r="K106" i="40" s="1"/>
  <c r="H723" i="22"/>
  <c r="G725" i="22"/>
  <c r="F85" i="31"/>
  <c r="F80" i="31"/>
  <c r="D95" i="31"/>
  <c r="F112" i="31"/>
  <c r="G95" i="31"/>
  <c r="F95" i="31"/>
  <c r="F97" i="31"/>
  <c r="E264" i="22"/>
  <c r="D266" i="22"/>
  <c r="D38" i="21" s="1"/>
  <c r="D761" i="22"/>
  <c r="D122" i="21" s="1"/>
  <c r="E771" i="22"/>
  <c r="D772" i="22"/>
  <c r="D124" i="21" s="1"/>
  <c r="E759" i="22"/>
  <c r="E761" i="22" s="1"/>
  <c r="E122" i="21" s="1"/>
  <c r="E754" i="22"/>
  <c r="E756" i="22" s="1"/>
  <c r="E121" i="21" s="1"/>
  <c r="E749" i="22"/>
  <c r="E751" i="22" s="1"/>
  <c r="E120" i="21" s="1"/>
  <c r="E744" i="22"/>
  <c r="D746" i="22"/>
  <c r="D119" i="21" s="1"/>
  <c r="E739" i="22"/>
  <c r="D741" i="22"/>
  <c r="D118" i="21" s="1"/>
  <c r="E781" i="22"/>
  <c r="D782" i="22"/>
  <c r="D128" i="21" s="1"/>
  <c r="E777" i="22"/>
  <c r="E127" i="21" s="1"/>
  <c r="D778" i="22"/>
  <c r="L677" i="22" l="1"/>
  <c r="I114" i="22"/>
  <c r="H118" i="22"/>
  <c r="M106" i="40"/>
  <c r="I117" i="40"/>
  <c r="I723" i="22"/>
  <c r="H725" i="22"/>
  <c r="J117" i="40" s="1"/>
  <c r="F98" i="31"/>
  <c r="D179" i="21"/>
  <c r="D180" i="21"/>
  <c r="D178" i="21"/>
  <c r="E266" i="22"/>
  <c r="E38" i="21" s="1"/>
  <c r="F264" i="22"/>
  <c r="F266" i="22" s="1"/>
  <c r="F38" i="21" s="1"/>
  <c r="F771" i="22"/>
  <c r="E772" i="22"/>
  <c r="E124" i="21" s="1"/>
  <c r="F759" i="22"/>
  <c r="G759" i="22" s="1"/>
  <c r="F754" i="22"/>
  <c r="F749" i="22"/>
  <c r="E746" i="22"/>
  <c r="E119" i="21" s="1"/>
  <c r="F744" i="22"/>
  <c r="F739" i="22"/>
  <c r="E741" i="22"/>
  <c r="E118" i="21" s="1"/>
  <c r="F781" i="22"/>
  <c r="E782" i="22"/>
  <c r="E128" i="21" s="1"/>
  <c r="F777" i="22"/>
  <c r="F127" i="21" s="1"/>
  <c r="G127" i="21" s="1"/>
  <c r="E778" i="22"/>
  <c r="I118" i="22" l="1"/>
  <c r="J114" i="22"/>
  <c r="J118" i="22" s="1"/>
  <c r="L118" i="22" s="1"/>
  <c r="F782" i="22"/>
  <c r="F128" i="21" s="1"/>
  <c r="G128" i="21" s="1"/>
  <c r="G781" i="22"/>
  <c r="F772" i="22"/>
  <c r="F124" i="21" s="1"/>
  <c r="G124" i="21" s="1"/>
  <c r="G771" i="22"/>
  <c r="F741" i="22"/>
  <c r="F118" i="21" s="1"/>
  <c r="G739" i="22"/>
  <c r="F756" i="22"/>
  <c r="F121" i="21" s="1"/>
  <c r="G121" i="21" s="1"/>
  <c r="G754" i="22"/>
  <c r="F746" i="22"/>
  <c r="F119" i="21" s="1"/>
  <c r="G119" i="21" s="1"/>
  <c r="G744" i="22"/>
  <c r="H759" i="22"/>
  <c r="G761" i="22"/>
  <c r="F751" i="22"/>
  <c r="F120" i="21" s="1"/>
  <c r="G120" i="21" s="1"/>
  <c r="G749" i="22"/>
  <c r="J723" i="22"/>
  <c r="J725" i="22" s="1"/>
  <c r="L117" i="40" s="1"/>
  <c r="I725" i="22"/>
  <c r="K117" i="40" s="1"/>
  <c r="F110" i="31"/>
  <c r="F104" i="31"/>
  <c r="P120" i="21"/>
  <c r="E178" i="21"/>
  <c r="AA178" i="21" s="1"/>
  <c r="Z178" i="21"/>
  <c r="P128" i="21"/>
  <c r="P119" i="21"/>
  <c r="P124" i="21"/>
  <c r="Z180" i="21"/>
  <c r="Z179" i="21"/>
  <c r="E179" i="21"/>
  <c r="AA179" i="21" s="1"/>
  <c r="P121" i="21"/>
  <c r="G38" i="21"/>
  <c r="P39" i="21"/>
  <c r="E180" i="21"/>
  <c r="AA180" i="21" s="1"/>
  <c r="P38" i="21"/>
  <c r="G104" i="31"/>
  <c r="G110" i="31"/>
  <c r="F99" i="31"/>
  <c r="F103" i="31"/>
  <c r="F109" i="31"/>
  <c r="K266" i="22"/>
  <c r="F761" i="22"/>
  <c r="F122" i="21" s="1"/>
  <c r="F178" i="21" s="1"/>
  <c r="F778" i="22"/>
  <c r="K778" i="22" s="1"/>
  <c r="L725" i="22" l="1"/>
  <c r="K746" i="22"/>
  <c r="K782" i="22"/>
  <c r="F180" i="21"/>
  <c r="AB180" i="21" s="1"/>
  <c r="AC180" i="21" s="1"/>
  <c r="F179" i="21"/>
  <c r="AB179" i="21" s="1"/>
  <c r="AC179" i="21" s="1"/>
  <c r="K741" i="22"/>
  <c r="G118" i="21"/>
  <c r="M117" i="40"/>
  <c r="K756" i="22"/>
  <c r="H744" i="22"/>
  <c r="G746" i="22"/>
  <c r="H739" i="22"/>
  <c r="G741" i="22"/>
  <c r="K772" i="22"/>
  <c r="I759" i="22"/>
  <c r="H761" i="22"/>
  <c r="J125" i="40" s="1"/>
  <c r="G756" i="22"/>
  <c r="H754" i="22"/>
  <c r="H771" i="22"/>
  <c r="G772" i="22"/>
  <c r="H781" i="22"/>
  <c r="G782" i="22"/>
  <c r="I125" i="40"/>
  <c r="K751" i="22"/>
  <c r="H749" i="22"/>
  <c r="G751" i="22"/>
  <c r="H49" i="21"/>
  <c r="H142" i="21" s="1"/>
  <c r="AB178" i="21"/>
  <c r="AC178" i="21" s="1"/>
  <c r="G178" i="21"/>
  <c r="F126" i="21"/>
  <c r="F153" i="21" s="1"/>
  <c r="P118" i="21"/>
  <c r="G122" i="21"/>
  <c r="F105" i="31"/>
  <c r="F107" i="31" s="1"/>
  <c r="F111" i="31"/>
  <c r="F113" i="31" s="1"/>
  <c r="G103" i="31"/>
  <c r="G109" i="31"/>
  <c r="F101" i="31"/>
  <c r="H110" i="31"/>
  <c r="H104" i="31"/>
  <c r="K761" i="22"/>
  <c r="G179" i="21" l="1"/>
  <c r="G180" i="21"/>
  <c r="I131" i="40"/>
  <c r="H756" i="22"/>
  <c r="J124" i="40" s="1"/>
  <c r="I754" i="22"/>
  <c r="I744" i="22"/>
  <c r="H746" i="22"/>
  <c r="J122" i="40" s="1"/>
  <c r="H782" i="22"/>
  <c r="J131" i="40" s="1"/>
  <c r="I781" i="22"/>
  <c r="I124" i="40"/>
  <c r="I121" i="40"/>
  <c r="I127" i="40"/>
  <c r="I739" i="22"/>
  <c r="H741" i="22"/>
  <c r="I771" i="22"/>
  <c r="H772" i="22"/>
  <c r="J127" i="40" s="1"/>
  <c r="J759" i="22"/>
  <c r="J761" i="22" s="1"/>
  <c r="L125" i="40" s="1"/>
  <c r="I761" i="22"/>
  <c r="K125" i="40" s="1"/>
  <c r="I122" i="40"/>
  <c r="I749" i="22"/>
  <c r="H751" i="22"/>
  <c r="J123" i="40" s="1"/>
  <c r="I123" i="40"/>
  <c r="I49" i="21"/>
  <c r="I142" i="21" s="1"/>
  <c r="Q145" i="40"/>
  <c r="P140" i="40"/>
  <c r="P145" i="40"/>
  <c r="G126" i="21"/>
  <c r="D126" i="21"/>
  <c r="D153" i="21" s="1"/>
  <c r="P122" i="21"/>
  <c r="E126" i="21"/>
  <c r="E153" i="21" s="1"/>
  <c r="O126" i="21"/>
  <c r="P127" i="21"/>
  <c r="H10" i="21"/>
  <c r="H137" i="21" s="1"/>
  <c r="H101" i="31"/>
  <c r="H103" i="31"/>
  <c r="H109" i="31"/>
  <c r="G101" i="31"/>
  <c r="G105" i="31"/>
  <c r="G107" i="31" s="1"/>
  <c r="G111" i="31"/>
  <c r="B727" i="22"/>
  <c r="A727" i="22"/>
  <c r="B719" i="22"/>
  <c r="C116" i="40" s="1"/>
  <c r="C719" i="22"/>
  <c r="D719" i="22" s="1"/>
  <c r="B718" i="22"/>
  <c r="A718" i="22"/>
  <c r="C715" i="22"/>
  <c r="B715" i="22"/>
  <c r="C115" i="40" s="1"/>
  <c r="B714" i="22"/>
  <c r="A714" i="22"/>
  <c r="D715" i="22"/>
  <c r="C711" i="22"/>
  <c r="D711" i="22" s="1"/>
  <c r="D712" i="22" s="1"/>
  <c r="D111" i="21" s="1"/>
  <c r="B711" i="22"/>
  <c r="C114" i="40" s="1"/>
  <c r="B710" i="22"/>
  <c r="A710" i="22"/>
  <c r="C696" i="22"/>
  <c r="B696" i="22"/>
  <c r="B695" i="22"/>
  <c r="A695" i="22"/>
  <c r="E697" i="22"/>
  <c r="F697" i="22" s="1"/>
  <c r="G697" i="22" s="1"/>
  <c r="F706" i="22"/>
  <c r="E706" i="22"/>
  <c r="D706" i="22"/>
  <c r="B707" i="22"/>
  <c r="B705" i="22"/>
  <c r="A705" i="22"/>
  <c r="C701" i="22"/>
  <c r="D701" i="22" s="1"/>
  <c r="D703" i="22" s="1"/>
  <c r="D109" i="21" s="1"/>
  <c r="B701" i="22"/>
  <c r="B700" i="22"/>
  <c r="A700" i="22"/>
  <c r="E702" i="22"/>
  <c r="F702" i="22" s="1"/>
  <c r="G702" i="22" s="1"/>
  <c r="C691" i="22"/>
  <c r="B691" i="22"/>
  <c r="B690" i="22"/>
  <c r="A690" i="22"/>
  <c r="E692" i="22"/>
  <c r="F692" i="22" s="1"/>
  <c r="G692" i="22" s="1"/>
  <c r="E687" i="22"/>
  <c r="F687" i="22" s="1"/>
  <c r="C686" i="22"/>
  <c r="D686" i="22" s="1"/>
  <c r="D688" i="22" s="1"/>
  <c r="D106" i="21" s="1"/>
  <c r="B686" i="22"/>
  <c r="B685" i="22"/>
  <c r="A685" i="22"/>
  <c r="B662" i="22"/>
  <c r="B661" i="22"/>
  <c r="B660" i="22"/>
  <c r="A660" i="22"/>
  <c r="B655" i="22"/>
  <c r="B654" i="22"/>
  <c r="B653" i="22"/>
  <c r="A653" i="22"/>
  <c r="B648" i="22"/>
  <c r="B647" i="22"/>
  <c r="B646" i="22"/>
  <c r="A646" i="22"/>
  <c r="B639" i="22"/>
  <c r="A639" i="22"/>
  <c r="B633" i="22"/>
  <c r="A633" i="22"/>
  <c r="B634" i="22"/>
  <c r="F629" i="22"/>
  <c r="D629" i="22"/>
  <c r="E629" i="22"/>
  <c r="B628" i="22"/>
  <c r="A628" i="22"/>
  <c r="B624" i="22"/>
  <c r="B623" i="22"/>
  <c r="A623" i="22"/>
  <c r="B621" i="22"/>
  <c r="A621" i="22"/>
  <c r="B615" i="22"/>
  <c r="A615" i="22"/>
  <c r="D609" i="22"/>
  <c r="B605" i="22"/>
  <c r="A605" i="22"/>
  <c r="D619" i="22"/>
  <c r="G619" i="22" s="1"/>
  <c r="H619" i="22" s="1"/>
  <c r="I619" i="22" s="1"/>
  <c r="J619" i="22" s="1"/>
  <c r="B603" i="22"/>
  <c r="A603" i="22"/>
  <c r="C83" i="22"/>
  <c r="L761" i="22" l="1"/>
  <c r="H692" i="22"/>
  <c r="D110" i="40"/>
  <c r="H697" i="22"/>
  <c r="D111" i="40"/>
  <c r="H702" i="22"/>
  <c r="D112" i="40"/>
  <c r="J121" i="40"/>
  <c r="J182" i="40" s="1"/>
  <c r="AN182" i="40" s="1"/>
  <c r="M125" i="40"/>
  <c r="J771" i="22"/>
  <c r="J772" i="22" s="1"/>
  <c r="L127" i="40" s="1"/>
  <c r="I772" i="22"/>
  <c r="J739" i="22"/>
  <c r="J741" i="22" s="1"/>
  <c r="I741" i="22"/>
  <c r="I182" i="40"/>
  <c r="J781" i="22"/>
  <c r="J782" i="22" s="1"/>
  <c r="L131" i="40" s="1"/>
  <c r="I782" i="22"/>
  <c r="K131" i="40" s="1"/>
  <c r="K129" i="40" s="1"/>
  <c r="J754" i="22"/>
  <c r="J756" i="22" s="1"/>
  <c r="L124" i="40" s="1"/>
  <c r="I756" i="22"/>
  <c r="K124" i="40" s="1"/>
  <c r="J129" i="40"/>
  <c r="J183" i="40"/>
  <c r="AN183" i="40" s="1"/>
  <c r="I183" i="40"/>
  <c r="I129" i="40"/>
  <c r="J744" i="22"/>
  <c r="J746" i="22" s="1"/>
  <c r="L122" i="40" s="1"/>
  <c r="I746" i="22"/>
  <c r="L746" i="22" s="1"/>
  <c r="J749" i="22"/>
  <c r="J751" i="22" s="1"/>
  <c r="L123" i="40" s="1"/>
  <c r="I751" i="22"/>
  <c r="K123" i="40" s="1"/>
  <c r="P152" i="40"/>
  <c r="Q140" i="40"/>
  <c r="J49" i="21"/>
  <c r="K49" i="21" s="1"/>
  <c r="R145" i="40"/>
  <c r="S145" i="40"/>
  <c r="P132" i="40"/>
  <c r="H94" i="21"/>
  <c r="H129" i="21" s="1"/>
  <c r="H131" i="21" s="1"/>
  <c r="G153" i="21"/>
  <c r="AC153" i="21" s="1"/>
  <c r="I10" i="21"/>
  <c r="I137" i="21" s="1"/>
  <c r="G113" i="31"/>
  <c r="H111" i="31"/>
  <c r="Q152" i="40" s="1"/>
  <c r="H105" i="31"/>
  <c r="H107" i="31" s="1"/>
  <c r="E619" i="22"/>
  <c r="D93" i="21"/>
  <c r="D91" i="21"/>
  <c r="D729" i="22"/>
  <c r="D115" i="21" s="1"/>
  <c r="D720" i="22"/>
  <c r="D113" i="21" s="1"/>
  <c r="E719" i="22"/>
  <c r="E715" i="22"/>
  <c r="D716" i="22"/>
  <c r="D112" i="21" s="1"/>
  <c r="E711" i="22"/>
  <c r="E712" i="22" s="1"/>
  <c r="E701" i="22"/>
  <c r="E703" i="22" s="1"/>
  <c r="E686" i="22"/>
  <c r="E688" i="22" s="1"/>
  <c r="F114" i="21"/>
  <c r="E114" i="21"/>
  <c r="D114" i="21"/>
  <c r="E609" i="22"/>
  <c r="E91" i="21" s="1"/>
  <c r="C600" i="22"/>
  <c r="D600" i="22" s="1"/>
  <c r="E600" i="22" s="1"/>
  <c r="F600" i="22" s="1"/>
  <c r="G600" i="22" s="1"/>
  <c r="H600" i="22" s="1"/>
  <c r="I600" i="22" s="1"/>
  <c r="J600" i="22" s="1"/>
  <c r="B600" i="22"/>
  <c r="B596" i="22"/>
  <c r="A596" i="22"/>
  <c r="C591" i="22"/>
  <c r="D591" i="22" s="1"/>
  <c r="E591" i="22" s="1"/>
  <c r="F591" i="22" s="1"/>
  <c r="G591" i="22" s="1"/>
  <c r="B591" i="22"/>
  <c r="B590" i="22"/>
  <c r="B584" i="22"/>
  <c r="A584" i="22"/>
  <c r="F588" i="22"/>
  <c r="E588" i="22"/>
  <c r="D588" i="22"/>
  <c r="F587" i="22"/>
  <c r="F589" i="22" s="1"/>
  <c r="E587" i="22"/>
  <c r="E589" i="22" s="1"/>
  <c r="D587" i="22"/>
  <c r="D589" i="22" s="1"/>
  <c r="F576" i="22"/>
  <c r="E576" i="22"/>
  <c r="D576" i="22"/>
  <c r="F575" i="22"/>
  <c r="F577" i="22" s="1"/>
  <c r="E575" i="22"/>
  <c r="E577" i="22" s="1"/>
  <c r="D575" i="22"/>
  <c r="D577" i="22" s="1"/>
  <c r="C579" i="22"/>
  <c r="D579" i="22" s="1"/>
  <c r="E579" i="22" s="1"/>
  <c r="F579" i="22" s="1"/>
  <c r="G579" i="22" s="1"/>
  <c r="C578" i="22"/>
  <c r="D578" i="22" s="1"/>
  <c r="B579" i="22"/>
  <c r="B578" i="22"/>
  <c r="B572" i="22"/>
  <c r="A572" i="22"/>
  <c r="B567" i="22"/>
  <c r="B566" i="22"/>
  <c r="B565" i="22"/>
  <c r="A565" i="22"/>
  <c r="B562" i="22"/>
  <c r="B560" i="22"/>
  <c r="A560" i="22"/>
  <c r="B558" i="22"/>
  <c r="A558" i="22"/>
  <c r="C75" i="22"/>
  <c r="D555" i="22"/>
  <c r="E555" i="22" s="1"/>
  <c r="F555" i="22" s="1"/>
  <c r="G555" i="22" s="1"/>
  <c r="D85" i="40" s="1"/>
  <c r="B553" i="22"/>
  <c r="C554" i="22"/>
  <c r="D554" i="22" s="1"/>
  <c r="B554" i="22"/>
  <c r="A553" i="22"/>
  <c r="D550" i="22"/>
  <c r="C549" i="22"/>
  <c r="D549" i="22" s="1"/>
  <c r="B549" i="22"/>
  <c r="B548" i="22"/>
  <c r="A548" i="22"/>
  <c r="F544" i="22"/>
  <c r="E544" i="22"/>
  <c r="D544" i="22"/>
  <c r="B543" i="22"/>
  <c r="A543" i="22"/>
  <c r="B541" i="22"/>
  <c r="A541" i="22"/>
  <c r="C344" i="22"/>
  <c r="B344" i="22"/>
  <c r="B517" i="22"/>
  <c r="B516" i="22"/>
  <c r="B515" i="22"/>
  <c r="A515" i="22"/>
  <c r="B529" i="22"/>
  <c r="A529" i="22"/>
  <c r="C28" i="22"/>
  <c r="C81" i="22"/>
  <c r="C590" i="22" s="1"/>
  <c r="D590" i="22" s="1"/>
  <c r="E590" i="22" s="1"/>
  <c r="F590" i="22" s="1"/>
  <c r="G590" i="22" s="1"/>
  <c r="I702" i="22" l="1"/>
  <c r="E112" i="40"/>
  <c r="L772" i="22"/>
  <c r="L756" i="22"/>
  <c r="I692" i="22"/>
  <c r="E110" i="40"/>
  <c r="L782" i="22"/>
  <c r="L774" i="22" s="1"/>
  <c r="L741" i="22"/>
  <c r="I697" i="22"/>
  <c r="E111" i="40"/>
  <c r="L751" i="22"/>
  <c r="D269" i="40"/>
  <c r="K156" i="40"/>
  <c r="J156" i="40"/>
  <c r="I156" i="40"/>
  <c r="L121" i="40"/>
  <c r="L182" i="40" s="1"/>
  <c r="M124" i="40"/>
  <c r="H555" i="22"/>
  <c r="E85" i="40" s="1"/>
  <c r="G556" i="22"/>
  <c r="L129" i="40"/>
  <c r="L183" i="40"/>
  <c r="AO183" i="40" s="1"/>
  <c r="K122" i="40"/>
  <c r="M122" i="40" s="1"/>
  <c r="M131" i="40"/>
  <c r="M129" i="40" s="1"/>
  <c r="AL182" i="40"/>
  <c r="K127" i="40"/>
  <c r="M127" i="40" s="1"/>
  <c r="AL183" i="40"/>
  <c r="K121" i="40"/>
  <c r="G581" i="22"/>
  <c r="H579" i="22"/>
  <c r="H591" i="22"/>
  <c r="G593" i="22"/>
  <c r="G592" i="22"/>
  <c r="H590" i="22"/>
  <c r="M123" i="40"/>
  <c r="T145" i="40"/>
  <c r="Q157" i="40"/>
  <c r="J142" i="21"/>
  <c r="K142" i="21" s="1"/>
  <c r="P157" i="40"/>
  <c r="P158" i="40" s="1"/>
  <c r="T51" i="40"/>
  <c r="D257" i="40" s="1"/>
  <c r="Q132" i="40"/>
  <c r="E109" i="21"/>
  <c r="E111" i="21"/>
  <c r="E106" i="21"/>
  <c r="I94" i="21"/>
  <c r="I149" i="21" s="1"/>
  <c r="I154" i="21" s="1"/>
  <c r="I156" i="21" s="1"/>
  <c r="H149" i="21"/>
  <c r="H154" i="21" s="1"/>
  <c r="H156" i="21" s="1"/>
  <c r="X126" i="21"/>
  <c r="P126" i="21"/>
  <c r="M126" i="21"/>
  <c r="G114" i="21"/>
  <c r="V126" i="21"/>
  <c r="N126" i="21"/>
  <c r="H187" i="21"/>
  <c r="H214" i="21"/>
  <c r="H232" i="21"/>
  <c r="J10" i="21"/>
  <c r="J137" i="21" s="1"/>
  <c r="H113" i="31"/>
  <c r="E93" i="21"/>
  <c r="F619" i="22"/>
  <c r="F729" i="22"/>
  <c r="E729" i="22"/>
  <c r="E720" i="22"/>
  <c r="F719" i="22"/>
  <c r="F715" i="22"/>
  <c r="E716" i="22"/>
  <c r="F711" i="22"/>
  <c r="F701" i="22"/>
  <c r="F686" i="22"/>
  <c r="D580" i="22"/>
  <c r="E581" i="22"/>
  <c r="F609" i="22"/>
  <c r="H75" i="31"/>
  <c r="F581" i="22"/>
  <c r="D581" i="22"/>
  <c r="D593" i="22"/>
  <c r="E593" i="22"/>
  <c r="D592" i="22"/>
  <c r="F593" i="22"/>
  <c r="E592" i="22"/>
  <c r="F592" i="22"/>
  <c r="E578" i="22"/>
  <c r="E580" i="22" s="1"/>
  <c r="E554" i="22"/>
  <c r="D556" i="22"/>
  <c r="D83" i="21" s="1"/>
  <c r="D551" i="22"/>
  <c r="D82" i="21" s="1"/>
  <c r="E549" i="22"/>
  <c r="J697" i="22" l="1"/>
  <c r="G111" i="40" s="1"/>
  <c r="F111" i="40"/>
  <c r="J692" i="22"/>
  <c r="G110" i="40" s="1"/>
  <c r="F110" i="40"/>
  <c r="J702" i="22"/>
  <c r="G112" i="40" s="1"/>
  <c r="F112" i="40"/>
  <c r="P133" i="40"/>
  <c r="Q158" i="40"/>
  <c r="Q159" i="40" s="1"/>
  <c r="L156" i="40"/>
  <c r="M156" i="40" s="1"/>
  <c r="AO156" i="40" s="1"/>
  <c r="M121" i="40"/>
  <c r="AO182" i="40"/>
  <c r="AP182" i="40" s="1"/>
  <c r="M182" i="40"/>
  <c r="AP183" i="40"/>
  <c r="F703" i="22"/>
  <c r="F109" i="21" s="1"/>
  <c r="G109" i="21" s="1"/>
  <c r="G701" i="22"/>
  <c r="F720" i="22"/>
  <c r="F113" i="21" s="1"/>
  <c r="G719" i="22"/>
  <c r="F712" i="22"/>
  <c r="F111" i="21" s="1"/>
  <c r="G111" i="21" s="1"/>
  <c r="G711" i="22"/>
  <c r="M183" i="40"/>
  <c r="I85" i="40"/>
  <c r="F688" i="22"/>
  <c r="K688" i="22" s="1"/>
  <c r="G686" i="22"/>
  <c r="F716" i="22"/>
  <c r="K716" i="22" s="1"/>
  <c r="G715" i="22"/>
  <c r="I555" i="22"/>
  <c r="F85" i="40" s="1"/>
  <c r="H556" i="22"/>
  <c r="J85" i="40" s="1"/>
  <c r="G594" i="22"/>
  <c r="H592" i="22"/>
  <c r="I590" i="22"/>
  <c r="I591" i="22"/>
  <c r="H593" i="22"/>
  <c r="H581" i="22"/>
  <c r="I579" i="22"/>
  <c r="S140" i="40"/>
  <c r="S152" i="40"/>
  <c r="T10" i="40"/>
  <c r="D255" i="40" s="1"/>
  <c r="P159" i="40"/>
  <c r="H609" i="22"/>
  <c r="I93" i="40"/>
  <c r="J75" i="31" s="1"/>
  <c r="F93" i="21"/>
  <c r="F106" i="21"/>
  <c r="G106" i="21" s="1"/>
  <c r="F115" i="21"/>
  <c r="E113" i="21"/>
  <c r="E112" i="21"/>
  <c r="E115" i="21"/>
  <c r="H158" i="21"/>
  <c r="J94" i="21"/>
  <c r="J149" i="21" s="1"/>
  <c r="I129" i="21"/>
  <c r="I131" i="21" s="1"/>
  <c r="I187" i="21" s="1"/>
  <c r="K137" i="21"/>
  <c r="P113" i="21"/>
  <c r="P115" i="21"/>
  <c r="P109" i="21"/>
  <c r="P111" i="21"/>
  <c r="P114" i="21"/>
  <c r="P112" i="21"/>
  <c r="K619" i="22"/>
  <c r="K10" i="21"/>
  <c r="J129" i="21"/>
  <c r="J131" i="21" s="1"/>
  <c r="H77" i="31"/>
  <c r="F91" i="21"/>
  <c r="I75" i="31" s="1"/>
  <c r="E582" i="22"/>
  <c r="E87" i="21" s="1"/>
  <c r="K729" i="22"/>
  <c r="D582" i="22"/>
  <c r="D87" i="21" s="1"/>
  <c r="K609" i="22"/>
  <c r="F594" i="22"/>
  <c r="F88" i="21" s="1"/>
  <c r="D594" i="22"/>
  <c r="D88" i="21" s="1"/>
  <c r="E594" i="22"/>
  <c r="E88" i="21" s="1"/>
  <c r="X88" i="21" s="1"/>
  <c r="X84" i="21" s="1"/>
  <c r="F578" i="22"/>
  <c r="F554" i="22"/>
  <c r="F556" i="22" s="1"/>
  <c r="F83" i="21" s="1"/>
  <c r="E556" i="22"/>
  <c r="E83" i="21" s="1"/>
  <c r="E551" i="22"/>
  <c r="E82" i="21" s="1"/>
  <c r="F549" i="22"/>
  <c r="F551" i="22" s="1"/>
  <c r="F82" i="21" s="1"/>
  <c r="I90" i="40" l="1"/>
  <c r="K703" i="22"/>
  <c r="F112" i="21"/>
  <c r="G112" i="21" s="1"/>
  <c r="Q133" i="40"/>
  <c r="P187" i="40"/>
  <c r="P134" i="40"/>
  <c r="P161" i="40" s="1"/>
  <c r="G115" i="21"/>
  <c r="K712" i="22"/>
  <c r="K720" i="22"/>
  <c r="J555" i="22"/>
  <c r="I556" i="22"/>
  <c r="K85" i="40" s="1"/>
  <c r="G712" i="22"/>
  <c r="H711" i="22"/>
  <c r="G703" i="22"/>
  <c r="H701" i="22"/>
  <c r="G113" i="21"/>
  <c r="H719" i="22"/>
  <c r="G720" i="22"/>
  <c r="H686" i="22"/>
  <c r="G688" i="22"/>
  <c r="G716" i="22"/>
  <c r="H715" i="22"/>
  <c r="F580" i="22"/>
  <c r="F582" i="22" s="1"/>
  <c r="F87" i="21" s="1"/>
  <c r="G87" i="21" s="1"/>
  <c r="G578" i="22"/>
  <c r="J579" i="22"/>
  <c r="J581" i="22" s="1"/>
  <c r="I581" i="22"/>
  <c r="J591" i="22"/>
  <c r="J593" i="22" s="1"/>
  <c r="I593" i="22"/>
  <c r="J590" i="22"/>
  <c r="J592" i="22" s="1"/>
  <c r="I592" i="22"/>
  <c r="H594" i="22"/>
  <c r="R132" i="40"/>
  <c r="R152" i="40"/>
  <c r="R157" i="40" s="1"/>
  <c r="S132" i="40"/>
  <c r="G93" i="21"/>
  <c r="I77" i="31"/>
  <c r="I74" i="31" s="1"/>
  <c r="S157" i="40"/>
  <c r="S158" i="40" s="1"/>
  <c r="S133" i="40" s="1"/>
  <c r="S187" i="40" s="1"/>
  <c r="T140" i="40"/>
  <c r="T96" i="40"/>
  <c r="T132" i="40" s="1"/>
  <c r="M118" i="40"/>
  <c r="I609" i="22"/>
  <c r="J93" i="40"/>
  <c r="K75" i="31" s="1"/>
  <c r="I95" i="40"/>
  <c r="J77" i="31" s="1"/>
  <c r="J74" i="31" s="1"/>
  <c r="I232" i="21"/>
  <c r="I214" i="21"/>
  <c r="I158" i="21"/>
  <c r="K94" i="21"/>
  <c r="K149" i="21"/>
  <c r="J154" i="21"/>
  <c r="J156" i="21" s="1"/>
  <c r="G83" i="21"/>
  <c r="P83" i="21"/>
  <c r="G82" i="21"/>
  <c r="G88" i="21"/>
  <c r="P82" i="21"/>
  <c r="J187" i="21"/>
  <c r="J214" i="21"/>
  <c r="J232" i="21"/>
  <c r="G91" i="21"/>
  <c r="AB93" i="21"/>
  <c r="P93" i="21"/>
  <c r="K594" i="22"/>
  <c r="K556" i="22"/>
  <c r="K551" i="22"/>
  <c r="J556" i="22" l="1"/>
  <c r="L85" i="40" s="1"/>
  <c r="G85" i="40"/>
  <c r="R158" i="40"/>
  <c r="Q187" i="40"/>
  <c r="T187" i="40" s="1"/>
  <c r="T188" i="40" s="1"/>
  <c r="Q134" i="40"/>
  <c r="S134" i="40"/>
  <c r="S206" i="40"/>
  <c r="S188" i="40"/>
  <c r="S200" i="40"/>
  <c r="S203" i="40"/>
  <c r="S197" i="40"/>
  <c r="S223" i="40" s="1"/>
  <c r="S196" i="40"/>
  <c r="S211" i="40"/>
  <c r="S230" i="40" s="1"/>
  <c r="S213" i="40"/>
  <c r="S201" i="40"/>
  <c r="S208" i="40"/>
  <c r="S198" i="40"/>
  <c r="S204" i="40"/>
  <c r="S207" i="40"/>
  <c r="S199" i="40"/>
  <c r="S209" i="40"/>
  <c r="S227" i="40" s="1"/>
  <c r="S212" i="40"/>
  <c r="S231" i="40" s="1"/>
  <c r="S205" i="40"/>
  <c r="S214" i="40"/>
  <c r="S232" i="40" s="1"/>
  <c r="S210" i="40"/>
  <c r="S229" i="40" s="1"/>
  <c r="S202" i="40"/>
  <c r="P203" i="40"/>
  <c r="P205" i="40"/>
  <c r="P200" i="40"/>
  <c r="P210" i="40"/>
  <c r="P209" i="40"/>
  <c r="P206" i="40"/>
  <c r="P197" i="40"/>
  <c r="P201" i="40"/>
  <c r="P204" i="40"/>
  <c r="P208" i="40"/>
  <c r="P196" i="40"/>
  <c r="P211" i="40"/>
  <c r="P212" i="40"/>
  <c r="P213" i="40"/>
  <c r="P202" i="40"/>
  <c r="P198" i="40"/>
  <c r="P199" i="40"/>
  <c r="P188" i="40"/>
  <c r="P190" i="40" s="1"/>
  <c r="P214" i="40"/>
  <c r="P207" i="40"/>
  <c r="K582" i="22"/>
  <c r="M85" i="40"/>
  <c r="I686" i="22"/>
  <c r="H688" i="22"/>
  <c r="J109" i="40" s="1"/>
  <c r="I711" i="22"/>
  <c r="H712" i="22"/>
  <c r="J114" i="40" s="1"/>
  <c r="I715" i="22"/>
  <c r="H716" i="22"/>
  <c r="J115" i="40" s="1"/>
  <c r="I116" i="40"/>
  <c r="I114" i="40"/>
  <c r="I115" i="40"/>
  <c r="I719" i="22"/>
  <c r="H720" i="22"/>
  <c r="J116" i="40" s="1"/>
  <c r="H703" i="22"/>
  <c r="J112" i="40" s="1"/>
  <c r="I701" i="22"/>
  <c r="I109" i="40"/>
  <c r="I112" i="40"/>
  <c r="I594" i="22"/>
  <c r="K90" i="40" s="1"/>
  <c r="J594" i="22"/>
  <c r="L90" i="40" s="1"/>
  <c r="J90" i="40"/>
  <c r="H578" i="22"/>
  <c r="G580" i="22"/>
  <c r="G582" i="22" s="1"/>
  <c r="T152" i="40"/>
  <c r="D259" i="40" s="1"/>
  <c r="S159" i="40"/>
  <c r="T157" i="40"/>
  <c r="J609" i="22"/>
  <c r="L93" i="40" s="1"/>
  <c r="M75" i="31" s="1"/>
  <c r="K93" i="40"/>
  <c r="L75" i="31" s="1"/>
  <c r="I92" i="40"/>
  <c r="I151" i="40" s="1"/>
  <c r="J95" i="40"/>
  <c r="K77" i="31" s="1"/>
  <c r="K74" i="31" s="1"/>
  <c r="K129" i="21"/>
  <c r="K131" i="21" s="1"/>
  <c r="J158" i="21"/>
  <c r="K154" i="21"/>
  <c r="K156" i="21" s="1"/>
  <c r="P106" i="21"/>
  <c r="P88" i="21"/>
  <c r="P87" i="21"/>
  <c r="P89" i="21"/>
  <c r="X93" i="21"/>
  <c r="E524" i="22"/>
  <c r="F524" i="22" s="1"/>
  <c r="G524" i="22" s="1"/>
  <c r="H524" i="22" s="1"/>
  <c r="I524" i="22" s="1"/>
  <c r="J524" i="22" s="1"/>
  <c r="A522" i="22"/>
  <c r="B522" i="22"/>
  <c r="B536" i="22"/>
  <c r="A536" i="22"/>
  <c r="B500" i="22"/>
  <c r="A500" i="22"/>
  <c r="B502" i="22"/>
  <c r="A502" i="22"/>
  <c r="L556" i="22" l="1"/>
  <c r="L594" i="22"/>
  <c r="L609" i="22"/>
  <c r="S225" i="40"/>
  <c r="S226" i="40"/>
  <c r="S190" i="40"/>
  <c r="S161" i="40"/>
  <c r="P224" i="40"/>
  <c r="P229" i="40"/>
  <c r="S228" i="40"/>
  <c r="S215" i="40"/>
  <c r="S217" i="40" s="1"/>
  <c r="P231" i="40"/>
  <c r="P226" i="40"/>
  <c r="P227" i="40"/>
  <c r="P230" i="40"/>
  <c r="Q161" i="40"/>
  <c r="R133" i="40"/>
  <c r="T158" i="40"/>
  <c r="D260" i="40" s="1"/>
  <c r="D272" i="40"/>
  <c r="D273" i="40" s="1"/>
  <c r="P232" i="40"/>
  <c r="P225" i="40"/>
  <c r="P228" i="40"/>
  <c r="P215" i="40"/>
  <c r="P217" i="40" s="1"/>
  <c r="P223" i="40"/>
  <c r="S224" i="40"/>
  <c r="Q212" i="40"/>
  <c r="Q231" i="40" s="1"/>
  <c r="Q200" i="40"/>
  <c r="T200" i="40" s="1"/>
  <c r="Q196" i="40"/>
  <c r="Q203" i="40"/>
  <c r="T203" i="40" s="1"/>
  <c r="Q214" i="40"/>
  <c r="Q232" i="40" s="1"/>
  <c r="Q209" i="40"/>
  <c r="Q227" i="40" s="1"/>
  <c r="Q211" i="40"/>
  <c r="Q230" i="40" s="1"/>
  <c r="Q188" i="40"/>
  <c r="Q190" i="40" s="1"/>
  <c r="Q210" i="40"/>
  <c r="Q229" i="40" s="1"/>
  <c r="Q201" i="40"/>
  <c r="T201" i="40" s="1"/>
  <c r="Q199" i="40"/>
  <c r="T199" i="40" s="1"/>
  <c r="Q205" i="40"/>
  <c r="T205" i="40" s="1"/>
  <c r="Q207" i="40"/>
  <c r="T207" i="40" s="1"/>
  <c r="Q204" i="40"/>
  <c r="Q213" i="40"/>
  <c r="T213" i="40" s="1"/>
  <c r="Q197" i="40"/>
  <c r="Q223" i="40" s="1"/>
  <c r="Q208" i="40"/>
  <c r="T208" i="40" s="1"/>
  <c r="Q206" i="40"/>
  <c r="T206" i="40" s="1"/>
  <c r="Q198" i="40"/>
  <c r="Q202" i="40"/>
  <c r="R159" i="40"/>
  <c r="J701" i="22"/>
  <c r="J703" i="22" s="1"/>
  <c r="L112" i="40" s="1"/>
  <c r="I703" i="22"/>
  <c r="L703" i="22" s="1"/>
  <c r="J711" i="22"/>
  <c r="J712" i="22" s="1"/>
  <c r="L114" i="40" s="1"/>
  <c r="I712" i="22"/>
  <c r="K114" i="40" s="1"/>
  <c r="J719" i="22"/>
  <c r="J720" i="22" s="1"/>
  <c r="L116" i="40" s="1"/>
  <c r="I720" i="22"/>
  <c r="L720" i="22" s="1"/>
  <c r="J715" i="22"/>
  <c r="J716" i="22" s="1"/>
  <c r="L115" i="40" s="1"/>
  <c r="I716" i="22"/>
  <c r="J686" i="22"/>
  <c r="J688" i="22" s="1"/>
  <c r="L109" i="40" s="1"/>
  <c r="I688" i="22"/>
  <c r="L688" i="22" s="1"/>
  <c r="M90" i="40"/>
  <c r="I578" i="22"/>
  <c r="H580" i="22"/>
  <c r="H582" i="22" s="1"/>
  <c r="J89" i="40" s="1"/>
  <c r="I89" i="40"/>
  <c r="M93" i="40"/>
  <c r="K95" i="40"/>
  <c r="J92" i="40"/>
  <c r="J151" i="40" s="1"/>
  <c r="K187" i="21"/>
  <c r="K232" i="21"/>
  <c r="K214" i="21"/>
  <c r="K158" i="21"/>
  <c r="E90" i="21"/>
  <c r="P91" i="21"/>
  <c r="G90" i="21"/>
  <c r="D90" i="21"/>
  <c r="F90" i="21"/>
  <c r="C496" i="22"/>
  <c r="D496" i="22" s="1"/>
  <c r="B496" i="22"/>
  <c r="B495" i="22"/>
  <c r="A495" i="22"/>
  <c r="B490" i="22"/>
  <c r="A490" i="22"/>
  <c r="B485" i="22"/>
  <c r="A485" i="22"/>
  <c r="B475" i="22"/>
  <c r="A475" i="22"/>
  <c r="K435" i="22"/>
  <c r="F435" i="22"/>
  <c r="E435" i="22"/>
  <c r="D435" i="22"/>
  <c r="C435" i="22"/>
  <c r="K433" i="22"/>
  <c r="F433" i="22"/>
  <c r="E433" i="22"/>
  <c r="D433" i="22"/>
  <c r="C433" i="22"/>
  <c r="B427" i="22"/>
  <c r="A427" i="22"/>
  <c r="F459" i="22"/>
  <c r="E459" i="22"/>
  <c r="D459" i="22"/>
  <c r="B456" i="22"/>
  <c r="B464" i="22" s="1"/>
  <c r="B472" i="22" s="1"/>
  <c r="B455" i="22"/>
  <c r="B463" i="22" s="1"/>
  <c r="B471" i="22" s="1"/>
  <c r="B454" i="22"/>
  <c r="B462" i="22" s="1"/>
  <c r="B470" i="22" s="1"/>
  <c r="B453" i="22"/>
  <c r="B461" i="22" s="1"/>
  <c r="B469" i="22" s="1"/>
  <c r="B452" i="22"/>
  <c r="B460" i="22" s="1"/>
  <c r="B468" i="22" s="1"/>
  <c r="F451" i="22"/>
  <c r="F467" i="22" s="1"/>
  <c r="E451" i="22"/>
  <c r="E467" i="22" s="1"/>
  <c r="D451" i="22"/>
  <c r="D467" i="22" s="1"/>
  <c r="D437" i="22"/>
  <c r="E437" i="22" s="1"/>
  <c r="K389" i="22"/>
  <c r="F403" i="22"/>
  <c r="F419" i="22" s="1"/>
  <c r="F411" i="22"/>
  <c r="E411" i="22"/>
  <c r="D411" i="22"/>
  <c r="B408" i="22"/>
  <c r="B416" i="22" s="1"/>
  <c r="B424" i="22" s="1"/>
  <c r="B407" i="22"/>
  <c r="B415" i="22" s="1"/>
  <c r="B423" i="22" s="1"/>
  <c r="B406" i="22"/>
  <c r="B414" i="22" s="1"/>
  <c r="B422" i="22" s="1"/>
  <c r="B405" i="22"/>
  <c r="B413" i="22" s="1"/>
  <c r="B421" i="22" s="1"/>
  <c r="B404" i="22"/>
  <c r="B412" i="22" s="1"/>
  <c r="B420" i="22" s="1"/>
  <c r="E403" i="22"/>
  <c r="E419" i="22" s="1"/>
  <c r="D403" i="22"/>
  <c r="D419" i="22" s="1"/>
  <c r="B379" i="22"/>
  <c r="A379" i="22"/>
  <c r="B377" i="22"/>
  <c r="A377" i="22"/>
  <c r="B316" i="22"/>
  <c r="A316" i="22"/>
  <c r="B302" i="22"/>
  <c r="A302" i="22"/>
  <c r="B310" i="22"/>
  <c r="A310" i="22"/>
  <c r="D314" i="22"/>
  <c r="D48" i="21" s="1"/>
  <c r="B304" i="22"/>
  <c r="A304" i="22"/>
  <c r="D47" i="21"/>
  <c r="C298" i="22"/>
  <c r="D298" i="22" s="1"/>
  <c r="B298" i="22"/>
  <c r="B297" i="22"/>
  <c r="A297" i="22"/>
  <c r="C288" i="22"/>
  <c r="D288" i="22" s="1"/>
  <c r="B288" i="22"/>
  <c r="B287" i="22"/>
  <c r="A287" i="22"/>
  <c r="E283" i="22"/>
  <c r="F283" i="22"/>
  <c r="D283" i="22"/>
  <c r="B284" i="22"/>
  <c r="B282" i="22"/>
  <c r="A282" i="22"/>
  <c r="B280" i="22"/>
  <c r="A280" i="22"/>
  <c r="B259" i="22"/>
  <c r="B258" i="22"/>
  <c r="A258" i="22"/>
  <c r="F255" i="22"/>
  <c r="E255" i="22"/>
  <c r="D255" i="22"/>
  <c r="F250" i="22"/>
  <c r="D250" i="22"/>
  <c r="B253" i="22"/>
  <c r="A253" i="22"/>
  <c r="B248" i="22"/>
  <c r="A248" i="22"/>
  <c r="C254" i="22"/>
  <c r="D254" i="22" s="1"/>
  <c r="B254" i="22"/>
  <c r="C249" i="22"/>
  <c r="D249" i="22" s="1"/>
  <c r="B249" i="22"/>
  <c r="L712" i="22" l="1"/>
  <c r="L716" i="22"/>
  <c r="L95" i="40"/>
  <c r="M77" i="31" s="1"/>
  <c r="M74" i="31" s="1"/>
  <c r="L619" i="22"/>
  <c r="L603" i="22" s="1"/>
  <c r="T212" i="40"/>
  <c r="S233" i="40"/>
  <c r="S235" i="40" s="1"/>
  <c r="Q226" i="40"/>
  <c r="T197" i="40"/>
  <c r="T232" i="40"/>
  <c r="T227" i="40"/>
  <c r="Q224" i="40"/>
  <c r="T224" i="40" s="1"/>
  <c r="T159" i="40"/>
  <c r="D261" i="40" s="1"/>
  <c r="Q228" i="40"/>
  <c r="T228" i="40" s="1"/>
  <c r="Q215" i="40"/>
  <c r="Q217" i="40" s="1"/>
  <c r="T133" i="40"/>
  <c r="T134" i="40" s="1"/>
  <c r="R134" i="40"/>
  <c r="T198" i="40"/>
  <c r="T230" i="40"/>
  <c r="T204" i="40"/>
  <c r="T210" i="40"/>
  <c r="Q225" i="40"/>
  <c r="T225" i="40" s="1"/>
  <c r="T202" i="40"/>
  <c r="T226" i="40"/>
  <c r="T223" i="40"/>
  <c r="P233" i="40"/>
  <c r="P235" i="40" s="1"/>
  <c r="T196" i="40"/>
  <c r="T214" i="40"/>
  <c r="T211" i="40"/>
  <c r="T209" i="40"/>
  <c r="T231" i="40"/>
  <c r="T229" i="40"/>
  <c r="M114" i="40"/>
  <c r="K116" i="40"/>
  <c r="M116" i="40" s="1"/>
  <c r="K109" i="40"/>
  <c r="M109" i="40" s="1"/>
  <c r="K115" i="40"/>
  <c r="M115" i="40" s="1"/>
  <c r="K112" i="40"/>
  <c r="M112" i="40" s="1"/>
  <c r="J578" i="22"/>
  <c r="J580" i="22" s="1"/>
  <c r="J582" i="22" s="1"/>
  <c r="L89" i="40" s="1"/>
  <c r="I580" i="22"/>
  <c r="I582" i="22" s="1"/>
  <c r="L582" i="22" s="1"/>
  <c r="K92" i="40"/>
  <c r="K151" i="40" s="1"/>
  <c r="L77" i="31"/>
  <c r="L74" i="31" s="1"/>
  <c r="AB91" i="21"/>
  <c r="X91" i="21"/>
  <c r="E148" i="21"/>
  <c r="D176" i="21"/>
  <c r="F148" i="21"/>
  <c r="D148" i="21"/>
  <c r="D290" i="22"/>
  <c r="D43" i="21" s="1"/>
  <c r="E298" i="22"/>
  <c r="E300" i="22" s="1"/>
  <c r="E45" i="21" s="1"/>
  <c r="D300" i="22"/>
  <c r="D45" i="21" s="1"/>
  <c r="E314" i="22"/>
  <c r="E308" i="22"/>
  <c r="E47" i="21" s="1"/>
  <c r="E496" i="22"/>
  <c r="E498" i="22" s="1"/>
  <c r="E70" i="21" s="1"/>
  <c r="D498" i="22"/>
  <c r="D70" i="21" s="1"/>
  <c r="K437" i="22"/>
  <c r="F437" i="22"/>
  <c r="E288" i="22"/>
  <c r="E254" i="22"/>
  <c r="D256" i="22"/>
  <c r="D36" i="21" s="1"/>
  <c r="D251" i="22"/>
  <c r="D35" i="21" s="1"/>
  <c r="E249" i="22"/>
  <c r="L92" i="40" l="1"/>
  <c r="L151" i="40" s="1"/>
  <c r="M151" i="40" s="1"/>
  <c r="AO151" i="40" s="1"/>
  <c r="M95" i="40"/>
  <c r="M92" i="40" s="1"/>
  <c r="T161" i="40"/>
  <c r="Q233" i="40"/>
  <c r="Q235" i="40" s="1"/>
  <c r="T215" i="40"/>
  <c r="T217" i="40" s="1"/>
  <c r="T190" i="40"/>
  <c r="T233" i="40"/>
  <c r="T235" i="40" s="1"/>
  <c r="K89" i="40"/>
  <c r="M89" i="40" s="1"/>
  <c r="E48" i="21"/>
  <c r="H72" i="31" s="1"/>
  <c r="F314" i="22"/>
  <c r="F298" i="22"/>
  <c r="D164" i="21"/>
  <c r="Z164" i="21" s="1"/>
  <c r="E176" i="21"/>
  <c r="P90" i="21"/>
  <c r="M90" i="21"/>
  <c r="O90" i="21"/>
  <c r="E164" i="21"/>
  <c r="G148" i="21"/>
  <c r="Z176" i="21"/>
  <c r="N90" i="21"/>
  <c r="E290" i="22"/>
  <c r="E43" i="21" s="1"/>
  <c r="F308" i="22"/>
  <c r="F496" i="22"/>
  <c r="F288" i="22"/>
  <c r="E256" i="22"/>
  <c r="E36" i="21" s="1"/>
  <c r="F254" i="22"/>
  <c r="F256" i="22" s="1"/>
  <c r="F36" i="21" s="1"/>
  <c r="E251" i="22"/>
  <c r="E35" i="21" s="1"/>
  <c r="F249" i="22"/>
  <c r="F251" i="22" s="1"/>
  <c r="F35" i="21" s="1"/>
  <c r="F498" i="22" l="1"/>
  <c r="F70" i="21" s="1"/>
  <c r="G70" i="21" s="1"/>
  <c r="G496" i="22"/>
  <c r="F300" i="22"/>
  <c r="K300" i="22" s="1"/>
  <c r="G298" i="22"/>
  <c r="H314" i="22"/>
  <c r="I50" i="40"/>
  <c r="J72" i="31" s="1"/>
  <c r="F48" i="21"/>
  <c r="F290" i="22"/>
  <c r="F43" i="21" s="1"/>
  <c r="G43" i="21" s="1"/>
  <c r="G288" i="22"/>
  <c r="F47" i="21"/>
  <c r="F45" i="21"/>
  <c r="G45" i="21" s="1"/>
  <c r="G35" i="21"/>
  <c r="P70" i="21"/>
  <c r="P35" i="21"/>
  <c r="G36" i="21"/>
  <c r="P43" i="21"/>
  <c r="P36" i="21"/>
  <c r="V90" i="21"/>
  <c r="Z90" i="21"/>
  <c r="AA164" i="21"/>
  <c r="X90" i="21"/>
  <c r="U90" i="21"/>
  <c r="W90" i="21"/>
  <c r="AA90" i="21"/>
  <c r="AA176" i="21"/>
  <c r="H71" i="31"/>
  <c r="K314" i="22"/>
  <c r="K308" i="22"/>
  <c r="K256" i="22"/>
  <c r="K251" i="22"/>
  <c r="H298" i="22" l="1"/>
  <c r="G300" i="22"/>
  <c r="K498" i="22"/>
  <c r="K290" i="22"/>
  <c r="H496" i="22"/>
  <c r="G498" i="22"/>
  <c r="F176" i="21"/>
  <c r="G176" i="21" s="1"/>
  <c r="I72" i="31"/>
  <c r="G47" i="21"/>
  <c r="I71" i="31"/>
  <c r="G48" i="21"/>
  <c r="I314" i="22"/>
  <c r="J50" i="40"/>
  <c r="I179" i="40"/>
  <c r="H288" i="22"/>
  <c r="G290" i="22"/>
  <c r="I49" i="40"/>
  <c r="J71" i="31" s="1"/>
  <c r="J70" i="31" s="1"/>
  <c r="J79" i="31" s="1"/>
  <c r="J80" i="31" s="1"/>
  <c r="H308" i="22"/>
  <c r="F164" i="21"/>
  <c r="AB164" i="21" s="1"/>
  <c r="AC164" i="21" s="1"/>
  <c r="P45" i="21"/>
  <c r="AB90" i="21"/>
  <c r="Y90" i="21"/>
  <c r="AB176" i="21"/>
  <c r="AC176" i="21" s="1"/>
  <c r="I47" i="40" l="1"/>
  <c r="I70" i="40"/>
  <c r="I496" i="22"/>
  <c r="H498" i="22"/>
  <c r="J70" i="40" s="1"/>
  <c r="I298" i="22"/>
  <c r="H300" i="22"/>
  <c r="J179" i="40"/>
  <c r="AN179" i="40" s="1"/>
  <c r="K72" i="31"/>
  <c r="I70" i="31"/>
  <c r="I79" i="31" s="1"/>
  <c r="I80" i="31" s="1"/>
  <c r="J314" i="22"/>
  <c r="L314" i="22" s="1"/>
  <c r="K50" i="40"/>
  <c r="L72" i="31" s="1"/>
  <c r="AL179" i="40"/>
  <c r="I288" i="22"/>
  <c r="H290" i="22"/>
  <c r="J45" i="40" s="1"/>
  <c r="I45" i="40"/>
  <c r="I308" i="22"/>
  <c r="J49" i="40"/>
  <c r="K71" i="31" s="1"/>
  <c r="I48" i="40"/>
  <c r="G164" i="21"/>
  <c r="F46" i="21"/>
  <c r="P47" i="21"/>
  <c r="G46" i="21"/>
  <c r="D46" i="21"/>
  <c r="E46" i="21"/>
  <c r="P48" i="21"/>
  <c r="E225" i="22"/>
  <c r="F225" i="22" s="1"/>
  <c r="G225" i="22" s="1"/>
  <c r="H225" i="22" s="1"/>
  <c r="I225" i="22" s="1"/>
  <c r="J225" i="22" s="1"/>
  <c r="C224" i="22"/>
  <c r="D224" i="22" s="1"/>
  <c r="D226" i="22" s="1"/>
  <c r="D30" i="21" s="1"/>
  <c r="B224" i="22"/>
  <c r="B223" i="22"/>
  <c r="A223" i="22"/>
  <c r="C219" i="22"/>
  <c r="D219" i="22" s="1"/>
  <c r="B219" i="22"/>
  <c r="B218" i="22"/>
  <c r="A218" i="22"/>
  <c r="B214" i="22"/>
  <c r="B212" i="22"/>
  <c r="B205" i="22"/>
  <c r="B211" i="22"/>
  <c r="A211" i="22"/>
  <c r="C212" i="22"/>
  <c r="D212" i="22" s="1"/>
  <c r="C207" i="22"/>
  <c r="D207" i="22" s="1"/>
  <c r="E207" i="22" s="1"/>
  <c r="F207" i="22" s="1"/>
  <c r="G207" i="22" s="1"/>
  <c r="H207" i="22" s="1"/>
  <c r="I207" i="22" s="1"/>
  <c r="J207" i="22" s="1"/>
  <c r="C205" i="22"/>
  <c r="B207" i="22"/>
  <c r="B203" i="22"/>
  <c r="B202" i="22"/>
  <c r="A202" i="22"/>
  <c r="C194" i="22"/>
  <c r="D194" i="22" s="1"/>
  <c r="E194" i="22" s="1"/>
  <c r="F194" i="22" s="1"/>
  <c r="G194" i="22" s="1"/>
  <c r="H194" i="22" s="1"/>
  <c r="I194" i="22" s="1"/>
  <c r="J194" i="22" s="1"/>
  <c r="C192" i="22"/>
  <c r="D192" i="22" s="1"/>
  <c r="B194" i="22"/>
  <c r="B192" i="22"/>
  <c r="B191" i="22"/>
  <c r="A191" i="22"/>
  <c r="D198" i="22"/>
  <c r="E198" i="22" s="1"/>
  <c r="F198" i="22" s="1"/>
  <c r="G198" i="22" s="1"/>
  <c r="H198" i="22" s="1"/>
  <c r="I198" i="22" s="1"/>
  <c r="J198" i="22" s="1"/>
  <c r="B160" i="22"/>
  <c r="A160" i="22"/>
  <c r="B106" i="22"/>
  <c r="A106" i="22"/>
  <c r="C170" i="22"/>
  <c r="D170" i="22" s="1"/>
  <c r="E170" i="22" s="1"/>
  <c r="F170" i="22" s="1"/>
  <c r="G170" i="22" s="1"/>
  <c r="B170" i="22"/>
  <c r="C23" i="40" s="1"/>
  <c r="B169" i="22"/>
  <c r="A169" i="22"/>
  <c r="D166" i="22"/>
  <c r="F166" i="22"/>
  <c r="E166" i="22"/>
  <c r="D164" i="22"/>
  <c r="C165" i="22"/>
  <c r="B165" i="22"/>
  <c r="B163" i="22"/>
  <c r="B162" i="22"/>
  <c r="A162" i="22"/>
  <c r="F177" i="22"/>
  <c r="E177" i="22"/>
  <c r="D177" i="22"/>
  <c r="B181" i="22"/>
  <c r="B180" i="22"/>
  <c r="B174" i="22"/>
  <c r="A174" i="22"/>
  <c r="B186" i="22"/>
  <c r="B185" i="22"/>
  <c r="B184" i="22"/>
  <c r="A184" i="22"/>
  <c r="I244" i="22"/>
  <c r="H244" i="22"/>
  <c r="G244" i="22"/>
  <c r="B245" i="22"/>
  <c r="B243" i="22"/>
  <c r="A243" i="22"/>
  <c r="B234" i="22"/>
  <c r="B233" i="22"/>
  <c r="A233" i="22"/>
  <c r="B229" i="22"/>
  <c r="A228" i="22"/>
  <c r="B228" i="22"/>
  <c r="B239" i="22"/>
  <c r="B238" i="22"/>
  <c r="A238" i="22"/>
  <c r="D146" i="30"/>
  <c r="D145" i="30"/>
  <c r="D144" i="30"/>
  <c r="D143" i="30"/>
  <c r="D142" i="30"/>
  <c r="D141" i="30"/>
  <c r="D140" i="30"/>
  <c r="F133" i="30"/>
  <c r="F132" i="30"/>
  <c r="F131" i="30"/>
  <c r="D136" i="30"/>
  <c r="D135" i="30"/>
  <c r="D134" i="30"/>
  <c r="D133" i="30"/>
  <c r="D132" i="30"/>
  <c r="D131" i="30"/>
  <c r="D130" i="30"/>
  <c r="G145" i="30"/>
  <c r="G144" i="30"/>
  <c r="G143" i="30"/>
  <c r="G142" i="30"/>
  <c r="G141" i="30"/>
  <c r="G140" i="30"/>
  <c r="F135" i="30"/>
  <c r="E134" i="30"/>
  <c r="G134" i="30"/>
  <c r="E133" i="30"/>
  <c r="E132" i="30"/>
  <c r="E131" i="30"/>
  <c r="E130" i="30"/>
  <c r="G130" i="30" s="1"/>
  <c r="B155" i="22"/>
  <c r="B154" i="22"/>
  <c r="B153" i="22"/>
  <c r="A153" i="22"/>
  <c r="B113" i="22"/>
  <c r="A113" i="22"/>
  <c r="F109" i="22"/>
  <c r="E109" i="22"/>
  <c r="D109" i="22"/>
  <c r="B110" i="22"/>
  <c r="B108" i="22"/>
  <c r="A108" i="22"/>
  <c r="B369" i="22"/>
  <c r="A369" i="22"/>
  <c r="B364" i="22"/>
  <c r="B363" i="22"/>
  <c r="B362" i="22"/>
  <c r="A362" i="22"/>
  <c r="B358" i="22"/>
  <c r="B357" i="22"/>
  <c r="A357" i="22"/>
  <c r="C11" i="22"/>
  <c r="C734" i="22" s="1"/>
  <c r="D119" i="30"/>
  <c r="D118" i="30"/>
  <c r="D117" i="30"/>
  <c r="F117" i="30" s="1"/>
  <c r="D116" i="30"/>
  <c r="F116" i="30" s="1"/>
  <c r="D115" i="30"/>
  <c r="D114" i="30"/>
  <c r="D113" i="30"/>
  <c r="F113" i="30" s="1"/>
  <c r="F118" i="30"/>
  <c r="F115" i="30"/>
  <c r="F114" i="30"/>
  <c r="D107" i="30"/>
  <c r="D89" i="33" s="1"/>
  <c r="D106" i="30"/>
  <c r="D88" i="33" s="1"/>
  <c r="F88" i="33" s="1"/>
  <c r="D105" i="30"/>
  <c r="D87" i="33" s="1"/>
  <c r="F87" i="33" s="1"/>
  <c r="D104" i="30"/>
  <c r="D103" i="30"/>
  <c r="D102" i="30"/>
  <c r="D84" i="33" s="1"/>
  <c r="F84" i="33" s="1"/>
  <c r="D101" i="30"/>
  <c r="F105" i="30"/>
  <c r="D353" i="22"/>
  <c r="F353" i="22"/>
  <c r="E353" i="22"/>
  <c r="B352" i="22"/>
  <c r="A352" i="22"/>
  <c r="B347" i="22"/>
  <c r="A347" i="22"/>
  <c r="D95" i="30"/>
  <c r="D94" i="30"/>
  <c r="D93" i="30"/>
  <c r="D92" i="30"/>
  <c r="D91" i="30"/>
  <c r="D90" i="30"/>
  <c r="D89" i="30"/>
  <c r="F94" i="30"/>
  <c r="E93" i="30"/>
  <c r="F92" i="30"/>
  <c r="E92" i="30"/>
  <c r="F91" i="30"/>
  <c r="E91" i="30"/>
  <c r="F90" i="30"/>
  <c r="E90" i="30"/>
  <c r="E89" i="30"/>
  <c r="D78" i="30"/>
  <c r="D72" i="30"/>
  <c r="D73" i="30"/>
  <c r="D74" i="30"/>
  <c r="D75" i="30"/>
  <c r="D76" i="30"/>
  <c r="D77" i="30"/>
  <c r="F75" i="30"/>
  <c r="F74" i="30"/>
  <c r="F73" i="30"/>
  <c r="E72" i="30"/>
  <c r="E73" i="30"/>
  <c r="E74" i="30"/>
  <c r="E75" i="30"/>
  <c r="E76" i="30"/>
  <c r="F77" i="30"/>
  <c r="C10" i="22"/>
  <c r="C669" i="22" s="1"/>
  <c r="D669" i="22" s="1"/>
  <c r="D61" i="30"/>
  <c r="D60" i="30"/>
  <c r="D59" i="30"/>
  <c r="D58" i="30"/>
  <c r="D57" i="30"/>
  <c r="D56" i="30"/>
  <c r="D55" i="30"/>
  <c r="F102" i="30" l="1"/>
  <c r="J47" i="40"/>
  <c r="J42" i="40" s="1"/>
  <c r="I167" i="40"/>
  <c r="AL167" i="40" s="1"/>
  <c r="J496" i="22"/>
  <c r="J498" i="22" s="1"/>
  <c r="L70" i="40" s="1"/>
  <c r="I498" i="22"/>
  <c r="K70" i="40" s="1"/>
  <c r="J298" i="22"/>
  <c r="J300" i="22" s="1"/>
  <c r="L47" i="40" s="1"/>
  <c r="I300" i="22"/>
  <c r="K70" i="31"/>
  <c r="K79" i="31" s="1"/>
  <c r="K80" i="31" s="1"/>
  <c r="L50" i="40"/>
  <c r="H170" i="22"/>
  <c r="G172" i="22"/>
  <c r="I42" i="40"/>
  <c r="I290" i="22"/>
  <c r="L290" i="22" s="1"/>
  <c r="J288" i="22"/>
  <c r="J290" i="22" s="1"/>
  <c r="L45" i="40" s="1"/>
  <c r="I144" i="40"/>
  <c r="J48" i="40"/>
  <c r="J308" i="22"/>
  <c r="L49" i="40" s="1"/>
  <c r="M71" i="31" s="1"/>
  <c r="K49" i="40"/>
  <c r="E669" i="22"/>
  <c r="D670" i="22"/>
  <c r="D200" i="22"/>
  <c r="C203" i="22"/>
  <c r="D203" i="22" s="1"/>
  <c r="E203" i="22" s="1"/>
  <c r="D141" i="21"/>
  <c r="AB47" i="21"/>
  <c r="X47" i="21"/>
  <c r="AB48" i="21"/>
  <c r="X48" i="21"/>
  <c r="E141" i="21"/>
  <c r="F141" i="21"/>
  <c r="F106" i="30"/>
  <c r="F101" i="30"/>
  <c r="D83" i="33"/>
  <c r="F83" i="33" s="1"/>
  <c r="G135" i="30"/>
  <c r="F103" i="30"/>
  <c r="D85" i="33"/>
  <c r="F85" i="33" s="1"/>
  <c r="F104" i="30"/>
  <c r="D86" i="33"/>
  <c r="F86" i="33" s="1"/>
  <c r="C562" i="22"/>
  <c r="D562" i="22" s="1"/>
  <c r="E562" i="22" s="1"/>
  <c r="C707" i="22"/>
  <c r="D707" i="22" s="1"/>
  <c r="C214" i="22"/>
  <c r="D214" i="22" s="1"/>
  <c r="E214" i="22" s="1"/>
  <c r="F214" i="22" s="1"/>
  <c r="G214" i="22" s="1"/>
  <c r="H214" i="22" s="1"/>
  <c r="I214" i="22" s="1"/>
  <c r="J214" i="22" s="1"/>
  <c r="C110" i="22"/>
  <c r="D110" i="22" s="1"/>
  <c r="E110" i="22" s="1"/>
  <c r="F110" i="22" s="1"/>
  <c r="C284" i="22"/>
  <c r="D284" i="22" s="1"/>
  <c r="E224" i="22"/>
  <c r="E226" i="22" s="1"/>
  <c r="E30" i="21" s="1"/>
  <c r="E219" i="22"/>
  <c r="D205" i="22"/>
  <c r="E205" i="22" s="1"/>
  <c r="F205" i="22" s="1"/>
  <c r="G205" i="22" s="1"/>
  <c r="H205" i="22" s="1"/>
  <c r="I205" i="22" s="1"/>
  <c r="J205" i="22" s="1"/>
  <c r="E212" i="22"/>
  <c r="E192" i="22"/>
  <c r="E172" i="22"/>
  <c r="E23" i="21" s="1"/>
  <c r="D172" i="22"/>
  <c r="D23" i="21" s="1"/>
  <c r="F172" i="22"/>
  <c r="F23" i="21" s="1"/>
  <c r="D165" i="22"/>
  <c r="E165" i="22" s="1"/>
  <c r="F165" i="22" s="1"/>
  <c r="G165" i="22" s="1"/>
  <c r="H165" i="22" s="1"/>
  <c r="I165" i="22" s="1"/>
  <c r="J165" i="22" s="1"/>
  <c r="C245" i="22"/>
  <c r="G245" i="22" s="1"/>
  <c r="G131" i="30"/>
  <c r="G133" i="30"/>
  <c r="G132" i="30"/>
  <c r="G146" i="30"/>
  <c r="G147" i="30" s="1"/>
  <c r="F119" i="30"/>
  <c r="F120" i="30" s="1"/>
  <c r="C17" i="22" s="1"/>
  <c r="D634" i="22" s="1"/>
  <c r="G91" i="30"/>
  <c r="G92" i="30"/>
  <c r="G89" i="30"/>
  <c r="G90" i="30"/>
  <c r="G93" i="30"/>
  <c r="G94" i="30"/>
  <c r="G73" i="30"/>
  <c r="G77" i="30"/>
  <c r="G75" i="30"/>
  <c r="G72" i="30"/>
  <c r="G74" i="30"/>
  <c r="G76" i="30"/>
  <c r="F57" i="30"/>
  <c r="F55" i="30"/>
  <c r="F56" i="30"/>
  <c r="F58" i="30"/>
  <c r="F59" i="30"/>
  <c r="F60" i="30"/>
  <c r="F107" i="30" l="1"/>
  <c r="F108" i="30" s="1"/>
  <c r="C16" i="22" s="1"/>
  <c r="D259" i="22" s="1"/>
  <c r="L498" i="22"/>
  <c r="K47" i="40"/>
  <c r="L300" i="22"/>
  <c r="L280" i="22" s="1"/>
  <c r="L308" i="22"/>
  <c r="L302" i="22" s="1"/>
  <c r="J143" i="40"/>
  <c r="I143" i="40"/>
  <c r="M70" i="40"/>
  <c r="J167" i="40"/>
  <c r="AN167" i="40" s="1"/>
  <c r="AN186" i="40" s="1"/>
  <c r="I186" i="40"/>
  <c r="AQ179" i="40" s="1"/>
  <c r="L42" i="40"/>
  <c r="M47" i="40"/>
  <c r="H245" i="22"/>
  <c r="G246" i="22"/>
  <c r="K48" i="40"/>
  <c r="L71" i="31"/>
  <c r="L70" i="31" s="1"/>
  <c r="L79" i="31" s="1"/>
  <c r="L80" i="31" s="1"/>
  <c r="L179" i="40"/>
  <c r="M179" i="40" s="1"/>
  <c r="M72" i="31"/>
  <c r="M70" i="31" s="1"/>
  <c r="M79" i="31" s="1"/>
  <c r="M80" i="31" s="1"/>
  <c r="M50" i="40"/>
  <c r="K45" i="40"/>
  <c r="K42" i="40" s="1"/>
  <c r="F111" i="22"/>
  <c r="F12" i="21" s="1"/>
  <c r="G110" i="22"/>
  <c r="I23" i="40"/>
  <c r="I170" i="22"/>
  <c r="H172" i="22"/>
  <c r="J23" i="40" s="1"/>
  <c r="M49" i="40"/>
  <c r="L48" i="40"/>
  <c r="L167" i="40"/>
  <c r="AL186" i="40"/>
  <c r="J144" i="40"/>
  <c r="F669" i="22"/>
  <c r="F670" i="22" s="1"/>
  <c r="F103" i="21" s="1"/>
  <c r="E670" i="22"/>
  <c r="E103" i="21" s="1"/>
  <c r="D103" i="21"/>
  <c r="E200" i="22"/>
  <c r="E26" i="21" s="1"/>
  <c r="D26" i="21"/>
  <c r="G23" i="21"/>
  <c r="O46" i="21"/>
  <c r="P46" i="21"/>
  <c r="M46" i="21"/>
  <c r="N46" i="21"/>
  <c r="G141" i="21"/>
  <c r="AC148" i="21"/>
  <c r="F89" i="33"/>
  <c r="F90" i="33" s="1"/>
  <c r="C234" i="22" s="1"/>
  <c r="D234" i="22" s="1"/>
  <c r="D563" i="22"/>
  <c r="D85" i="21" s="1"/>
  <c r="E707" i="22"/>
  <c r="D708" i="22"/>
  <c r="D110" i="21" s="1"/>
  <c r="E634" i="22"/>
  <c r="D637" i="22"/>
  <c r="D98" i="21" s="1"/>
  <c r="F562" i="22"/>
  <c r="F563" i="22" s="1"/>
  <c r="F85" i="21" s="1"/>
  <c r="E563" i="22"/>
  <c r="E85" i="21" s="1"/>
  <c r="D111" i="22"/>
  <c r="D12" i="21" s="1"/>
  <c r="E111" i="22"/>
  <c r="E12" i="21" s="1"/>
  <c r="E284" i="22"/>
  <c r="D285" i="22"/>
  <c r="D42" i="21" s="1"/>
  <c r="E259" i="22"/>
  <c r="D261" i="22"/>
  <c r="D37" i="21" s="1"/>
  <c r="F224" i="22"/>
  <c r="G224" i="22" s="1"/>
  <c r="F219" i="22"/>
  <c r="G219" i="22" s="1"/>
  <c r="F212" i="22"/>
  <c r="G212" i="22" s="1"/>
  <c r="F203" i="22"/>
  <c r="G203" i="22" s="1"/>
  <c r="H203" i="22" s="1"/>
  <c r="I203" i="22" s="1"/>
  <c r="J203" i="22" s="1"/>
  <c r="F192" i="22"/>
  <c r="K172" i="22"/>
  <c r="D34" i="21"/>
  <c r="E34" i="21"/>
  <c r="G136" i="30"/>
  <c r="G137" i="30" s="1"/>
  <c r="G149" i="30" s="1"/>
  <c r="C14" i="22" s="1"/>
  <c r="G95" i="30"/>
  <c r="G96" i="30" s="1"/>
  <c r="C13" i="22" s="1"/>
  <c r="G78" i="30"/>
  <c r="G79" i="30" s="1"/>
  <c r="C12" i="22" s="1"/>
  <c r="F61" i="30"/>
  <c r="F62" i="30" s="1"/>
  <c r="C9" i="22" s="1"/>
  <c r="K143" i="40" l="1"/>
  <c r="K144" i="40"/>
  <c r="L143" i="40"/>
  <c r="M45" i="40"/>
  <c r="M42" i="40" s="1"/>
  <c r="J186" i="40"/>
  <c r="AR170" i="40" s="1"/>
  <c r="AQ185" i="40"/>
  <c r="AQ182" i="40"/>
  <c r="AQ170" i="40"/>
  <c r="AQ171" i="40"/>
  <c r="AQ175" i="40"/>
  <c r="AQ167" i="40"/>
  <c r="AQ169" i="40"/>
  <c r="AQ186" i="40"/>
  <c r="AQ168" i="40"/>
  <c r="AQ178" i="40"/>
  <c r="AQ181" i="40"/>
  <c r="AQ184" i="40"/>
  <c r="AQ183" i="40"/>
  <c r="I37" i="40"/>
  <c r="I245" i="22"/>
  <c r="H246" i="22"/>
  <c r="J37" i="40" s="1"/>
  <c r="AO179" i="40"/>
  <c r="AP179" i="40" s="1"/>
  <c r="M48" i="40"/>
  <c r="J170" i="22"/>
  <c r="J172" i="22" s="1"/>
  <c r="L23" i="40" s="1"/>
  <c r="I172" i="22"/>
  <c r="L172" i="22" s="1"/>
  <c r="F200" i="22"/>
  <c r="F26" i="21" s="1"/>
  <c r="G192" i="22"/>
  <c r="H110" i="22"/>
  <c r="G111" i="22"/>
  <c r="AO167" i="40"/>
  <c r="L186" i="40"/>
  <c r="AS167" i="40" s="1"/>
  <c r="M167" i="40"/>
  <c r="L144" i="40"/>
  <c r="H212" i="22"/>
  <c r="H219" i="22"/>
  <c r="H224" i="22"/>
  <c r="G226" i="22"/>
  <c r="K670" i="22"/>
  <c r="G12" i="21"/>
  <c r="G85" i="21"/>
  <c r="P23" i="21"/>
  <c r="V46" i="21"/>
  <c r="Z46" i="21"/>
  <c r="X46" i="21"/>
  <c r="U46" i="21"/>
  <c r="AA46" i="21"/>
  <c r="W46" i="21"/>
  <c r="F226" i="22"/>
  <c r="F30" i="21" s="1"/>
  <c r="D764" i="22"/>
  <c r="D765" i="22"/>
  <c r="E765" i="22" s="1"/>
  <c r="F765" i="22" s="1"/>
  <c r="G765" i="22" s="1"/>
  <c r="H765" i="22" s="1"/>
  <c r="I765" i="22" s="1"/>
  <c r="J765" i="22" s="1"/>
  <c r="D661" i="22"/>
  <c r="E661" i="22" s="1"/>
  <c r="D662" i="22"/>
  <c r="E662" i="22" s="1"/>
  <c r="F662" i="22" s="1"/>
  <c r="G662" i="22" s="1"/>
  <c r="H662" i="22" s="1"/>
  <c r="I662" i="22" s="1"/>
  <c r="J662" i="22" s="1"/>
  <c r="D624" i="22"/>
  <c r="D626" i="22" s="1"/>
  <c r="D96" i="21" s="1"/>
  <c r="F707" i="22"/>
  <c r="E708" i="22"/>
  <c r="D647" i="22"/>
  <c r="D648" i="22"/>
  <c r="E648" i="22" s="1"/>
  <c r="F648" i="22" s="1"/>
  <c r="G648" i="22" s="1"/>
  <c r="H648" i="22" s="1"/>
  <c r="I648" i="22" s="1"/>
  <c r="J648" i="22" s="1"/>
  <c r="D655" i="22"/>
  <c r="E655" i="22" s="1"/>
  <c r="F655" i="22" s="1"/>
  <c r="G655" i="22" s="1"/>
  <c r="F634" i="22"/>
  <c r="E637" i="22"/>
  <c r="E98" i="21" s="1"/>
  <c r="K563" i="22"/>
  <c r="D516" i="22"/>
  <c r="D566" i="22"/>
  <c r="D517" i="22"/>
  <c r="E517" i="22" s="1"/>
  <c r="F517" i="22" s="1"/>
  <c r="G517" i="22" s="1"/>
  <c r="H517" i="22" s="1"/>
  <c r="I517" i="22" s="1"/>
  <c r="J517" i="22" s="1"/>
  <c r="D567" i="22"/>
  <c r="E567" i="22" s="1"/>
  <c r="F567" i="22" s="1"/>
  <c r="G567" i="22" s="1"/>
  <c r="H567" i="22" s="1"/>
  <c r="I567" i="22" s="1"/>
  <c r="J567" i="22" s="1"/>
  <c r="K111" i="22"/>
  <c r="F284" i="22"/>
  <c r="F285" i="22" s="1"/>
  <c r="F42" i="21" s="1"/>
  <c r="E285" i="22"/>
  <c r="E42" i="21" s="1"/>
  <c r="E261" i="22"/>
  <c r="E37" i="21" s="1"/>
  <c r="F259" i="22"/>
  <c r="K246" i="22"/>
  <c r="D154" i="22"/>
  <c r="D185" i="22"/>
  <c r="E234" i="22"/>
  <c r="D236" i="22"/>
  <c r="D32" i="21" s="1"/>
  <c r="G229" i="22"/>
  <c r="D363" i="22"/>
  <c r="E363" i="22" s="1"/>
  <c r="I12" i="40" l="1"/>
  <c r="L246" i="22"/>
  <c r="M143" i="40"/>
  <c r="AO143" i="40" s="1"/>
  <c r="AR167" i="40"/>
  <c r="AR169" i="40"/>
  <c r="AR183" i="40"/>
  <c r="AR184" i="40"/>
  <c r="AR168" i="40"/>
  <c r="AR171" i="40"/>
  <c r="AR175" i="40"/>
  <c r="AR178" i="40"/>
  <c r="AR182" i="40"/>
  <c r="AR186" i="40"/>
  <c r="AR179" i="40"/>
  <c r="AR185" i="40"/>
  <c r="AR181" i="40"/>
  <c r="F637" i="22"/>
  <c r="F98" i="21" s="1"/>
  <c r="G98" i="21" s="1"/>
  <c r="G634" i="22"/>
  <c r="G637" i="22" s="1"/>
  <c r="F34" i="21"/>
  <c r="G34" i="21" s="1"/>
  <c r="I246" i="22"/>
  <c r="F261" i="22"/>
  <c r="F37" i="21" s="1"/>
  <c r="G37" i="21" s="1"/>
  <c r="G259" i="22"/>
  <c r="H655" i="22"/>
  <c r="G658" i="22"/>
  <c r="F708" i="22"/>
  <c r="G707" i="22"/>
  <c r="H192" i="22"/>
  <c r="G200" i="22"/>
  <c r="I30" i="40"/>
  <c r="K23" i="40"/>
  <c r="M23" i="40" s="1"/>
  <c r="I110" i="22"/>
  <c r="H111" i="22"/>
  <c r="J12" i="40" s="1"/>
  <c r="E110" i="21"/>
  <c r="M144" i="40"/>
  <c r="M186" i="40"/>
  <c r="AT167" i="40" s="1"/>
  <c r="AO186" i="40"/>
  <c r="AP167" i="40"/>
  <c r="AP186" i="40" s="1"/>
  <c r="AS186" i="40"/>
  <c r="AS178" i="40"/>
  <c r="AS185" i="40"/>
  <c r="AS183" i="40"/>
  <c r="AS171" i="40"/>
  <c r="AS170" i="40"/>
  <c r="AS175" i="40"/>
  <c r="AS182" i="40"/>
  <c r="AS184" i="40"/>
  <c r="AS169" i="40"/>
  <c r="AS181" i="40"/>
  <c r="AS168" i="40"/>
  <c r="AS179" i="40"/>
  <c r="I219" i="22"/>
  <c r="I212" i="22"/>
  <c r="I224" i="22"/>
  <c r="H226" i="22"/>
  <c r="J30" i="40" s="1"/>
  <c r="K226" i="22"/>
  <c r="K200" i="22"/>
  <c r="G42" i="21"/>
  <c r="P98" i="21"/>
  <c r="P78" i="21"/>
  <c r="P110" i="21"/>
  <c r="E624" i="22"/>
  <c r="E626" i="22" s="1"/>
  <c r="E96" i="21" s="1"/>
  <c r="G103" i="21"/>
  <c r="G26" i="21"/>
  <c r="P34" i="21"/>
  <c r="P37" i="21"/>
  <c r="G30" i="21"/>
  <c r="G78" i="21"/>
  <c r="P12" i="21"/>
  <c r="AB46" i="21"/>
  <c r="Y46" i="21"/>
  <c r="E764" i="22"/>
  <c r="D768" i="22"/>
  <c r="D123" i="21" s="1"/>
  <c r="D665" i="22"/>
  <c r="D102" i="21" s="1"/>
  <c r="D13" i="21"/>
  <c r="D651" i="22"/>
  <c r="D100" i="21" s="1"/>
  <c r="E647" i="22"/>
  <c r="E651" i="22" s="1"/>
  <c r="E100" i="21" s="1"/>
  <c r="F661" i="22"/>
  <c r="E665" i="22"/>
  <c r="E102" i="21" s="1"/>
  <c r="D658" i="22"/>
  <c r="D101" i="21" s="1"/>
  <c r="D520" i="22"/>
  <c r="D74" i="21" s="1"/>
  <c r="E516" i="22"/>
  <c r="E520" i="22" s="1"/>
  <c r="E74" i="21" s="1"/>
  <c r="E566" i="22"/>
  <c r="D570" i="22"/>
  <c r="D86" i="21" s="1"/>
  <c r="K285" i="22"/>
  <c r="D158" i="22"/>
  <c r="D20" i="21" s="1"/>
  <c r="E154" i="22"/>
  <c r="F154" i="22" s="1"/>
  <c r="D367" i="22"/>
  <c r="D60" i="21" s="1"/>
  <c r="E185" i="22"/>
  <c r="D189" i="22"/>
  <c r="D25" i="21" s="1"/>
  <c r="E236" i="22"/>
  <c r="E32" i="21" s="1"/>
  <c r="F234" i="22"/>
  <c r="H229" i="22"/>
  <c r="G231" i="22"/>
  <c r="F363" i="22"/>
  <c r="E367" i="22"/>
  <c r="E60" i="21" s="1"/>
  <c r="I34" i="40" l="1"/>
  <c r="K637" i="22"/>
  <c r="K261" i="22"/>
  <c r="K708" i="22"/>
  <c r="F110" i="21"/>
  <c r="G110" i="21" s="1"/>
  <c r="I103" i="40"/>
  <c r="K37" i="40"/>
  <c r="M37" i="40" s="1"/>
  <c r="F665" i="22"/>
  <c r="F102" i="21" s="1"/>
  <c r="G102" i="21" s="1"/>
  <c r="G661" i="22"/>
  <c r="I655" i="22"/>
  <c r="H658" i="22"/>
  <c r="J103" i="40" s="1"/>
  <c r="F236" i="22"/>
  <c r="F32" i="21" s="1"/>
  <c r="G32" i="21" s="1"/>
  <c r="G234" i="22"/>
  <c r="H707" i="22"/>
  <c r="G708" i="22"/>
  <c r="H259" i="22"/>
  <c r="G261" i="22"/>
  <c r="H634" i="22"/>
  <c r="F367" i="22"/>
  <c r="F60" i="21" s="1"/>
  <c r="G60" i="21" s="1"/>
  <c r="G363" i="22"/>
  <c r="D31" i="21"/>
  <c r="I29" i="40"/>
  <c r="F158" i="22"/>
  <c r="F20" i="21" s="1"/>
  <c r="G154" i="22"/>
  <c r="J110" i="22"/>
  <c r="I111" i="22"/>
  <c r="I192" i="22"/>
  <c r="H200" i="22"/>
  <c r="J29" i="40" s="1"/>
  <c r="AT182" i="40"/>
  <c r="AT184" i="40"/>
  <c r="AT181" i="40"/>
  <c r="AT179" i="40"/>
  <c r="AT183" i="40"/>
  <c r="AT169" i="40"/>
  <c r="AT171" i="40"/>
  <c r="AT175" i="40"/>
  <c r="AT186" i="40"/>
  <c r="AT178" i="40"/>
  <c r="AT170" i="40"/>
  <c r="AT168" i="40"/>
  <c r="AT185" i="40"/>
  <c r="AO144" i="40"/>
  <c r="J212" i="22"/>
  <c r="J224" i="22"/>
  <c r="J226" i="22" s="1"/>
  <c r="L30" i="40" s="1"/>
  <c r="I226" i="22"/>
  <c r="L226" i="22" s="1"/>
  <c r="J219" i="22"/>
  <c r="F624" i="22"/>
  <c r="P85" i="21"/>
  <c r="P30" i="21"/>
  <c r="P103" i="21"/>
  <c r="P26" i="21"/>
  <c r="P42" i="21"/>
  <c r="F764" i="22"/>
  <c r="E768" i="22"/>
  <c r="E123" i="21" s="1"/>
  <c r="F647" i="22"/>
  <c r="E658" i="22"/>
  <c r="E101" i="21" s="1"/>
  <c r="F658" i="22"/>
  <c r="F101" i="21" s="1"/>
  <c r="F516" i="22"/>
  <c r="E570" i="22"/>
  <c r="E86" i="21" s="1"/>
  <c r="F566" i="22"/>
  <c r="E158" i="22"/>
  <c r="F185" i="22"/>
  <c r="E189" i="22"/>
  <c r="E25" i="21" s="1"/>
  <c r="H231" i="22"/>
  <c r="I229" i="22"/>
  <c r="J111" i="22" l="1"/>
  <c r="L12" i="40" s="1"/>
  <c r="K665" i="22"/>
  <c r="I200" i="22"/>
  <c r="K29" i="40" s="1"/>
  <c r="J192" i="22"/>
  <c r="J200" i="22" s="1"/>
  <c r="L29" i="40" s="1"/>
  <c r="K367" i="22"/>
  <c r="F570" i="22"/>
  <c r="F86" i="21" s="1"/>
  <c r="G86" i="21" s="1"/>
  <c r="G566" i="22"/>
  <c r="I231" i="22"/>
  <c r="J229" i="22"/>
  <c r="J231" i="22" s="1"/>
  <c r="L34" i="40" s="1"/>
  <c r="K236" i="22"/>
  <c r="E31" i="21"/>
  <c r="J34" i="40"/>
  <c r="I707" i="22"/>
  <c r="H708" i="22"/>
  <c r="J113" i="40" s="1"/>
  <c r="J655" i="22"/>
  <c r="J658" i="22" s="1"/>
  <c r="L103" i="40" s="1"/>
  <c r="I658" i="22"/>
  <c r="K103" i="40" s="1"/>
  <c r="H363" i="22"/>
  <c r="G367" i="22"/>
  <c r="F768" i="22"/>
  <c r="F123" i="21" s="1"/>
  <c r="G123" i="21" s="1"/>
  <c r="G764" i="22"/>
  <c r="I259" i="22"/>
  <c r="H261" i="22"/>
  <c r="J33" i="40" s="1"/>
  <c r="I634" i="22"/>
  <c r="H637" i="22"/>
  <c r="I33" i="40"/>
  <c r="H234" i="22"/>
  <c r="G236" i="22"/>
  <c r="H661" i="22"/>
  <c r="G665" i="22"/>
  <c r="F520" i="22"/>
  <c r="F74" i="21" s="1"/>
  <c r="G74" i="21" s="1"/>
  <c r="G516" i="22"/>
  <c r="F651" i="22"/>
  <c r="F100" i="21" s="1"/>
  <c r="G100" i="21" s="1"/>
  <c r="G647" i="22"/>
  <c r="I100" i="40"/>
  <c r="I113" i="40"/>
  <c r="F626" i="22"/>
  <c r="F96" i="21" s="1"/>
  <c r="G96" i="21" s="1"/>
  <c r="G624" i="22"/>
  <c r="F13" i="21"/>
  <c r="K12" i="40"/>
  <c r="H154" i="22"/>
  <c r="G158" i="22"/>
  <c r="K30" i="40"/>
  <c r="M30" i="40" s="1"/>
  <c r="F189" i="22"/>
  <c r="F25" i="21" s="1"/>
  <c r="G25" i="21" s="1"/>
  <c r="G185" i="22"/>
  <c r="P32" i="21"/>
  <c r="P100" i="21"/>
  <c r="P101" i="21"/>
  <c r="K158" i="22"/>
  <c r="E20" i="21"/>
  <c r="P25" i="21"/>
  <c r="G101" i="21"/>
  <c r="P102" i="21"/>
  <c r="P74" i="21"/>
  <c r="P60" i="21"/>
  <c r="P31" i="21"/>
  <c r="E13" i="21"/>
  <c r="K658" i="22"/>
  <c r="L658" i="22" l="1"/>
  <c r="I20" i="40"/>
  <c r="J100" i="40"/>
  <c r="K34" i="40"/>
  <c r="L231" i="22"/>
  <c r="L200" i="22"/>
  <c r="L111" i="22"/>
  <c r="K570" i="22"/>
  <c r="M29" i="40"/>
  <c r="F31" i="21"/>
  <c r="G31" i="21" s="1"/>
  <c r="K520" i="22"/>
  <c r="K231" i="22"/>
  <c r="K651" i="22"/>
  <c r="G570" i="22"/>
  <c r="H566" i="22"/>
  <c r="K768" i="22"/>
  <c r="K626" i="22"/>
  <c r="M103" i="40"/>
  <c r="H647" i="22"/>
  <c r="G651" i="22"/>
  <c r="I35" i="40"/>
  <c r="J259" i="22"/>
  <c r="J261" i="22" s="1"/>
  <c r="L33" i="40" s="1"/>
  <c r="I261" i="22"/>
  <c r="I62" i="40"/>
  <c r="I234" i="22"/>
  <c r="H236" i="22"/>
  <c r="J35" i="40" s="1"/>
  <c r="J634" i="22"/>
  <c r="J637" i="22" s="1"/>
  <c r="L100" i="40" s="1"/>
  <c r="I637" i="22"/>
  <c r="K100" i="40" s="1"/>
  <c r="H764" i="22"/>
  <c r="G768" i="22"/>
  <c r="I363" i="22"/>
  <c r="H367" i="22"/>
  <c r="J62" i="40" s="1"/>
  <c r="J707" i="22"/>
  <c r="J708" i="22" s="1"/>
  <c r="L113" i="40" s="1"/>
  <c r="I708" i="22"/>
  <c r="L708" i="22" s="1"/>
  <c r="H516" i="22"/>
  <c r="G520" i="22"/>
  <c r="I104" i="40"/>
  <c r="M34" i="40"/>
  <c r="I661" i="22"/>
  <c r="H665" i="22"/>
  <c r="J104" i="40" s="1"/>
  <c r="M12" i="40"/>
  <c r="G626" i="22"/>
  <c r="H624" i="22"/>
  <c r="K189" i="22"/>
  <c r="I154" i="22"/>
  <c r="H158" i="22"/>
  <c r="J20" i="40" s="1"/>
  <c r="G189" i="22"/>
  <c r="H185" i="22"/>
  <c r="P123" i="21"/>
  <c r="P96" i="21"/>
  <c r="G104" i="21"/>
  <c r="G20" i="21"/>
  <c r="G13" i="21"/>
  <c r="AC141" i="21"/>
  <c r="L261" i="22" l="1"/>
  <c r="L367" i="22"/>
  <c r="L637" i="22"/>
  <c r="I13" i="40"/>
  <c r="M100" i="40"/>
  <c r="K113" i="40"/>
  <c r="M113" i="40" s="1"/>
  <c r="H570" i="22"/>
  <c r="J88" i="40" s="1"/>
  <c r="I566" i="22"/>
  <c r="I88" i="40"/>
  <c r="I236" i="22"/>
  <c r="K35" i="40" s="1"/>
  <c r="J234" i="22"/>
  <c r="J236" i="22" s="1"/>
  <c r="L35" i="40" s="1"/>
  <c r="J363" i="22"/>
  <c r="J367" i="22" s="1"/>
  <c r="L62" i="40" s="1"/>
  <c r="I367" i="22"/>
  <c r="I76" i="40"/>
  <c r="I764" i="22"/>
  <c r="H768" i="22"/>
  <c r="J126" i="40" s="1"/>
  <c r="I647" i="22"/>
  <c r="H651" i="22"/>
  <c r="J102" i="40" s="1"/>
  <c r="J661" i="22"/>
  <c r="J665" i="22" s="1"/>
  <c r="L104" i="40" s="1"/>
  <c r="I665" i="22"/>
  <c r="K104" i="40" s="1"/>
  <c r="I516" i="22"/>
  <c r="H520" i="22"/>
  <c r="J76" i="40" s="1"/>
  <c r="I126" i="40"/>
  <c r="K33" i="40"/>
  <c r="M33" i="40" s="1"/>
  <c r="I102" i="40"/>
  <c r="I624" i="22"/>
  <c r="H626" i="22"/>
  <c r="I32" i="40"/>
  <c r="J154" i="22"/>
  <c r="J158" i="22" s="1"/>
  <c r="L20" i="40" s="1"/>
  <c r="I158" i="22"/>
  <c r="L158" i="22" s="1"/>
  <c r="I98" i="40"/>
  <c r="I185" i="22"/>
  <c r="H189" i="22"/>
  <c r="P104" i="21"/>
  <c r="P86" i="21"/>
  <c r="P20" i="21"/>
  <c r="P13" i="21"/>
  <c r="D344" i="22"/>
  <c r="B343" i="22"/>
  <c r="A343" i="22"/>
  <c r="B338" i="22"/>
  <c r="A338" i="22"/>
  <c r="B334" i="22"/>
  <c r="B333" i="22"/>
  <c r="A333" i="22"/>
  <c r="B329" i="22"/>
  <c r="B328" i="22"/>
  <c r="A328" i="22"/>
  <c r="B323" i="22"/>
  <c r="A323" i="22"/>
  <c r="B318" i="22"/>
  <c r="A318" i="22"/>
  <c r="L570" i="22" l="1"/>
  <c r="L665" i="22"/>
  <c r="L236" i="22"/>
  <c r="J13" i="40"/>
  <c r="J98" i="40"/>
  <c r="M35" i="40"/>
  <c r="I189" i="22"/>
  <c r="K32" i="40" s="1"/>
  <c r="J185" i="22"/>
  <c r="J189" i="22" s="1"/>
  <c r="L32" i="40" s="1"/>
  <c r="J566" i="22"/>
  <c r="J570" i="22" s="1"/>
  <c r="L88" i="40" s="1"/>
  <c r="I570" i="22"/>
  <c r="M104" i="40"/>
  <c r="J764" i="22"/>
  <c r="J768" i="22" s="1"/>
  <c r="L126" i="40" s="1"/>
  <c r="I768" i="22"/>
  <c r="J516" i="22"/>
  <c r="J520" i="22" s="1"/>
  <c r="L76" i="40" s="1"/>
  <c r="I520" i="22"/>
  <c r="L520" i="22" s="1"/>
  <c r="J647" i="22"/>
  <c r="J651" i="22" s="1"/>
  <c r="L102" i="40" s="1"/>
  <c r="I651" i="22"/>
  <c r="K62" i="40"/>
  <c r="M62" i="40" s="1"/>
  <c r="K20" i="40"/>
  <c r="M20" i="40" s="1"/>
  <c r="J624" i="22"/>
  <c r="J626" i="22" s="1"/>
  <c r="I626" i="22"/>
  <c r="L626" i="22" s="1"/>
  <c r="J32" i="40"/>
  <c r="E344" i="22"/>
  <c r="E345" i="22" s="1"/>
  <c r="D345" i="22"/>
  <c r="N84" i="21"/>
  <c r="O84" i="21"/>
  <c r="L651" i="22" l="1"/>
  <c r="L768" i="22"/>
  <c r="L189" i="22"/>
  <c r="K13" i="40"/>
  <c r="L98" i="40"/>
  <c r="M32" i="40"/>
  <c r="K88" i="40"/>
  <c r="M88" i="40" s="1"/>
  <c r="K76" i="40"/>
  <c r="M76" i="40" s="1"/>
  <c r="K102" i="40"/>
  <c r="M102" i="40" s="1"/>
  <c r="K126" i="40"/>
  <c r="L13" i="40"/>
  <c r="K98" i="40"/>
  <c r="F344" i="22"/>
  <c r="P84" i="21"/>
  <c r="M84" i="21"/>
  <c r="F345" i="22" l="1"/>
  <c r="G344" i="22"/>
  <c r="M126" i="40"/>
  <c r="M13" i="40"/>
  <c r="M98" i="40"/>
  <c r="B147" i="22"/>
  <c r="A147" i="22"/>
  <c r="C143" i="22"/>
  <c r="D143" i="22" s="1"/>
  <c r="B143" i="22"/>
  <c r="B142" i="22"/>
  <c r="A142" i="22"/>
  <c r="B137" i="22"/>
  <c r="A137" i="22"/>
  <c r="B132" i="22"/>
  <c r="A132" i="22"/>
  <c r="C21" i="22"/>
  <c r="C128" i="22" s="1"/>
  <c r="D128" i="22" s="1"/>
  <c r="E128" i="22" l="1"/>
  <c r="D130" i="22"/>
  <c r="H344" i="22"/>
  <c r="G345" i="22"/>
  <c r="E143" i="22"/>
  <c r="F128" i="22" l="1"/>
  <c r="E130" i="22"/>
  <c r="H345" i="22"/>
  <c r="J58" i="40" s="1"/>
  <c r="J177" i="40" s="1"/>
  <c r="I344" i="22"/>
  <c r="I58" i="40"/>
  <c r="F143" i="22"/>
  <c r="G143" i="22" s="1"/>
  <c r="E145" i="22"/>
  <c r="E18" i="21" s="1"/>
  <c r="G128" i="22" l="1"/>
  <c r="F130" i="22"/>
  <c r="K130" i="22" s="1"/>
  <c r="AN177" i="40"/>
  <c r="AR177" i="40"/>
  <c r="I177" i="40"/>
  <c r="J344" i="22"/>
  <c r="J345" i="22" s="1"/>
  <c r="L58" i="40" s="1"/>
  <c r="L177" i="40" s="1"/>
  <c r="I345" i="22"/>
  <c r="K58" i="40" s="1"/>
  <c r="H143" i="22"/>
  <c r="G145" i="22"/>
  <c r="D145" i="22"/>
  <c r="D18" i="21" s="1"/>
  <c r="L345" i="22" l="1"/>
  <c r="H128" i="22"/>
  <c r="G130" i="22"/>
  <c r="M58" i="40"/>
  <c r="M177" i="40"/>
  <c r="AT177" i="40" s="1"/>
  <c r="AL177" i="40"/>
  <c r="AQ177" i="40"/>
  <c r="AO177" i="40"/>
  <c r="AS177" i="40"/>
  <c r="I143" i="22"/>
  <c r="H145" i="22"/>
  <c r="J18" i="40" s="1"/>
  <c r="I18" i="40"/>
  <c r="F145" i="22"/>
  <c r="F18" i="21" s="1"/>
  <c r="I128" i="22" l="1"/>
  <c r="H130" i="22"/>
  <c r="AP177" i="40"/>
  <c r="J143" i="22"/>
  <c r="J145" i="22" s="1"/>
  <c r="L18" i="40" s="1"/>
  <c r="I145" i="22"/>
  <c r="L145" i="22" s="1"/>
  <c r="G18" i="21"/>
  <c r="J128" i="22" l="1"/>
  <c r="J130" i="22" s="1"/>
  <c r="I130" i="22"/>
  <c r="L130" i="22" s="1"/>
  <c r="K18" i="40"/>
  <c r="M18" i="40" s="1"/>
  <c r="P18" i="21"/>
  <c r="B3" i="22" l="1"/>
  <c r="B2" i="22"/>
  <c r="G83" i="31" l="1"/>
  <c r="AA77" i="24"/>
  <c r="AA73" i="24"/>
  <c r="AA78" i="24" s="1"/>
  <c r="AA79" i="24" s="1"/>
  <c r="Z78" i="24"/>
  <c r="M78" i="24"/>
  <c r="M79" i="24" s="1"/>
  <c r="L78" i="24"/>
  <c r="L79" i="24" s="1"/>
  <c r="K78" i="24"/>
  <c r="K79" i="24" s="1"/>
  <c r="H79" i="24"/>
  <c r="H78" i="24"/>
  <c r="G79" i="24"/>
  <c r="G78" i="24"/>
  <c r="F79" i="24"/>
  <c r="F78" i="24"/>
  <c r="E79" i="24"/>
  <c r="E78" i="24"/>
  <c r="B79" i="24"/>
  <c r="B78" i="24"/>
  <c r="J69" i="24"/>
  <c r="H69" i="24"/>
  <c r="G69" i="24"/>
  <c r="F69" i="24"/>
  <c r="E69" i="24"/>
  <c r="B69" i="24"/>
  <c r="AA69" i="24"/>
  <c r="J77" i="24"/>
  <c r="N77" i="24" s="1"/>
  <c r="J76" i="24"/>
  <c r="O76" i="24" s="1"/>
  <c r="J75" i="24"/>
  <c r="N75" i="24" s="1"/>
  <c r="J74" i="24"/>
  <c r="J73" i="24"/>
  <c r="J72" i="24"/>
  <c r="J71" i="24"/>
  <c r="J70" i="24"/>
  <c r="J68" i="24"/>
  <c r="J67" i="24"/>
  <c r="J66" i="24"/>
  <c r="H77" i="24"/>
  <c r="H76" i="24"/>
  <c r="H75" i="24"/>
  <c r="H74" i="24"/>
  <c r="H73" i="24"/>
  <c r="H72" i="24"/>
  <c r="H71" i="24"/>
  <c r="H70" i="24"/>
  <c r="G77" i="24"/>
  <c r="I77" i="24" s="1"/>
  <c r="G76" i="24"/>
  <c r="I76" i="24" s="1"/>
  <c r="G75" i="24"/>
  <c r="I75" i="24" s="1"/>
  <c r="G74" i="24"/>
  <c r="I74" i="24" s="1"/>
  <c r="G73" i="24"/>
  <c r="I73" i="24" s="1"/>
  <c r="G72" i="24"/>
  <c r="I72" i="24" s="1"/>
  <c r="G71" i="24"/>
  <c r="G70" i="24"/>
  <c r="I70" i="24" s="1"/>
  <c r="F77" i="24"/>
  <c r="F76" i="24"/>
  <c r="F75" i="24"/>
  <c r="F74" i="24"/>
  <c r="F73" i="24"/>
  <c r="F72" i="24"/>
  <c r="F71" i="24"/>
  <c r="F70" i="24"/>
  <c r="E77" i="24"/>
  <c r="E76" i="24"/>
  <c r="E75" i="24"/>
  <c r="E74" i="24"/>
  <c r="E73" i="24"/>
  <c r="E72" i="24"/>
  <c r="E71" i="24"/>
  <c r="E70" i="24"/>
  <c r="B77" i="24"/>
  <c r="B76" i="24"/>
  <c r="B75" i="24"/>
  <c r="B74" i="24"/>
  <c r="B73" i="24"/>
  <c r="B72" i="24"/>
  <c r="B71" i="24"/>
  <c r="B70" i="24"/>
  <c r="AA72" i="24"/>
  <c r="AA71" i="24"/>
  <c r="AA70" i="24"/>
  <c r="H68" i="24"/>
  <c r="H67" i="24"/>
  <c r="H66" i="24"/>
  <c r="G68" i="24"/>
  <c r="G67" i="24"/>
  <c r="G66" i="24"/>
  <c r="F68" i="24"/>
  <c r="F67" i="24"/>
  <c r="F66" i="24"/>
  <c r="E68" i="24"/>
  <c r="E67" i="24"/>
  <c r="E66" i="24"/>
  <c r="B68" i="24"/>
  <c r="B67" i="24"/>
  <c r="B66" i="24"/>
  <c r="G91" i="24"/>
  <c r="G90" i="24"/>
  <c r="G89" i="24"/>
  <c r="G88" i="24"/>
  <c r="G87" i="24"/>
  <c r="G86" i="24"/>
  <c r="G56" i="24"/>
  <c r="G55" i="24"/>
  <c r="G54" i="24"/>
  <c r="G53" i="24"/>
  <c r="G52" i="24"/>
  <c r="G51" i="24"/>
  <c r="AA44" i="24"/>
  <c r="AA43" i="24"/>
  <c r="AA42" i="24"/>
  <c r="AA40" i="24"/>
  <c r="J44" i="24"/>
  <c r="J43" i="24"/>
  <c r="J42" i="24"/>
  <c r="J41" i="24"/>
  <c r="J40" i="24"/>
  <c r="H44" i="24"/>
  <c r="H43" i="24"/>
  <c r="H42" i="24"/>
  <c r="H41" i="24"/>
  <c r="H40" i="24"/>
  <c r="G44" i="24"/>
  <c r="G43" i="24"/>
  <c r="G42" i="24"/>
  <c r="G41" i="24"/>
  <c r="F44" i="24"/>
  <c r="F43" i="24"/>
  <c r="F42" i="24"/>
  <c r="F41" i="24"/>
  <c r="F40" i="24"/>
  <c r="E44" i="24"/>
  <c r="E43" i="24"/>
  <c r="E42" i="24"/>
  <c r="E41" i="24"/>
  <c r="E40" i="24"/>
  <c r="B44" i="24"/>
  <c r="B43" i="24"/>
  <c r="B42" i="24"/>
  <c r="B41" i="24"/>
  <c r="B40" i="24"/>
  <c r="J144" i="24"/>
  <c r="H144" i="24"/>
  <c r="G144" i="24"/>
  <c r="F144" i="24"/>
  <c r="E144" i="24"/>
  <c r="B144" i="24"/>
  <c r="AE36" i="24"/>
  <c r="AA76" i="24"/>
  <c r="AA75" i="24"/>
  <c r="AA74" i="24"/>
  <c r="AA68" i="24"/>
  <c r="AA67" i="24"/>
  <c r="AA66" i="24"/>
  <c r="AE62" i="24"/>
  <c r="AB72" i="24" s="1"/>
  <c r="N76" i="24"/>
  <c r="N187" i="24"/>
  <c r="B190" i="24"/>
  <c r="L177" i="24"/>
  <c r="L176" i="24"/>
  <c r="L190" i="24" s="1"/>
  <c r="L191" i="24" s="1"/>
  <c r="AA176" i="24"/>
  <c r="AA185" i="24"/>
  <c r="AA183" i="24"/>
  <c r="AA189" i="24"/>
  <c r="AA188" i="24"/>
  <c r="AA187" i="24"/>
  <c r="AA186" i="24"/>
  <c r="AA182" i="24"/>
  <c r="AA181" i="24"/>
  <c r="AA180" i="24"/>
  <c r="AA178" i="24"/>
  <c r="Z190" i="24"/>
  <c r="Z191" i="24" s="1"/>
  <c r="Z179" i="24"/>
  <c r="AA179" i="24" s="1"/>
  <c r="AE172" i="24"/>
  <c r="AB184" i="24" s="1"/>
  <c r="M190" i="24"/>
  <c r="M191" i="24" s="1"/>
  <c r="J186" i="24"/>
  <c r="J185" i="24"/>
  <c r="J182" i="24"/>
  <c r="O182" i="24" s="1"/>
  <c r="J181" i="24"/>
  <c r="N181" i="24" s="1"/>
  <c r="J180" i="24"/>
  <c r="J179" i="24"/>
  <c r="J178" i="24"/>
  <c r="J177" i="24"/>
  <c r="J176" i="24"/>
  <c r="J190" i="24" s="1"/>
  <c r="B189" i="24"/>
  <c r="B188" i="24"/>
  <c r="H191" i="24"/>
  <c r="H190" i="24"/>
  <c r="H187" i="24"/>
  <c r="H186" i="24"/>
  <c r="H185" i="24"/>
  <c r="H183" i="24"/>
  <c r="H182" i="24"/>
  <c r="H181" i="24"/>
  <c r="H180" i="24"/>
  <c r="H179" i="24"/>
  <c r="H178" i="24"/>
  <c r="H177" i="24"/>
  <c r="H176" i="24"/>
  <c r="G191" i="24"/>
  <c r="G190" i="24"/>
  <c r="G187" i="24"/>
  <c r="G186" i="24"/>
  <c r="G185" i="24"/>
  <c r="G183" i="24"/>
  <c r="I183" i="24" s="1"/>
  <c r="G182" i="24"/>
  <c r="G181" i="24"/>
  <c r="G180" i="24"/>
  <c r="G179" i="24"/>
  <c r="G178" i="24"/>
  <c r="G177" i="24"/>
  <c r="G176" i="24"/>
  <c r="F191" i="24"/>
  <c r="F190" i="24"/>
  <c r="F187" i="24"/>
  <c r="F186" i="24"/>
  <c r="F185" i="24"/>
  <c r="F183" i="24"/>
  <c r="F182" i="24"/>
  <c r="F181" i="24"/>
  <c r="F180" i="24"/>
  <c r="F179" i="24"/>
  <c r="F178" i="24"/>
  <c r="F177" i="24"/>
  <c r="F176" i="24"/>
  <c r="E191" i="24"/>
  <c r="E190" i="24"/>
  <c r="E187" i="24"/>
  <c r="E186" i="24"/>
  <c r="E185" i="24"/>
  <c r="E183" i="24"/>
  <c r="E182" i="24"/>
  <c r="E181" i="24"/>
  <c r="E180" i="24"/>
  <c r="E179" i="24"/>
  <c r="E178" i="24"/>
  <c r="E177" i="24"/>
  <c r="E176" i="24"/>
  <c r="B191" i="24"/>
  <c r="B187" i="24"/>
  <c r="B186" i="24"/>
  <c r="B185" i="24"/>
  <c r="B183" i="24"/>
  <c r="B182" i="24"/>
  <c r="B181" i="24"/>
  <c r="B180" i="24"/>
  <c r="B179" i="24"/>
  <c r="B178" i="24"/>
  <c r="B177" i="24"/>
  <c r="B176" i="24"/>
  <c r="O187" i="24"/>
  <c r="O186" i="24"/>
  <c r="O185" i="24"/>
  <c r="N182" i="24"/>
  <c r="G203" i="24"/>
  <c r="G202" i="24"/>
  <c r="G201" i="24"/>
  <c r="G200" i="24"/>
  <c r="G199" i="24"/>
  <c r="G198" i="24"/>
  <c r="Z177" i="24"/>
  <c r="AA177" i="24" s="1"/>
  <c r="I78" i="24" l="1"/>
  <c r="I79" i="24"/>
  <c r="I71" i="24"/>
  <c r="I66" i="24"/>
  <c r="N40" i="24"/>
  <c r="O40" i="24"/>
  <c r="N44" i="24"/>
  <c r="O44" i="24"/>
  <c r="N70" i="24"/>
  <c r="O70" i="24"/>
  <c r="N74" i="24"/>
  <c r="O74" i="24"/>
  <c r="N41" i="24"/>
  <c r="O41" i="24"/>
  <c r="N66" i="24"/>
  <c r="O66" i="24"/>
  <c r="N71" i="24"/>
  <c r="O71" i="24"/>
  <c r="N42" i="24"/>
  <c r="O42" i="24"/>
  <c r="O67" i="24"/>
  <c r="N67" i="24"/>
  <c r="O72" i="24"/>
  <c r="N72" i="24"/>
  <c r="O69" i="24"/>
  <c r="N69" i="24"/>
  <c r="I185" i="24"/>
  <c r="O75" i="24"/>
  <c r="P75" i="24" s="1"/>
  <c r="N43" i="24"/>
  <c r="O43" i="24"/>
  <c r="I67" i="24"/>
  <c r="I68" i="24"/>
  <c r="N68" i="24"/>
  <c r="O68" i="24"/>
  <c r="N73" i="24"/>
  <c r="O73" i="24"/>
  <c r="H70" i="31"/>
  <c r="H74" i="31"/>
  <c r="I84" i="31" s="1"/>
  <c r="AB66" i="24"/>
  <c r="AB75" i="24"/>
  <c r="AB67" i="24"/>
  <c r="AB70" i="24"/>
  <c r="AB78" i="24"/>
  <c r="AB74" i="24"/>
  <c r="AB40" i="24"/>
  <c r="AB71" i="24"/>
  <c r="AB69" i="24"/>
  <c r="AB77" i="24"/>
  <c r="AB68" i="24"/>
  <c r="AB76" i="24"/>
  <c r="AB44" i="24"/>
  <c r="Z79" i="24"/>
  <c r="AB79" i="24" s="1"/>
  <c r="AB42" i="24"/>
  <c r="AB73" i="24"/>
  <c r="O77" i="24"/>
  <c r="AB43" i="24"/>
  <c r="J78" i="24"/>
  <c r="J79" i="24" s="1"/>
  <c r="O79" i="24" s="1"/>
  <c r="I69" i="24"/>
  <c r="AA41" i="24"/>
  <c r="AB41" i="24" s="1"/>
  <c r="I182" i="24"/>
  <c r="I181" i="24"/>
  <c r="I186" i="24"/>
  <c r="P77" i="24"/>
  <c r="P76" i="24"/>
  <c r="O190" i="24"/>
  <c r="J191" i="24"/>
  <c r="O191" i="24" s="1"/>
  <c r="AA190" i="24"/>
  <c r="AB190" i="24" s="1"/>
  <c r="N190" i="24"/>
  <c r="AB178" i="24"/>
  <c r="AB182" i="24"/>
  <c r="AB187" i="24"/>
  <c r="AB179" i="24"/>
  <c r="AB183" i="24"/>
  <c r="AB188" i="24"/>
  <c r="AB176" i="24"/>
  <c r="AB189" i="24"/>
  <c r="AB180" i="24"/>
  <c r="AB185" i="24"/>
  <c r="AB177" i="24"/>
  <c r="AB181" i="24"/>
  <c r="AB186" i="24"/>
  <c r="AA191" i="24"/>
  <c r="AB191" i="24" s="1"/>
  <c r="P187" i="24"/>
  <c r="N185" i="24"/>
  <c r="N186" i="24"/>
  <c r="P182" i="24"/>
  <c r="O181" i="24"/>
  <c r="P69" i="24" l="1"/>
  <c r="P67" i="24"/>
  <c r="H83" i="31"/>
  <c r="I83" i="31"/>
  <c r="P72" i="24"/>
  <c r="P73" i="24"/>
  <c r="P42" i="24"/>
  <c r="P66" i="24"/>
  <c r="P74" i="24"/>
  <c r="P44" i="24"/>
  <c r="P68" i="24"/>
  <c r="P43" i="24"/>
  <c r="P71" i="24"/>
  <c r="P41" i="24"/>
  <c r="P70" i="24"/>
  <c r="P40" i="24"/>
  <c r="H84" i="31"/>
  <c r="H79" i="31"/>
  <c r="G84" i="31"/>
  <c r="G80" i="31"/>
  <c r="N78" i="24"/>
  <c r="O78" i="24"/>
  <c r="N79" i="24"/>
  <c r="P79" i="24" s="1"/>
  <c r="N191" i="24"/>
  <c r="P191" i="24" s="1"/>
  <c r="P190" i="24"/>
  <c r="P185" i="24"/>
  <c r="P186" i="24"/>
  <c r="P181" i="24"/>
  <c r="I85" i="31" l="1"/>
  <c r="H80" i="31"/>
  <c r="G85" i="31"/>
  <c r="H85" i="31"/>
  <c r="P78" i="24"/>
  <c r="AA146" i="24"/>
  <c r="AA148" i="24"/>
  <c r="AA144" i="24"/>
  <c r="AA152" i="24" s="1"/>
  <c r="AA145" i="24"/>
  <c r="AA147" i="24"/>
  <c r="AA149" i="24"/>
  <c r="AA150" i="24"/>
  <c r="Z152" i="24"/>
  <c r="Z153" i="24" s="1"/>
  <c r="O147" i="24"/>
  <c r="N147" i="24"/>
  <c r="M152" i="24"/>
  <c r="M153" i="24"/>
  <c r="J150" i="24"/>
  <c r="N150" i="24" s="1"/>
  <c r="J149" i="24"/>
  <c r="O149" i="24" s="1"/>
  <c r="J148" i="24"/>
  <c r="N148" i="24" s="1"/>
  <c r="J146" i="24"/>
  <c r="N146" i="24" s="1"/>
  <c r="J145" i="24"/>
  <c r="O145" i="24" s="1"/>
  <c r="J152" i="24"/>
  <c r="H153" i="24"/>
  <c r="H152" i="24"/>
  <c r="H150" i="24"/>
  <c r="H149" i="24"/>
  <c r="H148" i="24"/>
  <c r="H147" i="24"/>
  <c r="H146" i="24"/>
  <c r="H145" i="24"/>
  <c r="G153" i="24"/>
  <c r="G152" i="24"/>
  <c r="G150" i="24"/>
  <c r="G149" i="24"/>
  <c r="G148" i="24"/>
  <c r="G147" i="24"/>
  <c r="G146" i="24"/>
  <c r="G145" i="24"/>
  <c r="F153" i="24"/>
  <c r="F152" i="24"/>
  <c r="F150" i="24"/>
  <c r="F149" i="24"/>
  <c r="F148" i="24"/>
  <c r="F147" i="24"/>
  <c r="F146" i="24"/>
  <c r="F145" i="24"/>
  <c r="E153" i="24"/>
  <c r="E152" i="24"/>
  <c r="E150" i="24"/>
  <c r="E149" i="24"/>
  <c r="E148" i="24"/>
  <c r="E147" i="24"/>
  <c r="E146" i="24"/>
  <c r="E145" i="24"/>
  <c r="C120" i="24"/>
  <c r="C121" i="24" s="1"/>
  <c r="C152" i="24"/>
  <c r="C153" i="24" s="1"/>
  <c r="B153" i="24"/>
  <c r="B152" i="24"/>
  <c r="B150" i="24"/>
  <c r="B149" i="24"/>
  <c r="B148" i="24"/>
  <c r="B147" i="24"/>
  <c r="B146" i="24"/>
  <c r="B145" i="24"/>
  <c r="G165" i="24"/>
  <c r="G164" i="24"/>
  <c r="G163" i="24"/>
  <c r="G162" i="24"/>
  <c r="G161" i="24"/>
  <c r="G160" i="24"/>
  <c r="K153" i="24"/>
  <c r="AE140" i="24"/>
  <c r="AB151" i="24" s="1"/>
  <c r="G133" i="24"/>
  <c r="G132" i="24"/>
  <c r="G131" i="24"/>
  <c r="G130" i="24"/>
  <c r="G129" i="24"/>
  <c r="G128" i="24"/>
  <c r="AA111" i="24"/>
  <c r="AA113" i="24"/>
  <c r="AA114" i="24"/>
  <c r="AA115" i="24"/>
  <c r="AA116" i="24"/>
  <c r="AA117" i="24"/>
  <c r="AA109" i="24"/>
  <c r="AE105" i="24"/>
  <c r="Z121" i="24"/>
  <c r="Z120" i="24"/>
  <c r="Z110" i="24"/>
  <c r="AA110" i="24" s="1"/>
  <c r="AB112" i="24" l="1"/>
  <c r="AB119" i="24"/>
  <c r="AB118" i="24"/>
  <c r="O152" i="24"/>
  <c r="I147" i="24"/>
  <c r="I152" i="24"/>
  <c r="I144" i="24"/>
  <c r="I148" i="24"/>
  <c r="N149" i="24"/>
  <c r="I145" i="24"/>
  <c r="I149" i="24"/>
  <c r="N145" i="24"/>
  <c r="P145" i="24" s="1"/>
  <c r="I153" i="24"/>
  <c r="I146" i="24"/>
  <c r="I150" i="24"/>
  <c r="O146" i="24"/>
  <c r="O150" i="24"/>
  <c r="N152" i="24"/>
  <c r="O148" i="24"/>
  <c r="P148" i="24" s="1"/>
  <c r="J153" i="24"/>
  <c r="AB110" i="24"/>
  <c r="AB109" i="24"/>
  <c r="AB117" i="24"/>
  <c r="AB145" i="24"/>
  <c r="AB149" i="24"/>
  <c r="AB146" i="24"/>
  <c r="AB150" i="24"/>
  <c r="AB147" i="24"/>
  <c r="AB152" i="24"/>
  <c r="AB144" i="24"/>
  <c r="AB148" i="24"/>
  <c r="AA153" i="24"/>
  <c r="AB153" i="24" s="1"/>
  <c r="O144" i="24"/>
  <c r="AB115" i="24"/>
  <c r="AB114" i="24"/>
  <c r="AB113" i="24"/>
  <c r="AB111" i="24"/>
  <c r="P147" i="24"/>
  <c r="N144" i="24"/>
  <c r="AB116" i="24"/>
  <c r="AA120" i="24"/>
  <c r="AB120" i="24" s="1"/>
  <c r="AA121" i="24"/>
  <c r="AB121" i="24" s="1"/>
  <c r="P152" i="24" l="1"/>
  <c r="N153" i="24"/>
  <c r="O153" i="24"/>
  <c r="P150" i="24"/>
  <c r="P144" i="24"/>
  <c r="P146" i="24"/>
  <c r="P149" i="24"/>
  <c r="P153" i="24" l="1"/>
  <c r="J98" i="24" l="1"/>
  <c r="I98" i="24"/>
  <c r="H98" i="24"/>
  <c r="G98" i="24"/>
  <c r="F98" i="24"/>
  <c r="E121" i="24"/>
  <c r="E120" i="24"/>
  <c r="E117" i="24"/>
  <c r="E189" i="24" s="1"/>
  <c r="E116" i="24"/>
  <c r="E188" i="24" s="1"/>
  <c r="E115" i="24"/>
  <c r="E114" i="24"/>
  <c r="E113" i="24"/>
  <c r="E111" i="24"/>
  <c r="E110" i="24"/>
  <c r="E109" i="24"/>
  <c r="J117" i="24"/>
  <c r="J189" i="24" s="1"/>
  <c r="J116" i="24"/>
  <c r="J188" i="24" s="1"/>
  <c r="J115" i="24"/>
  <c r="J114" i="24"/>
  <c r="J113" i="24"/>
  <c r="J111" i="24"/>
  <c r="J110" i="24"/>
  <c r="J109" i="24"/>
  <c r="H121" i="24"/>
  <c r="H120" i="24"/>
  <c r="H117" i="24"/>
  <c r="H189" i="24" s="1"/>
  <c r="H116" i="24"/>
  <c r="H188" i="24" s="1"/>
  <c r="H115" i="24"/>
  <c r="H114" i="24"/>
  <c r="H113" i="24"/>
  <c r="H111" i="24"/>
  <c r="H110" i="24"/>
  <c r="H109" i="24"/>
  <c r="G121" i="24"/>
  <c r="G120" i="24"/>
  <c r="G117" i="24"/>
  <c r="G189" i="24" s="1"/>
  <c r="I189" i="24" s="1"/>
  <c r="G116" i="24"/>
  <c r="G188" i="24" s="1"/>
  <c r="G115" i="24"/>
  <c r="G114" i="24"/>
  <c r="G113" i="24"/>
  <c r="G111" i="24"/>
  <c r="G110" i="24"/>
  <c r="G109" i="24"/>
  <c r="F121" i="24"/>
  <c r="F120" i="24"/>
  <c r="F117" i="24"/>
  <c r="F189" i="24" s="1"/>
  <c r="F116" i="24"/>
  <c r="F188" i="24" s="1"/>
  <c r="F115" i="24"/>
  <c r="F114" i="24"/>
  <c r="F113" i="24"/>
  <c r="F111" i="24"/>
  <c r="F110" i="24"/>
  <c r="F109" i="24"/>
  <c r="M120" i="24"/>
  <c r="M121" i="24" s="1"/>
  <c r="L120" i="24"/>
  <c r="L121" i="24" s="1"/>
  <c r="K120" i="24"/>
  <c r="K121" i="24" s="1"/>
  <c r="B121" i="24"/>
  <c r="B120" i="24"/>
  <c r="B117" i="24"/>
  <c r="B116" i="24"/>
  <c r="B115" i="24"/>
  <c r="B114" i="24"/>
  <c r="B113" i="24"/>
  <c r="B111" i="24"/>
  <c r="B110" i="24"/>
  <c r="B109" i="24"/>
  <c r="I31" i="24"/>
  <c r="I30" i="24"/>
  <c r="I14" i="24"/>
  <c r="I23" i="24"/>
  <c r="I27" i="24"/>
  <c r="J25" i="24"/>
  <c r="J183" i="24" s="1"/>
  <c r="I25" i="24"/>
  <c r="I24" i="24"/>
  <c r="I13" i="24"/>
  <c r="I11" i="24"/>
  <c r="I12" i="24"/>
  <c r="I10" i="24"/>
  <c r="I151" i="24" l="1"/>
  <c r="I118" i="24"/>
  <c r="I9" i="24"/>
  <c r="G40" i="24"/>
  <c r="N117" i="24"/>
  <c r="I115" i="24"/>
  <c r="O117" i="24"/>
  <c r="I111" i="24"/>
  <c r="I188" i="24"/>
  <c r="O189" i="24"/>
  <c r="N189" i="24"/>
  <c r="N183" i="24"/>
  <c r="O183" i="24"/>
  <c r="N188" i="24"/>
  <c r="O188" i="24"/>
  <c r="I117" i="24"/>
  <c r="I177" i="24"/>
  <c r="I113" i="24"/>
  <c r="O177" i="24"/>
  <c r="N177" i="24"/>
  <c r="I109" i="24"/>
  <c r="I176" i="24"/>
  <c r="I114" i="24"/>
  <c r="I179" i="24"/>
  <c r="I120" i="24"/>
  <c r="J120" i="24"/>
  <c r="O120" i="24" s="1"/>
  <c r="N176" i="24"/>
  <c r="O176" i="24"/>
  <c r="I110" i="24"/>
  <c r="I180" i="24"/>
  <c r="I121" i="24"/>
  <c r="I178" i="24"/>
  <c r="I116" i="24"/>
  <c r="O178" i="24"/>
  <c r="N178" i="24"/>
  <c r="P117" i="24" l="1"/>
  <c r="N120" i="24"/>
  <c r="P183" i="24"/>
  <c r="P189" i="24"/>
  <c r="P188" i="24"/>
  <c r="P177" i="24"/>
  <c r="J121" i="24"/>
  <c r="P178" i="24"/>
  <c r="P176" i="24"/>
  <c r="P120" i="24"/>
  <c r="O121" i="24" l="1"/>
  <c r="N121" i="24"/>
  <c r="N179" i="24"/>
  <c r="O179" i="24"/>
  <c r="P179" i="24" l="1"/>
  <c r="O180" i="24"/>
  <c r="N180" i="24"/>
  <c r="P121" i="24"/>
  <c r="P180" i="24" l="1"/>
  <c r="I29" i="24" l="1"/>
  <c r="I119" i="24" s="1"/>
  <c r="I28" i="24"/>
  <c r="I18" i="24"/>
  <c r="I21" i="24"/>
  <c r="I22" i="24"/>
  <c r="I20" i="24"/>
  <c r="I19" i="24"/>
  <c r="I17" i="24"/>
  <c r="I16" i="24"/>
  <c r="I15" i="24"/>
  <c r="O116" i="24"/>
  <c r="N116" i="24"/>
  <c r="O115" i="24"/>
  <c r="N115" i="24"/>
  <c r="O114" i="24"/>
  <c r="N114" i="24"/>
  <c r="O113" i="24"/>
  <c r="N113" i="24"/>
  <c r="O111" i="24"/>
  <c r="N111" i="24"/>
  <c r="O110" i="24"/>
  <c r="N110" i="24"/>
  <c r="O109" i="24"/>
  <c r="N109" i="24"/>
  <c r="B1" i="24"/>
  <c r="I44" i="24"/>
  <c r="I43" i="24"/>
  <c r="I42" i="24"/>
  <c r="I41" i="24"/>
  <c r="I40" i="24"/>
  <c r="C526" i="22"/>
  <c r="D526" i="22" s="1"/>
  <c r="B526" i="22"/>
  <c r="B641" i="22"/>
  <c r="D640" i="22"/>
  <c r="B640" i="22"/>
  <c r="C630" i="22"/>
  <c r="D630" i="22" s="1"/>
  <c r="E630" i="22" s="1"/>
  <c r="F630" i="22" s="1"/>
  <c r="G630" i="22" s="1"/>
  <c r="B630" i="22"/>
  <c r="C545" i="22"/>
  <c r="D545" i="22" s="1"/>
  <c r="E545" i="22" s="1"/>
  <c r="F545" i="22" s="1"/>
  <c r="G545" i="22" s="1"/>
  <c r="B545" i="22"/>
  <c r="C537" i="22"/>
  <c r="D537" i="22" s="1"/>
  <c r="B537" i="22"/>
  <c r="C511" i="22"/>
  <c r="D511" i="22" s="1"/>
  <c r="E511" i="22" s="1"/>
  <c r="F511" i="22" s="1"/>
  <c r="G511" i="22" s="1"/>
  <c r="H511" i="22" s="1"/>
  <c r="I511" i="22" s="1"/>
  <c r="J511" i="22" s="1"/>
  <c r="B511" i="22"/>
  <c r="C509" i="22"/>
  <c r="D509" i="22" s="1"/>
  <c r="E509" i="22" s="1"/>
  <c r="F509" i="22" s="1"/>
  <c r="G509" i="22" s="1"/>
  <c r="H509" i="22" s="1"/>
  <c r="I509" i="22" s="1"/>
  <c r="J509" i="22" s="1"/>
  <c r="B509" i="22"/>
  <c r="C507" i="22"/>
  <c r="D507" i="22" s="1"/>
  <c r="E507" i="22" s="1"/>
  <c r="F507" i="22" s="1"/>
  <c r="G507" i="22" s="1"/>
  <c r="H507" i="22" s="1"/>
  <c r="I507" i="22" s="1"/>
  <c r="J507" i="22" s="1"/>
  <c r="B507" i="22"/>
  <c r="C505" i="22"/>
  <c r="D505" i="22" s="1"/>
  <c r="E505" i="22" s="1"/>
  <c r="F505" i="22" s="1"/>
  <c r="G505" i="22" s="1"/>
  <c r="H505" i="22" s="1"/>
  <c r="I505" i="22" s="1"/>
  <c r="J505" i="22" s="1"/>
  <c r="B505" i="22"/>
  <c r="C503" i="22"/>
  <c r="D503" i="22" s="1"/>
  <c r="B503" i="22"/>
  <c r="B491" i="22"/>
  <c r="B486" i="22"/>
  <c r="C370" i="22"/>
  <c r="D370" i="22" s="1"/>
  <c r="E370" i="22" s="1"/>
  <c r="B370" i="22"/>
  <c r="D358" i="22"/>
  <c r="C354" i="22"/>
  <c r="D354" i="22" s="1"/>
  <c r="E354" i="22" s="1"/>
  <c r="F354" i="22" s="1"/>
  <c r="G354" i="22" s="1"/>
  <c r="B354" i="22"/>
  <c r="D348" i="22"/>
  <c r="B348" i="22"/>
  <c r="B339" i="22"/>
  <c r="B324" i="22"/>
  <c r="B319" i="22"/>
  <c r="E149" i="22"/>
  <c r="F149" i="22" s="1"/>
  <c r="G149" i="22" s="1"/>
  <c r="B138" i="22"/>
  <c r="B133" i="22"/>
  <c r="K104" i="22"/>
  <c r="F104" i="22"/>
  <c r="E104" i="22"/>
  <c r="D104" i="22"/>
  <c r="C27" i="22"/>
  <c r="C88" i="22"/>
  <c r="C22" i="22"/>
  <c r="C20" i="22"/>
  <c r="C19" i="22"/>
  <c r="C122" i="22" s="1"/>
  <c r="D122" i="22" s="1"/>
  <c r="E122" i="22" s="1"/>
  <c r="F122" i="22" s="1"/>
  <c r="G122" i="22" s="1"/>
  <c r="H122" i="22" s="1"/>
  <c r="I122" i="22" s="1"/>
  <c r="J122" i="22" s="1"/>
  <c r="C18" i="22"/>
  <c r="C121" i="22" s="1"/>
  <c r="D121" i="22" s="1"/>
  <c r="C491" i="22"/>
  <c r="D491" i="22" s="1"/>
  <c r="D493" i="22" s="1"/>
  <c r="D69" i="21" s="1"/>
  <c r="C486" i="22"/>
  <c r="D486" i="22" s="1"/>
  <c r="D488" i="22" s="1"/>
  <c r="D68" i="21" s="1"/>
  <c r="E121" i="22" l="1"/>
  <c r="D125" i="22"/>
  <c r="G546" i="22"/>
  <c r="H545" i="22"/>
  <c r="G355" i="22"/>
  <c r="H354" i="22"/>
  <c r="H630" i="22"/>
  <c r="G631" i="22"/>
  <c r="H149" i="22"/>
  <c r="G151" i="22"/>
  <c r="D151" i="22"/>
  <c r="D19" i="21" s="1"/>
  <c r="D546" i="22"/>
  <c r="D81" i="21" s="1"/>
  <c r="C163" i="22"/>
  <c r="D163" i="22" s="1"/>
  <c r="D167" i="22" s="1"/>
  <c r="D22" i="21" s="1"/>
  <c r="C180" i="22"/>
  <c r="D180" i="22" s="1"/>
  <c r="C181" i="22"/>
  <c r="D181" i="22" s="1"/>
  <c r="E181" i="22" s="1"/>
  <c r="F181" i="22" s="1"/>
  <c r="G181" i="22" s="1"/>
  <c r="H181" i="22" s="1"/>
  <c r="I181" i="22" s="1"/>
  <c r="J181" i="22" s="1"/>
  <c r="D631" i="22"/>
  <c r="D97" i="21" s="1"/>
  <c r="E358" i="22"/>
  <c r="E360" i="22" s="1"/>
  <c r="E59" i="21" s="1"/>
  <c r="D360" i="22"/>
  <c r="D59" i="21" s="1"/>
  <c r="F546" i="22"/>
  <c r="F81" i="21" s="1"/>
  <c r="E631" i="22"/>
  <c r="E97" i="21" s="1"/>
  <c r="D355" i="22"/>
  <c r="D58" i="21" s="1"/>
  <c r="F631" i="22"/>
  <c r="F97" i="21" s="1"/>
  <c r="E355" i="22"/>
  <c r="E58" i="21" s="1"/>
  <c r="P113" i="24"/>
  <c r="P110" i="24"/>
  <c r="P111" i="24"/>
  <c r="P114" i="24"/>
  <c r="P109" i="24"/>
  <c r="P116" i="24"/>
  <c r="P115" i="24"/>
  <c r="F355" i="22"/>
  <c r="F58" i="21" s="1"/>
  <c r="C133" i="22"/>
  <c r="D133" i="22" s="1"/>
  <c r="E486" i="22"/>
  <c r="E488" i="22" s="1"/>
  <c r="E68" i="21" s="1"/>
  <c r="E491" i="22"/>
  <c r="E493" i="22" s="1"/>
  <c r="E69" i="21" s="1"/>
  <c r="C138" i="22"/>
  <c r="D138" i="22" s="1"/>
  <c r="E348" i="22"/>
  <c r="D350" i="22"/>
  <c r="D57" i="21" s="1"/>
  <c r="E371" i="22"/>
  <c r="E61" i="21" s="1"/>
  <c r="F370" i="22"/>
  <c r="D371" i="22"/>
  <c r="D61" i="21" s="1"/>
  <c r="E546" i="22"/>
  <c r="E81" i="21" s="1"/>
  <c r="D644" i="22"/>
  <c r="D99" i="21" s="1"/>
  <c r="E537" i="22"/>
  <c r="E503" i="22"/>
  <c r="E640" i="22"/>
  <c r="E526" i="22"/>
  <c r="E125" i="22" l="1"/>
  <c r="F121" i="22"/>
  <c r="F371" i="22"/>
  <c r="F61" i="21" s="1"/>
  <c r="G61" i="21" s="1"/>
  <c r="G370" i="22"/>
  <c r="I545" i="22"/>
  <c r="H546" i="22"/>
  <c r="J83" i="40" s="1"/>
  <c r="J82" i="40" s="1"/>
  <c r="J149" i="40" s="1"/>
  <c r="I83" i="40"/>
  <c r="I354" i="22"/>
  <c r="H355" i="22"/>
  <c r="J60" i="40" s="1"/>
  <c r="I60" i="40"/>
  <c r="I19" i="40"/>
  <c r="I149" i="22"/>
  <c r="H151" i="22"/>
  <c r="J19" i="40" s="1"/>
  <c r="I99" i="40"/>
  <c r="H631" i="22"/>
  <c r="D95" i="21"/>
  <c r="AA167" i="21"/>
  <c r="D169" i="21"/>
  <c r="E169" i="21"/>
  <c r="AA169" i="21" s="1"/>
  <c r="AB167" i="21"/>
  <c r="G58" i="21"/>
  <c r="G97" i="21"/>
  <c r="G81" i="21"/>
  <c r="E151" i="22"/>
  <c r="E19" i="21" s="1"/>
  <c r="D15" i="21"/>
  <c r="D14" i="21"/>
  <c r="D734" i="22"/>
  <c r="F358" i="22"/>
  <c r="E163" i="22"/>
  <c r="E167" i="22" s="1"/>
  <c r="E22" i="21" s="1"/>
  <c r="E180" i="22"/>
  <c r="K631" i="22"/>
  <c r="K355" i="22"/>
  <c r="F526" i="22"/>
  <c r="G526" i="22" s="1"/>
  <c r="H526" i="22" s="1"/>
  <c r="I526" i="22" s="1"/>
  <c r="J526" i="22" s="1"/>
  <c r="F640" i="22"/>
  <c r="E644" i="22"/>
  <c r="E99" i="21" s="1"/>
  <c r="K546" i="22"/>
  <c r="F491" i="22"/>
  <c r="F486" i="22"/>
  <c r="E133" i="22"/>
  <c r="F348" i="22"/>
  <c r="E350" i="22"/>
  <c r="E57" i="21" s="1"/>
  <c r="F503" i="22"/>
  <c r="G503" i="22" s="1"/>
  <c r="H503" i="22" s="1"/>
  <c r="I503" i="22" s="1"/>
  <c r="J503" i="22" s="1"/>
  <c r="F537" i="22"/>
  <c r="G537" i="22" s="1"/>
  <c r="H537" i="22" s="1"/>
  <c r="I537" i="22" s="1"/>
  <c r="J537" i="22" s="1"/>
  <c r="D140" i="22"/>
  <c r="D17" i="21" s="1"/>
  <c r="E138" i="22"/>
  <c r="G121" i="22" l="1"/>
  <c r="F125" i="22"/>
  <c r="K125" i="22" s="1"/>
  <c r="J99" i="40"/>
  <c r="K371" i="22"/>
  <c r="F493" i="22"/>
  <c r="F69" i="21" s="1"/>
  <c r="G69" i="21" s="1"/>
  <c r="G491" i="22"/>
  <c r="H370" i="22"/>
  <c r="G371" i="22"/>
  <c r="F488" i="22"/>
  <c r="F68" i="21" s="1"/>
  <c r="G68" i="21" s="1"/>
  <c r="G486" i="22"/>
  <c r="I82" i="40"/>
  <c r="I149" i="40" s="1"/>
  <c r="I546" i="22"/>
  <c r="L546" i="22" s="1"/>
  <c r="L541" i="22" s="1"/>
  <c r="J545" i="22"/>
  <c r="J546" i="22" s="1"/>
  <c r="L83" i="40" s="1"/>
  <c r="L82" i="40" s="1"/>
  <c r="L149" i="40" s="1"/>
  <c r="F350" i="22"/>
  <c r="F57" i="21" s="1"/>
  <c r="G57" i="21" s="1"/>
  <c r="G348" i="22"/>
  <c r="F360" i="22"/>
  <c r="F59" i="21" s="1"/>
  <c r="G59" i="21" s="1"/>
  <c r="G358" i="22"/>
  <c r="F644" i="22"/>
  <c r="F99" i="21" s="1"/>
  <c r="F95" i="21" s="1"/>
  <c r="G640" i="22"/>
  <c r="J354" i="22"/>
  <c r="J355" i="22" s="1"/>
  <c r="L60" i="40" s="1"/>
  <c r="I355" i="22"/>
  <c r="K60" i="40" s="1"/>
  <c r="J631" i="22"/>
  <c r="L99" i="40" s="1"/>
  <c r="I631" i="22"/>
  <c r="K99" i="40" s="1"/>
  <c r="J149" i="22"/>
  <c r="J151" i="22" s="1"/>
  <c r="L19" i="40" s="1"/>
  <c r="I151" i="22"/>
  <c r="K19" i="40" s="1"/>
  <c r="E95" i="21"/>
  <c r="N95" i="21"/>
  <c r="O95" i="21"/>
  <c r="D172" i="21"/>
  <c r="G167" i="21"/>
  <c r="Z167" i="21"/>
  <c r="AC167" i="21" s="1"/>
  <c r="Z169" i="21"/>
  <c r="P61" i="21"/>
  <c r="P68" i="21"/>
  <c r="P58" i="21"/>
  <c r="P99" i="21"/>
  <c r="P57" i="21"/>
  <c r="F151" i="22"/>
  <c r="D736" i="22"/>
  <c r="D117" i="21" s="1"/>
  <c r="D116" i="21" s="1"/>
  <c r="E734" i="22"/>
  <c r="F163" i="22"/>
  <c r="G163" i="22" s="1"/>
  <c r="F180" i="22"/>
  <c r="G180" i="22" s="1"/>
  <c r="H180" i="22" s="1"/>
  <c r="I180" i="22" s="1"/>
  <c r="J180" i="22" s="1"/>
  <c r="K145" i="22"/>
  <c r="E140" i="22"/>
  <c r="E17" i="21" s="1"/>
  <c r="F138" i="22"/>
  <c r="F133" i="22"/>
  <c r="G133" i="22" s="1"/>
  <c r="L151" i="22" l="1"/>
  <c r="L355" i="22"/>
  <c r="L631" i="22"/>
  <c r="H121" i="22"/>
  <c r="G125" i="22"/>
  <c r="K493" i="22"/>
  <c r="K488" i="22"/>
  <c r="F169" i="21"/>
  <c r="AB169" i="21" s="1"/>
  <c r="G99" i="21"/>
  <c r="G95" i="21" s="1"/>
  <c r="K644" i="22"/>
  <c r="I370" i="22"/>
  <c r="H371" i="22"/>
  <c r="J63" i="40" s="1"/>
  <c r="H486" i="22"/>
  <c r="G488" i="22"/>
  <c r="H491" i="22"/>
  <c r="G493" i="22"/>
  <c r="I63" i="40"/>
  <c r="M60" i="40"/>
  <c r="K83" i="40"/>
  <c r="K350" i="22"/>
  <c r="K360" i="22"/>
  <c r="H640" i="22"/>
  <c r="G644" i="22"/>
  <c r="H358" i="22"/>
  <c r="G360" i="22"/>
  <c r="H348" i="22"/>
  <c r="G350" i="22"/>
  <c r="M99" i="40"/>
  <c r="M19" i="40"/>
  <c r="F140" i="22"/>
  <c r="F17" i="21" s="1"/>
  <c r="G17" i="21" s="1"/>
  <c r="H138" i="22"/>
  <c r="H140" i="22" s="1"/>
  <c r="J17" i="40" s="1"/>
  <c r="I138" i="22"/>
  <c r="I140" i="22" s="1"/>
  <c r="G138" i="22"/>
  <c r="G140" i="22" s="1"/>
  <c r="J138" i="22"/>
  <c r="J140" i="22" s="1"/>
  <c r="L17" i="40" s="1"/>
  <c r="F15" i="21"/>
  <c r="H133" i="22"/>
  <c r="G135" i="22"/>
  <c r="F14" i="21"/>
  <c r="H163" i="22"/>
  <c r="G167" i="22"/>
  <c r="E15" i="21"/>
  <c r="M95" i="21"/>
  <c r="P97" i="21"/>
  <c r="P95" i="21" s="1"/>
  <c r="E14" i="21"/>
  <c r="P59" i="21"/>
  <c r="AC169" i="21"/>
  <c r="E80" i="21"/>
  <c r="E146" i="21" s="1"/>
  <c r="P69" i="21"/>
  <c r="P17" i="21"/>
  <c r="F41" i="21"/>
  <c r="F140" i="21" s="1"/>
  <c r="P81" i="21"/>
  <c r="D166" i="21"/>
  <c r="E41" i="21"/>
  <c r="E140" i="21" s="1"/>
  <c r="K151" i="22"/>
  <c r="F19" i="21"/>
  <c r="G41" i="21"/>
  <c r="D41" i="21"/>
  <c r="D140" i="21" s="1"/>
  <c r="Z172" i="21"/>
  <c r="F167" i="22"/>
  <c r="F22" i="21" s="1"/>
  <c r="F734" i="22"/>
  <c r="E736" i="22"/>
  <c r="E117" i="21" s="1"/>
  <c r="E116" i="21" s="1"/>
  <c r="I17" i="40" l="1"/>
  <c r="L140" i="22"/>
  <c r="H125" i="22"/>
  <c r="I121" i="22"/>
  <c r="K140" i="22"/>
  <c r="G169" i="21"/>
  <c r="I486" i="22"/>
  <c r="H488" i="22"/>
  <c r="J71" i="40" s="1"/>
  <c r="F736" i="22"/>
  <c r="F117" i="21" s="1"/>
  <c r="F116" i="21" s="1"/>
  <c r="G734" i="22"/>
  <c r="I72" i="40"/>
  <c r="I491" i="22"/>
  <c r="H493" i="22"/>
  <c r="J72" i="40" s="1"/>
  <c r="J370" i="22"/>
  <c r="J371" i="22" s="1"/>
  <c r="L63" i="40" s="1"/>
  <c r="I371" i="22"/>
  <c r="L371" i="22" s="1"/>
  <c r="I71" i="40"/>
  <c r="K82" i="40"/>
  <c r="K149" i="40" s="1"/>
  <c r="M83" i="40"/>
  <c r="M82" i="40" s="1"/>
  <c r="I59" i="40"/>
  <c r="I358" i="22"/>
  <c r="H360" i="22"/>
  <c r="J61" i="40" s="1"/>
  <c r="J172" i="40" s="1"/>
  <c r="I348" i="22"/>
  <c r="H350" i="22"/>
  <c r="J59" i="40" s="1"/>
  <c r="I101" i="40"/>
  <c r="I97" i="40" s="1"/>
  <c r="I640" i="22"/>
  <c r="H644" i="22"/>
  <c r="I61" i="40"/>
  <c r="I133" i="22"/>
  <c r="H135" i="22"/>
  <c r="I22" i="40"/>
  <c r="I15" i="40"/>
  <c r="K17" i="40"/>
  <c r="M17" i="40" s="1"/>
  <c r="I163" i="22"/>
  <c r="H167" i="22"/>
  <c r="J22" i="40" s="1"/>
  <c r="I16" i="40"/>
  <c r="G14" i="21"/>
  <c r="G15" i="21"/>
  <c r="P15" i="21"/>
  <c r="E172" i="21"/>
  <c r="AA172" i="21" s="1"/>
  <c r="D80" i="21"/>
  <c r="D146" i="21" s="1"/>
  <c r="G80" i="21"/>
  <c r="G140" i="21"/>
  <c r="AC140" i="21" s="1"/>
  <c r="P14" i="21"/>
  <c r="F80" i="21"/>
  <c r="F146" i="21" s="1"/>
  <c r="N41" i="21"/>
  <c r="G22" i="21"/>
  <c r="K167" i="22"/>
  <c r="G19" i="21"/>
  <c r="E166" i="21"/>
  <c r="AA166" i="21" s="1"/>
  <c r="Z166" i="21"/>
  <c r="F166" i="21"/>
  <c r="AB166" i="21" s="1"/>
  <c r="F172" i="21"/>
  <c r="O41" i="21"/>
  <c r="N80" i="21"/>
  <c r="I190" i="24"/>
  <c r="I187" i="24"/>
  <c r="J121" i="22" l="1"/>
  <c r="J125" i="22" s="1"/>
  <c r="I125" i="22"/>
  <c r="L125" i="22" s="1"/>
  <c r="J101" i="40"/>
  <c r="J97" i="40" s="1"/>
  <c r="J16" i="40"/>
  <c r="M149" i="40"/>
  <c r="AO149" i="40" s="1"/>
  <c r="K736" i="22"/>
  <c r="J491" i="22"/>
  <c r="J493" i="22" s="1"/>
  <c r="L72" i="40" s="1"/>
  <c r="I493" i="22"/>
  <c r="K72" i="40" s="1"/>
  <c r="H734" i="22"/>
  <c r="G736" i="22"/>
  <c r="K63" i="40"/>
  <c r="M63" i="40" s="1"/>
  <c r="G117" i="21"/>
  <c r="G116" i="21" s="1"/>
  <c r="J486" i="22"/>
  <c r="J488" i="22" s="1"/>
  <c r="L71" i="40" s="1"/>
  <c r="I488" i="22"/>
  <c r="K71" i="40" s="1"/>
  <c r="AN172" i="40"/>
  <c r="AR172" i="40"/>
  <c r="J358" i="22"/>
  <c r="J360" i="22" s="1"/>
  <c r="L61" i="40" s="1"/>
  <c r="L172" i="40" s="1"/>
  <c r="I360" i="22"/>
  <c r="L360" i="22" s="1"/>
  <c r="I172" i="40"/>
  <c r="J640" i="22"/>
  <c r="J644" i="22" s="1"/>
  <c r="I644" i="22"/>
  <c r="L644" i="22" s="1"/>
  <c r="L621" i="22" s="1"/>
  <c r="J348" i="22"/>
  <c r="J350" i="22" s="1"/>
  <c r="L59" i="40" s="1"/>
  <c r="I350" i="22"/>
  <c r="K59" i="40" s="1"/>
  <c r="J163" i="22"/>
  <c r="J167" i="22" s="1"/>
  <c r="L22" i="40" s="1"/>
  <c r="I167" i="22"/>
  <c r="L167" i="22" s="1"/>
  <c r="J14" i="40"/>
  <c r="I14" i="40"/>
  <c r="J133" i="22"/>
  <c r="J135" i="22" s="1"/>
  <c r="I135" i="22"/>
  <c r="L135" i="22" s="1"/>
  <c r="G146" i="21"/>
  <c r="AC146" i="21" s="1"/>
  <c r="AC166" i="21"/>
  <c r="G166" i="21"/>
  <c r="P41" i="21"/>
  <c r="M41" i="21"/>
  <c r="AB172" i="21"/>
  <c r="AC172" i="21" s="1"/>
  <c r="G172" i="21"/>
  <c r="P19" i="21"/>
  <c r="P22" i="21"/>
  <c r="P80" i="21"/>
  <c r="M80" i="21"/>
  <c r="I191" i="24"/>
  <c r="L350" i="22" l="1"/>
  <c r="L488" i="22"/>
  <c r="L493" i="22"/>
  <c r="L101" i="40"/>
  <c r="L97" i="40" s="1"/>
  <c r="L16" i="40"/>
  <c r="J153" i="40"/>
  <c r="M72" i="40"/>
  <c r="M71" i="40"/>
  <c r="I734" i="22"/>
  <c r="H736" i="22"/>
  <c r="J120" i="40" s="1"/>
  <c r="J119" i="40" s="1"/>
  <c r="I120" i="40"/>
  <c r="M59" i="40"/>
  <c r="K101" i="40"/>
  <c r="K97" i="40" s="1"/>
  <c r="K61" i="40"/>
  <c r="M61" i="40" s="1"/>
  <c r="I153" i="40"/>
  <c r="M172" i="40"/>
  <c r="AT172" i="40" s="1"/>
  <c r="AL172" i="40"/>
  <c r="AQ172" i="40"/>
  <c r="AO172" i="40"/>
  <c r="AS172" i="40"/>
  <c r="I11" i="40"/>
  <c r="I141" i="40" s="1"/>
  <c r="L15" i="40"/>
  <c r="K15" i="40"/>
  <c r="K22" i="40"/>
  <c r="K16" i="40"/>
  <c r="J15" i="40"/>
  <c r="L14" i="40"/>
  <c r="K14" i="40"/>
  <c r="W80" i="21"/>
  <c r="O80" i="21"/>
  <c r="E152" i="21"/>
  <c r="D152" i="21"/>
  <c r="F152" i="21"/>
  <c r="P117" i="21"/>
  <c r="J179" i="3"/>
  <c r="I179" i="3"/>
  <c r="H179" i="3"/>
  <c r="G179" i="3"/>
  <c r="F179" i="3"/>
  <c r="AD152" i="3"/>
  <c r="AC152" i="3"/>
  <c r="Z152" i="3"/>
  <c r="Y152" i="3"/>
  <c r="X152" i="3"/>
  <c r="W152" i="3"/>
  <c r="V152" i="3"/>
  <c r="O179" i="3" l="1"/>
  <c r="M97" i="40"/>
  <c r="M16" i="40"/>
  <c r="L153" i="40"/>
  <c r="J155" i="40"/>
  <c r="J734" i="22"/>
  <c r="J736" i="22" s="1"/>
  <c r="L120" i="40" s="1"/>
  <c r="L119" i="40" s="1"/>
  <c r="I736" i="22"/>
  <c r="L736" i="22" s="1"/>
  <c r="L731" i="22" s="1"/>
  <c r="I119" i="40"/>
  <c r="AP172" i="40"/>
  <c r="M101" i="40"/>
  <c r="M22" i="40"/>
  <c r="M14" i="40"/>
  <c r="K11" i="40"/>
  <c r="K141" i="40" s="1"/>
  <c r="L11" i="40"/>
  <c r="L141" i="40" s="1"/>
  <c r="M15" i="40"/>
  <c r="J11" i="40"/>
  <c r="J141" i="40" s="1"/>
  <c r="G152" i="21"/>
  <c r="N116" i="21"/>
  <c r="O116" i="21"/>
  <c r="L155" i="40" l="1"/>
  <c r="I155" i="40"/>
  <c r="L106" i="22"/>
  <c r="K120" i="40"/>
  <c r="K153" i="40"/>
  <c r="M11" i="40"/>
  <c r="M141" i="40"/>
  <c r="AC152" i="21"/>
  <c r="P116" i="21"/>
  <c r="M116" i="21"/>
  <c r="AO141" i="40" l="1"/>
  <c r="K119" i="40"/>
  <c r="M120" i="40"/>
  <c r="M119" i="40" s="1"/>
  <c r="M153" i="40"/>
  <c r="D26" i="18"/>
  <c r="E26" i="18" s="1"/>
  <c r="F26" i="18" s="1"/>
  <c r="G26" i="18" s="1"/>
  <c r="H26" i="18" s="1"/>
  <c r="I26" i="18" s="1"/>
  <c r="J26" i="18" s="1"/>
  <c r="K26" i="18" s="1"/>
  <c r="L26" i="18" s="1"/>
  <c r="D25" i="18"/>
  <c r="E25" i="18" s="1"/>
  <c r="F25" i="18" s="1"/>
  <c r="G25" i="18" s="1"/>
  <c r="H25" i="18" s="1"/>
  <c r="I25" i="18" s="1"/>
  <c r="J25" i="18" s="1"/>
  <c r="K25" i="18" s="1"/>
  <c r="L25" i="18" s="1"/>
  <c r="K155" i="40" l="1"/>
  <c r="M155" i="40" s="1"/>
  <c r="AO153" i="40"/>
  <c r="E42" i="3"/>
  <c r="F42" i="3" s="1"/>
  <c r="G42" i="3" s="1"/>
  <c r="H42" i="3" s="1"/>
  <c r="I42" i="3" s="1"/>
  <c r="J42" i="3" s="1"/>
  <c r="G62" i="14"/>
  <c r="G63" i="14" s="1"/>
  <c r="H63" i="14" s="1"/>
  <c r="G61" i="14"/>
  <c r="G60" i="14"/>
  <c r="D62" i="14"/>
  <c r="H62" i="14" s="1"/>
  <c r="C62" i="14"/>
  <c r="E62" i="14" s="1"/>
  <c r="D61" i="14"/>
  <c r="C61" i="14"/>
  <c r="D60" i="14"/>
  <c r="D63" i="14" s="1"/>
  <c r="C60" i="14"/>
  <c r="C63" i="14" s="1"/>
  <c r="E60" i="14"/>
  <c r="E61" i="14"/>
  <c r="H61" i="14"/>
  <c r="F61" i="14"/>
  <c r="F60" i="14"/>
  <c r="G57" i="14"/>
  <c r="H57" i="14" s="1"/>
  <c r="D57" i="14"/>
  <c r="E54" i="14"/>
  <c r="E57" i="14" s="1"/>
  <c r="F57" i="14" s="1"/>
  <c r="E55" i="14"/>
  <c r="E56" i="14"/>
  <c r="C57" i="14"/>
  <c r="H56" i="14"/>
  <c r="F56" i="14"/>
  <c r="H55" i="14"/>
  <c r="F55" i="14"/>
  <c r="H54" i="14"/>
  <c r="G51" i="14"/>
  <c r="H51" i="14" s="1"/>
  <c r="D51" i="14"/>
  <c r="H50" i="14"/>
  <c r="H49" i="14"/>
  <c r="H48" i="14"/>
  <c r="E48" i="14"/>
  <c r="E49" i="14"/>
  <c r="E50" i="14"/>
  <c r="F50" i="14" s="1"/>
  <c r="E51" i="14"/>
  <c r="F51" i="14" s="1"/>
  <c r="C51" i="14"/>
  <c r="F49" i="14"/>
  <c r="F48" i="14"/>
  <c r="D31" i="14"/>
  <c r="C43" i="14"/>
  <c r="E43" i="3"/>
  <c r="F43" i="3" s="1"/>
  <c r="G43" i="3" s="1"/>
  <c r="H43" i="3" s="1"/>
  <c r="I43" i="3" s="1"/>
  <c r="J43" i="3" s="1"/>
  <c r="E44" i="3"/>
  <c r="F44" i="3" s="1"/>
  <c r="G44" i="3" s="1"/>
  <c r="H44" i="3" s="1"/>
  <c r="I44" i="3" s="1"/>
  <c r="J44" i="3" s="1"/>
  <c r="C31" i="14"/>
  <c r="C37" i="14"/>
  <c r="C25" i="14"/>
  <c r="C18" i="14"/>
  <c r="E18" i="14" s="1"/>
  <c r="D18" i="14"/>
  <c r="E41" i="14"/>
  <c r="E43" i="14" s="1"/>
  <c r="E42" i="14"/>
  <c r="D43" i="14"/>
  <c r="E35" i="14"/>
  <c r="E37" i="14" s="1"/>
  <c r="E38" i="14" s="1"/>
  <c r="E36" i="14"/>
  <c r="D37" i="14"/>
  <c r="I23" i="14"/>
  <c r="K23" i="14" s="1"/>
  <c r="K25" i="14" s="1"/>
  <c r="K26" i="14" s="1"/>
  <c r="J23" i="14"/>
  <c r="I24" i="14"/>
  <c r="K24" i="14" s="1"/>
  <c r="J24" i="14"/>
  <c r="J25" i="14" s="1"/>
  <c r="I25" i="14"/>
  <c r="H23" i="14"/>
  <c r="H24" i="14"/>
  <c r="H25" i="14"/>
  <c r="G25" i="14"/>
  <c r="F25" i="14"/>
  <c r="E23" i="14"/>
  <c r="E24" i="14"/>
  <c r="E25" i="14"/>
  <c r="D25" i="14"/>
  <c r="E17" i="14"/>
  <c r="E16" i="14"/>
  <c r="E15" i="14"/>
  <c r="E14" i="14"/>
  <c r="E13" i="14"/>
  <c r="E12" i="14"/>
  <c r="E11" i="14"/>
  <c r="E10" i="14"/>
  <c r="E9" i="14"/>
  <c r="E8" i="14"/>
  <c r="E7" i="14"/>
  <c r="F159" i="3"/>
  <c r="G159" i="3" s="1"/>
  <c r="H159" i="3" s="1"/>
  <c r="I159" i="3" s="1"/>
  <c r="J159" i="3" s="1"/>
  <c r="F38" i="3"/>
  <c r="G38" i="3" s="1"/>
  <c r="H38" i="3" s="1"/>
  <c r="I38" i="3" s="1"/>
  <c r="J38" i="3" s="1"/>
  <c r="F39" i="3"/>
  <c r="G39" i="3" s="1"/>
  <c r="H39" i="3" s="1"/>
  <c r="I39" i="3" s="1"/>
  <c r="J39" i="3" s="1"/>
  <c r="F40" i="3"/>
  <c r="G40" i="3" s="1"/>
  <c r="H40" i="3" s="1"/>
  <c r="I40" i="3" s="1"/>
  <c r="J40" i="3" s="1"/>
  <c r="F544" i="3"/>
  <c r="G544" i="3" s="1"/>
  <c r="H544" i="3" s="1"/>
  <c r="I544" i="3" s="1"/>
  <c r="J544" i="3" s="1"/>
  <c r="H632" i="3"/>
  <c r="G632" i="3"/>
  <c r="F632" i="3"/>
  <c r="E632" i="3"/>
  <c r="H563" i="3"/>
  <c r="G563" i="3"/>
  <c r="F563" i="3"/>
  <c r="E563" i="3"/>
  <c r="H494" i="3"/>
  <c r="G494" i="3"/>
  <c r="F494" i="3"/>
  <c r="E494" i="3"/>
  <c r="H425" i="3"/>
  <c r="G425" i="3"/>
  <c r="F425" i="3"/>
  <c r="E425" i="3"/>
  <c r="H356" i="3"/>
  <c r="G356" i="3"/>
  <c r="F356" i="3"/>
  <c r="E356" i="3"/>
  <c r="H287" i="3"/>
  <c r="G287" i="3"/>
  <c r="F287" i="3"/>
  <c r="E287" i="3"/>
  <c r="F258" i="3"/>
  <c r="G258" i="3" s="1"/>
  <c r="E249" i="3"/>
  <c r="F249" i="3" s="1"/>
  <c r="F240" i="3"/>
  <c r="G240" i="3" s="1"/>
  <c r="H229" i="3"/>
  <c r="H573" i="3" s="1"/>
  <c r="G229" i="3"/>
  <c r="G366" i="3" s="1"/>
  <c r="F229" i="3"/>
  <c r="F504" i="3" s="1"/>
  <c r="E229" i="3"/>
  <c r="E642" i="3" s="1"/>
  <c r="F231" i="3"/>
  <c r="G231" i="3" s="1"/>
  <c r="I206" i="3"/>
  <c r="I617" i="3" s="1"/>
  <c r="C13" i="13"/>
  <c r="C23" i="13" s="1"/>
  <c r="C14" i="13"/>
  <c r="G14" i="13" s="1"/>
  <c r="D13" i="13"/>
  <c r="D23" i="13" s="1"/>
  <c r="D14" i="13"/>
  <c r="H14" i="13" s="1"/>
  <c r="C7" i="13"/>
  <c r="G7" i="13" s="1"/>
  <c r="C8" i="13"/>
  <c r="G8" i="13" s="1"/>
  <c r="C10" i="13"/>
  <c r="G10" i="13" s="1"/>
  <c r="C12" i="13"/>
  <c r="G12" i="13" s="1"/>
  <c r="C9" i="13"/>
  <c r="G9" i="13" s="1"/>
  <c r="C11" i="13"/>
  <c r="G11" i="13" s="1"/>
  <c r="C22" i="13"/>
  <c r="D7" i="13"/>
  <c r="E7" i="13" s="1"/>
  <c r="D8" i="13"/>
  <c r="H8" i="13" s="1"/>
  <c r="D10" i="13"/>
  <c r="H10" i="13" s="1"/>
  <c r="D12" i="13"/>
  <c r="H12" i="13" s="1"/>
  <c r="D21" i="13"/>
  <c r="D9" i="13"/>
  <c r="H9" i="13" s="1"/>
  <c r="D11" i="13"/>
  <c r="H11" i="13" s="1"/>
  <c r="D22" i="13"/>
  <c r="D20" i="13"/>
  <c r="E22" i="13"/>
  <c r="D6" i="13"/>
  <c r="H6" i="13" s="1"/>
  <c r="C6" i="13"/>
  <c r="G6" i="13" s="1"/>
  <c r="E8" i="13"/>
  <c r="E9" i="13"/>
  <c r="E10" i="13"/>
  <c r="E11" i="13"/>
  <c r="E12" i="13"/>
  <c r="E13" i="13"/>
  <c r="E14" i="13"/>
  <c r="E84" i="3"/>
  <c r="E66" i="3"/>
  <c r="F66" i="3" s="1"/>
  <c r="G66" i="3" s="1"/>
  <c r="H66" i="3" s="1"/>
  <c r="I66" i="3" s="1"/>
  <c r="J66" i="3" s="1"/>
  <c r="E65" i="3"/>
  <c r="F65" i="3" s="1"/>
  <c r="G65" i="3" s="1"/>
  <c r="H65" i="3" s="1"/>
  <c r="I65" i="3" s="1"/>
  <c r="J65" i="3" s="1"/>
  <c r="E64" i="3"/>
  <c r="F64" i="3" s="1"/>
  <c r="G64" i="3" s="1"/>
  <c r="H64" i="3" s="1"/>
  <c r="I64" i="3" s="1"/>
  <c r="J64" i="3" s="1"/>
  <c r="E22" i="3"/>
  <c r="F22" i="3" s="1"/>
  <c r="E21" i="3"/>
  <c r="F21" i="3" s="1"/>
  <c r="G21" i="3" s="1"/>
  <c r="E20" i="3"/>
  <c r="F20" i="3" s="1"/>
  <c r="G20" i="3" s="1"/>
  <c r="K29" i="5"/>
  <c r="J29" i="5"/>
  <c r="J29" i="6" s="1"/>
  <c r="I29" i="5"/>
  <c r="H29" i="5"/>
  <c r="F29" i="5"/>
  <c r="F29" i="6" s="1"/>
  <c r="E29" i="5"/>
  <c r="E29" i="6" s="1"/>
  <c r="D29" i="5"/>
  <c r="D29" i="6" s="1"/>
  <c r="C29" i="5"/>
  <c r="I55" i="1"/>
  <c r="S55" i="1" s="1"/>
  <c r="O55" i="1"/>
  <c r="P55" i="1" s="1"/>
  <c r="E55" i="1"/>
  <c r="T28" i="1"/>
  <c r="I28" i="1"/>
  <c r="S28" i="1" s="1"/>
  <c r="N28" i="1"/>
  <c r="R28" i="1" s="1"/>
  <c r="E28" i="1"/>
  <c r="H28" i="5"/>
  <c r="H28" i="6" s="1"/>
  <c r="I28" i="5"/>
  <c r="I28" i="6" s="1"/>
  <c r="J28" i="5"/>
  <c r="J28" i="6" s="1"/>
  <c r="K28" i="5"/>
  <c r="M49" i="4"/>
  <c r="C10" i="3" s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F613" i="3"/>
  <c r="G613" i="3" s="1"/>
  <c r="H613" i="3" s="1"/>
  <c r="I613" i="3" s="1"/>
  <c r="J613" i="3" s="1"/>
  <c r="E291" i="3"/>
  <c r="F291" i="3" s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B812" i="3"/>
  <c r="B842" i="3" s="1"/>
  <c r="B802" i="3"/>
  <c r="B839" i="3" s="1"/>
  <c r="B792" i="3"/>
  <c r="B836" i="3" s="1"/>
  <c r="B782" i="3"/>
  <c r="B833" i="3" s="1"/>
  <c r="B772" i="3"/>
  <c r="B830" i="3" s="1"/>
  <c r="B820" i="3"/>
  <c r="B819" i="3"/>
  <c r="B818" i="3"/>
  <c r="B817" i="3"/>
  <c r="B816" i="3"/>
  <c r="B815" i="3"/>
  <c r="B810" i="3"/>
  <c r="B809" i="3"/>
  <c r="B808" i="3"/>
  <c r="B807" i="3"/>
  <c r="B806" i="3"/>
  <c r="B805" i="3"/>
  <c r="B800" i="3"/>
  <c r="B799" i="3"/>
  <c r="B798" i="3"/>
  <c r="B797" i="3"/>
  <c r="B796" i="3"/>
  <c r="B795" i="3"/>
  <c r="B790" i="3"/>
  <c r="B789" i="3"/>
  <c r="B788" i="3"/>
  <c r="B787" i="3"/>
  <c r="B786" i="3"/>
  <c r="B785" i="3"/>
  <c r="B780" i="3"/>
  <c r="B779" i="3"/>
  <c r="B778" i="3"/>
  <c r="B777" i="3"/>
  <c r="B776" i="3"/>
  <c r="B775" i="3"/>
  <c r="B766" i="3"/>
  <c r="B767" i="3"/>
  <c r="B768" i="3"/>
  <c r="B769" i="3"/>
  <c r="B770" i="3"/>
  <c r="B765" i="3"/>
  <c r="B762" i="3"/>
  <c r="B827" i="3" s="1"/>
  <c r="B756" i="3"/>
  <c r="B757" i="3"/>
  <c r="B758" i="3"/>
  <c r="B759" i="3"/>
  <c r="B760" i="3"/>
  <c r="B755" i="3"/>
  <c r="B752" i="3"/>
  <c r="B824" i="3" s="1"/>
  <c r="B740" i="3"/>
  <c r="B744" i="3"/>
  <c r="B745" i="3"/>
  <c r="B746" i="3"/>
  <c r="B747" i="3"/>
  <c r="B748" i="3"/>
  <c r="B743" i="3"/>
  <c r="B730" i="3"/>
  <c r="B734" i="3"/>
  <c r="B735" i="3"/>
  <c r="B736" i="3"/>
  <c r="B737" i="3"/>
  <c r="B738" i="3"/>
  <c r="B733" i="3"/>
  <c r="B720" i="3"/>
  <c r="B724" i="3"/>
  <c r="B725" i="3"/>
  <c r="B726" i="3"/>
  <c r="B727" i="3"/>
  <c r="B728" i="3"/>
  <c r="B723" i="3"/>
  <c r="B710" i="3"/>
  <c r="B714" i="3"/>
  <c r="B715" i="3"/>
  <c r="B716" i="3"/>
  <c r="B717" i="3"/>
  <c r="B718" i="3"/>
  <c r="B713" i="3"/>
  <c r="B703" i="3"/>
  <c r="B700" i="3"/>
  <c r="B704" i="3"/>
  <c r="B705" i="3"/>
  <c r="B706" i="3"/>
  <c r="B707" i="3"/>
  <c r="B708" i="3"/>
  <c r="B694" i="3"/>
  <c r="B695" i="3"/>
  <c r="B696" i="3"/>
  <c r="B697" i="3"/>
  <c r="B698" i="3"/>
  <c r="B693" i="3"/>
  <c r="B690" i="3"/>
  <c r="B680" i="3"/>
  <c r="E676" i="3"/>
  <c r="E674" i="3"/>
  <c r="H672" i="3"/>
  <c r="G672" i="3"/>
  <c r="F672" i="3"/>
  <c r="E672" i="3"/>
  <c r="E666" i="3"/>
  <c r="E656" i="3"/>
  <c r="E654" i="3"/>
  <c r="H652" i="3"/>
  <c r="G652" i="3"/>
  <c r="F652" i="3"/>
  <c r="E652" i="3"/>
  <c r="F644" i="3"/>
  <c r="E644" i="3"/>
  <c r="H642" i="3"/>
  <c r="E636" i="3"/>
  <c r="F630" i="3"/>
  <c r="G630" i="3" s="1"/>
  <c r="H630" i="3" s="1"/>
  <c r="I630" i="3" s="1"/>
  <c r="J624" i="3"/>
  <c r="I624" i="3"/>
  <c r="H624" i="3"/>
  <c r="G624" i="3"/>
  <c r="F624" i="3"/>
  <c r="J623" i="3"/>
  <c r="I623" i="3"/>
  <c r="I900" i="3" s="1"/>
  <c r="H623" i="3"/>
  <c r="H900" i="3" s="1"/>
  <c r="G623" i="3"/>
  <c r="G900" i="3" s="1"/>
  <c r="F623" i="3"/>
  <c r="F900" i="3" s="1"/>
  <c r="J626" i="3"/>
  <c r="I626" i="3"/>
  <c r="I902" i="3" s="1"/>
  <c r="H626" i="3"/>
  <c r="H902" i="3" s="1"/>
  <c r="G626" i="3"/>
  <c r="G902" i="3" s="1"/>
  <c r="F626" i="3"/>
  <c r="F902" i="3" s="1"/>
  <c r="E626" i="3"/>
  <c r="E902" i="3" s="1"/>
  <c r="E624" i="3"/>
  <c r="E623" i="3"/>
  <c r="E900" i="3" s="1"/>
  <c r="E617" i="3"/>
  <c r="J615" i="3"/>
  <c r="I615" i="3"/>
  <c r="H615" i="3"/>
  <c r="G615" i="3"/>
  <c r="F615" i="3"/>
  <c r="E615" i="3"/>
  <c r="J614" i="3"/>
  <c r="I614" i="3"/>
  <c r="H614" i="3"/>
  <c r="G614" i="3"/>
  <c r="F614" i="3"/>
  <c r="E614" i="3"/>
  <c r="F612" i="3"/>
  <c r="G612" i="3" s="1"/>
  <c r="H612" i="3" s="1"/>
  <c r="I612" i="3" s="1"/>
  <c r="J612" i="3" s="1"/>
  <c r="B540" i="3"/>
  <c r="B471" i="3"/>
  <c r="B402" i="3"/>
  <c r="B333" i="3"/>
  <c r="B264" i="3"/>
  <c r="B609" i="3"/>
  <c r="F670" i="3"/>
  <c r="G670" i="3" s="1"/>
  <c r="H670" i="3" s="1"/>
  <c r="I670" i="3" s="1"/>
  <c r="F660" i="3"/>
  <c r="G660" i="3" s="1"/>
  <c r="H660" i="3" s="1"/>
  <c r="I660" i="3" s="1"/>
  <c r="F650" i="3"/>
  <c r="G650" i="3" s="1"/>
  <c r="H650" i="3" s="1"/>
  <c r="I650" i="3" s="1"/>
  <c r="F640" i="3"/>
  <c r="G640" i="3" s="1"/>
  <c r="H640" i="3" s="1"/>
  <c r="I640" i="3" s="1"/>
  <c r="E634" i="3"/>
  <c r="H634" i="3"/>
  <c r="B688" i="3"/>
  <c r="B687" i="3"/>
  <c r="B686" i="3"/>
  <c r="B685" i="3"/>
  <c r="B684" i="3"/>
  <c r="B683" i="3"/>
  <c r="E607" i="3"/>
  <c r="E605" i="3"/>
  <c r="H603" i="3"/>
  <c r="G603" i="3"/>
  <c r="F603" i="3"/>
  <c r="E603" i="3"/>
  <c r="E597" i="3"/>
  <c r="F597" i="3" s="1"/>
  <c r="G597" i="3" s="1"/>
  <c r="H597" i="3" s="1"/>
  <c r="I597" i="3" s="1"/>
  <c r="J597" i="3" s="1"/>
  <c r="E595" i="3"/>
  <c r="E587" i="3"/>
  <c r="E585" i="3"/>
  <c r="H583" i="3"/>
  <c r="G583" i="3"/>
  <c r="F583" i="3"/>
  <c r="E583" i="3"/>
  <c r="E575" i="3"/>
  <c r="F573" i="3"/>
  <c r="F601" i="3"/>
  <c r="G601" i="3" s="1"/>
  <c r="H601" i="3" s="1"/>
  <c r="I601" i="3" s="1"/>
  <c r="F591" i="3"/>
  <c r="G591" i="3" s="1"/>
  <c r="H591" i="3" s="1"/>
  <c r="I591" i="3" s="1"/>
  <c r="J591" i="3" s="1"/>
  <c r="F581" i="3"/>
  <c r="G581" i="3" s="1"/>
  <c r="H581" i="3" s="1"/>
  <c r="I581" i="3" s="1"/>
  <c r="F571" i="3"/>
  <c r="G571" i="3" s="1"/>
  <c r="H571" i="3" s="1"/>
  <c r="I571" i="3" s="1"/>
  <c r="E538" i="3"/>
  <c r="E536" i="3"/>
  <c r="H534" i="3"/>
  <c r="G534" i="3"/>
  <c r="F534" i="3"/>
  <c r="E534" i="3"/>
  <c r="E528" i="3"/>
  <c r="F528" i="3" s="1"/>
  <c r="G528" i="3" s="1"/>
  <c r="H528" i="3" s="1"/>
  <c r="I528" i="3" s="1"/>
  <c r="J528" i="3" s="1"/>
  <c r="E526" i="3"/>
  <c r="E518" i="3"/>
  <c r="E516" i="3"/>
  <c r="H514" i="3"/>
  <c r="G514" i="3"/>
  <c r="F514" i="3"/>
  <c r="E514" i="3"/>
  <c r="E506" i="3"/>
  <c r="G504" i="3"/>
  <c r="F532" i="3"/>
  <c r="G532" i="3" s="1"/>
  <c r="H532" i="3" s="1"/>
  <c r="I532" i="3" s="1"/>
  <c r="J532" i="3" s="1"/>
  <c r="F522" i="3"/>
  <c r="G522" i="3" s="1"/>
  <c r="H522" i="3" s="1"/>
  <c r="I522" i="3" s="1"/>
  <c r="J522" i="3" s="1"/>
  <c r="F512" i="3"/>
  <c r="G512" i="3" s="1"/>
  <c r="H512" i="3" s="1"/>
  <c r="I512" i="3" s="1"/>
  <c r="F502" i="3"/>
  <c r="E469" i="3"/>
  <c r="E467" i="3"/>
  <c r="H465" i="3"/>
  <c r="G465" i="3"/>
  <c r="F465" i="3"/>
  <c r="E465" i="3"/>
  <c r="E459" i="3"/>
  <c r="F459" i="3" s="1"/>
  <c r="G459" i="3" s="1"/>
  <c r="H459" i="3" s="1"/>
  <c r="I459" i="3" s="1"/>
  <c r="J459" i="3" s="1"/>
  <c r="E449" i="3"/>
  <c r="E447" i="3"/>
  <c r="H445" i="3"/>
  <c r="G445" i="3"/>
  <c r="F445" i="3"/>
  <c r="E445" i="3"/>
  <c r="F437" i="3"/>
  <c r="E437" i="3"/>
  <c r="H435" i="3"/>
  <c r="F463" i="3"/>
  <c r="G463" i="3" s="1"/>
  <c r="H463" i="3" s="1"/>
  <c r="I463" i="3" s="1"/>
  <c r="J463" i="3" s="1"/>
  <c r="F453" i="3"/>
  <c r="G453" i="3" s="1"/>
  <c r="H453" i="3" s="1"/>
  <c r="I453" i="3" s="1"/>
  <c r="J453" i="3" s="1"/>
  <c r="F443" i="3"/>
  <c r="G443" i="3" s="1"/>
  <c r="H443" i="3" s="1"/>
  <c r="I443" i="3" s="1"/>
  <c r="F433" i="3"/>
  <c r="G433" i="3" s="1"/>
  <c r="H433" i="3" s="1"/>
  <c r="I433" i="3" s="1"/>
  <c r="J433" i="3" s="1"/>
  <c r="E400" i="3"/>
  <c r="E398" i="3"/>
  <c r="H396" i="3"/>
  <c r="G396" i="3"/>
  <c r="F396" i="3"/>
  <c r="E396" i="3"/>
  <c r="E390" i="3"/>
  <c r="F390" i="3" s="1"/>
  <c r="G390" i="3" s="1"/>
  <c r="H390" i="3" s="1"/>
  <c r="I390" i="3" s="1"/>
  <c r="J390" i="3" s="1"/>
  <c r="E388" i="3"/>
  <c r="E380" i="3"/>
  <c r="E378" i="3"/>
  <c r="H376" i="3"/>
  <c r="G376" i="3"/>
  <c r="F376" i="3"/>
  <c r="E376" i="3"/>
  <c r="E368" i="3"/>
  <c r="F366" i="3"/>
  <c r="F394" i="3"/>
  <c r="G394" i="3" s="1"/>
  <c r="H394" i="3" s="1"/>
  <c r="I394" i="3" s="1"/>
  <c r="F384" i="3"/>
  <c r="G384" i="3" s="1"/>
  <c r="H384" i="3" s="1"/>
  <c r="I384" i="3" s="1"/>
  <c r="J384" i="3" s="1"/>
  <c r="F374" i="3"/>
  <c r="G374" i="3" s="1"/>
  <c r="H374" i="3" s="1"/>
  <c r="I374" i="3" s="1"/>
  <c r="J374" i="3" s="1"/>
  <c r="F364" i="3"/>
  <c r="G364" i="3" s="1"/>
  <c r="H364" i="3" s="1"/>
  <c r="I364" i="3" s="1"/>
  <c r="J364" i="3" s="1"/>
  <c r="E331" i="3"/>
  <c r="F329" i="3"/>
  <c r="E329" i="3"/>
  <c r="H327" i="3"/>
  <c r="G327" i="3"/>
  <c r="F327" i="3"/>
  <c r="E327" i="3"/>
  <c r="F325" i="3"/>
  <c r="G325" i="3" s="1"/>
  <c r="H325" i="3" s="1"/>
  <c r="I325" i="3" s="1"/>
  <c r="J325" i="3" s="1"/>
  <c r="E321" i="3"/>
  <c r="F321" i="3" s="1"/>
  <c r="G321" i="3" s="1"/>
  <c r="H321" i="3" s="1"/>
  <c r="I321" i="3" s="1"/>
  <c r="J321" i="3" s="1"/>
  <c r="F315" i="3"/>
  <c r="G315" i="3" s="1"/>
  <c r="H315" i="3" s="1"/>
  <c r="I315" i="3" s="1"/>
  <c r="J315" i="3" s="1"/>
  <c r="E311" i="3"/>
  <c r="F311" i="3" s="1"/>
  <c r="G311" i="3" s="1"/>
  <c r="H311" i="3" s="1"/>
  <c r="I311" i="3" s="1"/>
  <c r="J311" i="3" s="1"/>
  <c r="E309" i="3"/>
  <c r="H307" i="3"/>
  <c r="G307" i="3"/>
  <c r="F307" i="3"/>
  <c r="E307" i="3"/>
  <c r="F305" i="3"/>
  <c r="G305" i="3" s="1"/>
  <c r="H305" i="3" s="1"/>
  <c r="I305" i="3" s="1"/>
  <c r="J305" i="3" s="1"/>
  <c r="E299" i="3"/>
  <c r="F295" i="3"/>
  <c r="G295" i="3" s="1"/>
  <c r="H295" i="3" s="1"/>
  <c r="I295" i="3" s="1"/>
  <c r="J295" i="3" s="1"/>
  <c r="H256" i="3"/>
  <c r="G256" i="3"/>
  <c r="F256" i="3"/>
  <c r="E256" i="3"/>
  <c r="H317" i="3"/>
  <c r="G317" i="3"/>
  <c r="F317" i="3"/>
  <c r="E317" i="3"/>
  <c r="F251" i="3"/>
  <c r="G251" i="3" s="1"/>
  <c r="H251" i="3" s="1"/>
  <c r="I251" i="3" s="1"/>
  <c r="J251" i="3" s="1"/>
  <c r="F233" i="3"/>
  <c r="G233" i="3" s="1"/>
  <c r="H233" i="3" s="1"/>
  <c r="I233" i="3" s="1"/>
  <c r="J233" i="3" s="1"/>
  <c r="J317" i="3"/>
  <c r="F260" i="3"/>
  <c r="G260" i="3" s="1"/>
  <c r="F224" i="3"/>
  <c r="G224" i="3" s="1"/>
  <c r="H224" i="3" s="1"/>
  <c r="I224" i="3" s="1"/>
  <c r="J224" i="3" s="1"/>
  <c r="F242" i="3"/>
  <c r="G242" i="3" s="1"/>
  <c r="I238" i="3"/>
  <c r="I256" i="3" s="1"/>
  <c r="E567" i="3"/>
  <c r="E561" i="3"/>
  <c r="J557" i="3"/>
  <c r="I557" i="3"/>
  <c r="I894" i="3" s="1"/>
  <c r="H557" i="3"/>
  <c r="H894" i="3" s="1"/>
  <c r="G557" i="3"/>
  <c r="G894" i="3" s="1"/>
  <c r="F557" i="3"/>
  <c r="F894" i="3" s="1"/>
  <c r="E557" i="3"/>
  <c r="E894" i="3" s="1"/>
  <c r="J555" i="3"/>
  <c r="I555" i="3"/>
  <c r="H555" i="3"/>
  <c r="G555" i="3"/>
  <c r="F555" i="3"/>
  <c r="E555" i="3"/>
  <c r="J554" i="3"/>
  <c r="I554" i="3"/>
  <c r="I892" i="3" s="1"/>
  <c r="H554" i="3"/>
  <c r="H892" i="3" s="1"/>
  <c r="G554" i="3"/>
  <c r="G892" i="3" s="1"/>
  <c r="F554" i="3"/>
  <c r="F892" i="3" s="1"/>
  <c r="E554" i="3"/>
  <c r="E892" i="3" s="1"/>
  <c r="E552" i="3"/>
  <c r="E890" i="3" s="1"/>
  <c r="E548" i="3"/>
  <c r="J546" i="3"/>
  <c r="I546" i="3"/>
  <c r="H546" i="3"/>
  <c r="G546" i="3"/>
  <c r="F546" i="3"/>
  <c r="E546" i="3"/>
  <c r="J545" i="3"/>
  <c r="I545" i="3"/>
  <c r="H545" i="3"/>
  <c r="G545" i="3"/>
  <c r="F545" i="3"/>
  <c r="E545" i="3"/>
  <c r="E543" i="3"/>
  <c r="F565" i="3" s="1"/>
  <c r="E496" i="3"/>
  <c r="F496" i="3"/>
  <c r="H496" i="3"/>
  <c r="I496" i="3" s="1"/>
  <c r="J496" i="3" s="1"/>
  <c r="G496" i="3"/>
  <c r="H427" i="3"/>
  <c r="G427" i="3"/>
  <c r="F427" i="3"/>
  <c r="E427" i="3"/>
  <c r="E492" i="3"/>
  <c r="J488" i="3"/>
  <c r="I488" i="3"/>
  <c r="I886" i="3" s="1"/>
  <c r="H488" i="3"/>
  <c r="H886" i="3" s="1"/>
  <c r="G488" i="3"/>
  <c r="G886" i="3" s="1"/>
  <c r="F488" i="3"/>
  <c r="F886" i="3" s="1"/>
  <c r="E488" i="3"/>
  <c r="E886" i="3" s="1"/>
  <c r="J486" i="3"/>
  <c r="I486" i="3"/>
  <c r="H486" i="3"/>
  <c r="G486" i="3"/>
  <c r="F486" i="3"/>
  <c r="E486" i="3"/>
  <c r="J485" i="3"/>
  <c r="I485" i="3"/>
  <c r="I884" i="3" s="1"/>
  <c r="H485" i="3"/>
  <c r="H884" i="3" s="1"/>
  <c r="G485" i="3"/>
  <c r="G884" i="3" s="1"/>
  <c r="F485" i="3"/>
  <c r="F884" i="3" s="1"/>
  <c r="E485" i="3"/>
  <c r="E884" i="3" s="1"/>
  <c r="E483" i="3"/>
  <c r="E479" i="3"/>
  <c r="J477" i="3"/>
  <c r="I477" i="3"/>
  <c r="H477" i="3"/>
  <c r="G477" i="3"/>
  <c r="F477" i="3"/>
  <c r="E477" i="3"/>
  <c r="J476" i="3"/>
  <c r="I476" i="3"/>
  <c r="H476" i="3"/>
  <c r="G476" i="3"/>
  <c r="F476" i="3"/>
  <c r="E476" i="3"/>
  <c r="I634" i="3"/>
  <c r="J634" i="3" s="1"/>
  <c r="E646" i="3"/>
  <c r="I652" i="3"/>
  <c r="F634" i="3"/>
  <c r="G634" i="3"/>
  <c r="E386" i="3"/>
  <c r="E439" i="3"/>
  <c r="F439" i="3" s="1"/>
  <c r="G439" i="3" s="1"/>
  <c r="H439" i="3" s="1"/>
  <c r="I439" i="3" s="1"/>
  <c r="J439" i="3" s="1"/>
  <c r="F455" i="3"/>
  <c r="J455" i="3"/>
  <c r="I465" i="3"/>
  <c r="H524" i="3"/>
  <c r="E577" i="3"/>
  <c r="F577" i="3" s="1"/>
  <c r="G577" i="3" s="1"/>
  <c r="H577" i="3" s="1"/>
  <c r="I577" i="3" s="1"/>
  <c r="J577" i="3" s="1"/>
  <c r="F593" i="3"/>
  <c r="J593" i="3"/>
  <c r="I603" i="3"/>
  <c r="E370" i="3"/>
  <c r="F370" i="3" s="1"/>
  <c r="G370" i="3" s="1"/>
  <c r="H370" i="3" s="1"/>
  <c r="I370" i="3" s="1"/>
  <c r="J370" i="3" s="1"/>
  <c r="F386" i="3"/>
  <c r="J386" i="3"/>
  <c r="I396" i="3"/>
  <c r="G455" i="3"/>
  <c r="E524" i="3"/>
  <c r="I583" i="3"/>
  <c r="G593" i="3"/>
  <c r="G386" i="3"/>
  <c r="H455" i="3"/>
  <c r="E508" i="3"/>
  <c r="F508" i="3" s="1"/>
  <c r="G508" i="3" s="1"/>
  <c r="H508" i="3" s="1"/>
  <c r="I508" i="3" s="1"/>
  <c r="J508" i="3" s="1"/>
  <c r="F524" i="3"/>
  <c r="J524" i="3"/>
  <c r="I534" i="3"/>
  <c r="H593" i="3"/>
  <c r="H386" i="3"/>
  <c r="E455" i="3"/>
  <c r="I514" i="3"/>
  <c r="G524" i="3"/>
  <c r="E593" i="3"/>
  <c r="G502" i="3"/>
  <c r="H502" i="3" s="1"/>
  <c r="I502" i="3" s="1"/>
  <c r="E301" i="3"/>
  <c r="F301" i="3" s="1"/>
  <c r="G301" i="3" s="1"/>
  <c r="H301" i="3" s="1"/>
  <c r="I301" i="3" s="1"/>
  <c r="J301" i="3" s="1"/>
  <c r="F492" i="3"/>
  <c r="G492" i="3" s="1"/>
  <c r="H492" i="3" s="1"/>
  <c r="I492" i="3" s="1"/>
  <c r="J492" i="3" s="1"/>
  <c r="F475" i="3"/>
  <c r="G475" i="3" s="1"/>
  <c r="H475" i="3" s="1"/>
  <c r="I475" i="3" s="1"/>
  <c r="J475" i="3" s="1"/>
  <c r="F474" i="3"/>
  <c r="F543" i="3" s="1"/>
  <c r="J419" i="3"/>
  <c r="I419" i="3"/>
  <c r="I878" i="3" s="1"/>
  <c r="H419" i="3"/>
  <c r="H878" i="3" s="1"/>
  <c r="G419" i="3"/>
  <c r="G878" i="3" s="1"/>
  <c r="F419" i="3"/>
  <c r="F878" i="3" s="1"/>
  <c r="E419" i="3"/>
  <c r="E878" i="3" s="1"/>
  <c r="J417" i="3"/>
  <c r="I417" i="3"/>
  <c r="H417" i="3"/>
  <c r="G417" i="3"/>
  <c r="F417" i="3"/>
  <c r="E417" i="3"/>
  <c r="J416" i="3"/>
  <c r="I416" i="3"/>
  <c r="I876" i="3" s="1"/>
  <c r="H416" i="3"/>
  <c r="H876" i="3" s="1"/>
  <c r="G416" i="3"/>
  <c r="G876" i="3" s="1"/>
  <c r="F416" i="3"/>
  <c r="F876" i="3" s="1"/>
  <c r="E416" i="3"/>
  <c r="E876" i="3" s="1"/>
  <c r="E410" i="3"/>
  <c r="E341" i="3"/>
  <c r="E272" i="3"/>
  <c r="J408" i="3"/>
  <c r="I408" i="3"/>
  <c r="H408" i="3"/>
  <c r="G408" i="3"/>
  <c r="F408" i="3"/>
  <c r="E408" i="3"/>
  <c r="J407" i="3"/>
  <c r="I407" i="3"/>
  <c r="H407" i="3"/>
  <c r="G407" i="3"/>
  <c r="F407" i="3"/>
  <c r="E407" i="3"/>
  <c r="F423" i="3"/>
  <c r="G423" i="3" s="1"/>
  <c r="G561" i="3" s="1"/>
  <c r="F414" i="3"/>
  <c r="G414" i="3" s="1"/>
  <c r="F406" i="3"/>
  <c r="G406" i="3" s="1"/>
  <c r="H406" i="3" s="1"/>
  <c r="I406" i="3" s="1"/>
  <c r="J406" i="3" s="1"/>
  <c r="F405" i="3"/>
  <c r="G405" i="3" s="1"/>
  <c r="H405" i="3" s="1"/>
  <c r="I405" i="3" s="1"/>
  <c r="J405" i="3" s="1"/>
  <c r="F358" i="3"/>
  <c r="G358" i="3" s="1"/>
  <c r="H358" i="3" s="1"/>
  <c r="I358" i="3" s="1"/>
  <c r="J358" i="3" s="1"/>
  <c r="F289" i="3"/>
  <c r="G289" i="3" s="1"/>
  <c r="H289" i="3" s="1"/>
  <c r="F354" i="3"/>
  <c r="G354" i="3" s="1"/>
  <c r="H354" i="3" s="1"/>
  <c r="I354" i="3" s="1"/>
  <c r="J354" i="3" s="1"/>
  <c r="J350" i="3"/>
  <c r="I350" i="3"/>
  <c r="I870" i="3" s="1"/>
  <c r="H350" i="3"/>
  <c r="H870" i="3" s="1"/>
  <c r="G350" i="3"/>
  <c r="G870" i="3" s="1"/>
  <c r="F350" i="3"/>
  <c r="F870" i="3" s="1"/>
  <c r="E350" i="3"/>
  <c r="E870" i="3" s="1"/>
  <c r="J348" i="3"/>
  <c r="I348" i="3"/>
  <c r="H348" i="3"/>
  <c r="G348" i="3"/>
  <c r="F348" i="3"/>
  <c r="E348" i="3"/>
  <c r="J347" i="3"/>
  <c r="I347" i="3"/>
  <c r="I868" i="3" s="1"/>
  <c r="H347" i="3"/>
  <c r="H868" i="3" s="1"/>
  <c r="G347" i="3"/>
  <c r="G868" i="3" s="1"/>
  <c r="F347" i="3"/>
  <c r="F868" i="3" s="1"/>
  <c r="E347" i="3"/>
  <c r="E868" i="3" s="1"/>
  <c r="F345" i="3"/>
  <c r="F276" i="3"/>
  <c r="J338" i="3"/>
  <c r="I338" i="3"/>
  <c r="H338" i="3"/>
  <c r="G338" i="3"/>
  <c r="F338" i="3"/>
  <c r="E338" i="3"/>
  <c r="J339" i="3"/>
  <c r="I339" i="3"/>
  <c r="H339" i="3"/>
  <c r="G339" i="3"/>
  <c r="F339" i="3"/>
  <c r="E339" i="3"/>
  <c r="F337" i="3"/>
  <c r="G337" i="3" s="1"/>
  <c r="H337" i="3" s="1"/>
  <c r="I337" i="3" s="1"/>
  <c r="J337" i="3" s="1"/>
  <c r="F336" i="3"/>
  <c r="G336" i="3" s="1"/>
  <c r="H336" i="3" s="1"/>
  <c r="I336" i="3" s="1"/>
  <c r="J336" i="3" s="1"/>
  <c r="J281" i="3"/>
  <c r="I281" i="3"/>
  <c r="I862" i="3" s="1"/>
  <c r="H281" i="3"/>
  <c r="H862" i="3" s="1"/>
  <c r="G281" i="3"/>
  <c r="G862" i="3" s="1"/>
  <c r="F281" i="3"/>
  <c r="F862" i="3" s="1"/>
  <c r="E281" i="3"/>
  <c r="E862" i="3" s="1"/>
  <c r="J279" i="3"/>
  <c r="I279" i="3"/>
  <c r="H279" i="3"/>
  <c r="G279" i="3"/>
  <c r="F279" i="3"/>
  <c r="E279" i="3"/>
  <c r="J278" i="3"/>
  <c r="I278" i="3"/>
  <c r="I860" i="3" s="1"/>
  <c r="H278" i="3"/>
  <c r="H860" i="3" s="1"/>
  <c r="G278" i="3"/>
  <c r="G860" i="3" s="1"/>
  <c r="F278" i="3"/>
  <c r="F860" i="3" s="1"/>
  <c r="E278" i="3"/>
  <c r="E860" i="3" s="1"/>
  <c r="J269" i="3"/>
  <c r="I269" i="3"/>
  <c r="H269" i="3"/>
  <c r="G269" i="3"/>
  <c r="F269" i="3"/>
  <c r="E269" i="3"/>
  <c r="J270" i="3"/>
  <c r="I270" i="3"/>
  <c r="H270" i="3"/>
  <c r="G270" i="3"/>
  <c r="F270" i="3"/>
  <c r="E270" i="3"/>
  <c r="F268" i="3"/>
  <c r="G268" i="3" s="1"/>
  <c r="H268" i="3" s="1"/>
  <c r="I268" i="3" s="1"/>
  <c r="J268" i="3" s="1"/>
  <c r="F267" i="3"/>
  <c r="G267" i="3" s="1"/>
  <c r="H267" i="3" s="1"/>
  <c r="I267" i="3" s="1"/>
  <c r="J267" i="3" s="1"/>
  <c r="I317" i="3"/>
  <c r="I593" i="3"/>
  <c r="I455" i="3"/>
  <c r="I524" i="3"/>
  <c r="I386" i="3"/>
  <c r="I427" i="3"/>
  <c r="J427" i="3" s="1"/>
  <c r="F209" i="3"/>
  <c r="F849" i="3" s="1"/>
  <c r="F617" i="3"/>
  <c r="F194" i="3"/>
  <c r="G194" i="3" s="1"/>
  <c r="H194" i="3" s="1"/>
  <c r="I194" i="3" s="1"/>
  <c r="F158" i="3"/>
  <c r="G158" i="3" s="1"/>
  <c r="H158" i="3" s="1"/>
  <c r="I158" i="3" s="1"/>
  <c r="J158" i="3" s="1"/>
  <c r="F157" i="3"/>
  <c r="G157" i="3" s="1"/>
  <c r="H157" i="3" s="1"/>
  <c r="I157" i="3" s="1"/>
  <c r="J157" i="3" s="1"/>
  <c r="F156" i="3"/>
  <c r="G156" i="3" s="1"/>
  <c r="H156" i="3" s="1"/>
  <c r="I156" i="3" s="1"/>
  <c r="J156" i="3" s="1"/>
  <c r="F155" i="3"/>
  <c r="G155" i="3" s="1"/>
  <c r="H155" i="3" s="1"/>
  <c r="I155" i="3" s="1"/>
  <c r="J155" i="3" s="1"/>
  <c r="J88" i="3"/>
  <c r="I88" i="3"/>
  <c r="H88" i="3"/>
  <c r="G88" i="3"/>
  <c r="F88" i="3"/>
  <c r="J87" i="3"/>
  <c r="I87" i="3"/>
  <c r="H87" i="3"/>
  <c r="G87" i="3"/>
  <c r="F87" i="3"/>
  <c r="J84" i="3"/>
  <c r="I84" i="3"/>
  <c r="H84" i="3"/>
  <c r="G84" i="3"/>
  <c r="F84" i="3"/>
  <c r="J83" i="3"/>
  <c r="I83" i="3"/>
  <c r="H83" i="3"/>
  <c r="G83" i="3"/>
  <c r="F83" i="3"/>
  <c r="J110" i="3"/>
  <c r="I110" i="3"/>
  <c r="H110" i="3"/>
  <c r="G110" i="3"/>
  <c r="F110" i="3"/>
  <c r="E110" i="3"/>
  <c r="J109" i="3"/>
  <c r="I109" i="3"/>
  <c r="H109" i="3"/>
  <c r="G109" i="3"/>
  <c r="F109" i="3"/>
  <c r="E109" i="3"/>
  <c r="J106" i="3"/>
  <c r="I106" i="3"/>
  <c r="H106" i="3"/>
  <c r="G106" i="3"/>
  <c r="F106" i="3"/>
  <c r="E106" i="3"/>
  <c r="J105" i="3"/>
  <c r="I105" i="3"/>
  <c r="H105" i="3"/>
  <c r="G105" i="3"/>
  <c r="F105" i="3"/>
  <c r="E105" i="3"/>
  <c r="F62" i="3"/>
  <c r="G62" i="3" s="1"/>
  <c r="H62" i="3" s="1"/>
  <c r="I62" i="3" s="1"/>
  <c r="J62" i="3" s="1"/>
  <c r="F61" i="3"/>
  <c r="G61" i="3" s="1"/>
  <c r="H61" i="3" s="1"/>
  <c r="I61" i="3" s="1"/>
  <c r="J61" i="3" s="1"/>
  <c r="F60" i="3"/>
  <c r="G60" i="3" s="1"/>
  <c r="H60" i="3" s="1"/>
  <c r="I60" i="3" s="1"/>
  <c r="J60" i="3" s="1"/>
  <c r="F18" i="3"/>
  <c r="G18" i="3" s="1"/>
  <c r="H18" i="3" s="1"/>
  <c r="I18" i="3" s="1"/>
  <c r="J18" i="3" s="1"/>
  <c r="F16" i="3"/>
  <c r="G16" i="3" s="1"/>
  <c r="H16" i="3" s="1"/>
  <c r="I16" i="3" s="1"/>
  <c r="J16" i="3" s="1"/>
  <c r="F17" i="3"/>
  <c r="G17" i="3" s="1"/>
  <c r="H17" i="3" s="1"/>
  <c r="I17" i="3" s="1"/>
  <c r="J17" i="3" s="1"/>
  <c r="G617" i="3"/>
  <c r="F479" i="3"/>
  <c r="F548" i="3"/>
  <c r="F341" i="3"/>
  <c r="F410" i="3"/>
  <c r="F272" i="3"/>
  <c r="H617" i="3"/>
  <c r="G479" i="3"/>
  <c r="G548" i="3"/>
  <c r="G341" i="3"/>
  <c r="G410" i="3"/>
  <c r="G272" i="3"/>
  <c r="H548" i="3"/>
  <c r="H479" i="3"/>
  <c r="H410" i="3"/>
  <c r="H272" i="3"/>
  <c r="H341" i="3"/>
  <c r="U117" i="4"/>
  <c r="T117" i="4"/>
  <c r="S117" i="4"/>
  <c r="R117" i="4"/>
  <c r="R116" i="4" s="1"/>
  <c r="S116" i="4" s="1"/>
  <c r="T116" i="4" s="1"/>
  <c r="U116" i="4" s="1"/>
  <c r="V116" i="4" s="1"/>
  <c r="P117" i="4"/>
  <c r="N117" i="4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M116" i="4"/>
  <c r="L116" i="4"/>
  <c r="K116" i="4"/>
  <c r="J116" i="4"/>
  <c r="I116" i="4"/>
  <c r="H116" i="4"/>
  <c r="G116" i="4"/>
  <c r="F116" i="4"/>
  <c r="E116" i="4"/>
  <c r="I410" i="3"/>
  <c r="T106" i="6"/>
  <c r="S106" i="6"/>
  <c r="T105" i="6"/>
  <c r="S105" i="6"/>
  <c r="R105" i="6"/>
  <c r="Q105" i="6"/>
  <c r="T101" i="6"/>
  <c r="S101" i="6"/>
  <c r="T100" i="6"/>
  <c r="S100" i="6"/>
  <c r="R100" i="6"/>
  <c r="Q100" i="6"/>
  <c r="T89" i="6"/>
  <c r="S89" i="6"/>
  <c r="T88" i="6"/>
  <c r="S88" i="6"/>
  <c r="R88" i="6"/>
  <c r="Q88" i="6"/>
  <c r="T84" i="6"/>
  <c r="S84" i="6"/>
  <c r="T83" i="6"/>
  <c r="S83" i="6"/>
  <c r="R83" i="6"/>
  <c r="Q83" i="6"/>
  <c r="T65" i="6"/>
  <c r="T64" i="6"/>
  <c r="S64" i="6"/>
  <c r="R64" i="6"/>
  <c r="T60" i="6"/>
  <c r="T59" i="6"/>
  <c r="S59" i="6"/>
  <c r="R59" i="6"/>
  <c r="T106" i="5"/>
  <c r="S106" i="5"/>
  <c r="T105" i="5"/>
  <c r="S105" i="5"/>
  <c r="R105" i="5"/>
  <c r="Q105" i="5"/>
  <c r="T101" i="5"/>
  <c r="S101" i="5"/>
  <c r="T100" i="5"/>
  <c r="S100" i="5"/>
  <c r="R100" i="5"/>
  <c r="Q100" i="5"/>
  <c r="T88" i="5"/>
  <c r="S88" i="5"/>
  <c r="T84" i="5"/>
  <c r="S84" i="5"/>
  <c r="T83" i="5"/>
  <c r="S83" i="5"/>
  <c r="R83" i="5"/>
  <c r="Q83" i="5"/>
  <c r="T64" i="5"/>
  <c r="S64" i="5"/>
  <c r="F22" i="5"/>
  <c r="G44" i="5" s="1"/>
  <c r="K27" i="5"/>
  <c r="J27" i="5"/>
  <c r="I27" i="5"/>
  <c r="I27" i="6" s="1"/>
  <c r="H27" i="5"/>
  <c r="H27" i="6" s="1"/>
  <c r="K26" i="5"/>
  <c r="J26" i="5"/>
  <c r="I26" i="5"/>
  <c r="I26" i="6" s="1"/>
  <c r="H26" i="5"/>
  <c r="K25" i="5"/>
  <c r="J49" i="5" s="1"/>
  <c r="J25" i="5"/>
  <c r="I25" i="5"/>
  <c r="H25" i="5"/>
  <c r="J47" i="5" s="1"/>
  <c r="K24" i="5"/>
  <c r="I49" i="5" s="1"/>
  <c r="J24" i="5"/>
  <c r="I24" i="5"/>
  <c r="H24" i="5"/>
  <c r="I47" i="5" s="1"/>
  <c r="K23" i="5"/>
  <c r="H49" i="5" s="1"/>
  <c r="J23" i="5"/>
  <c r="I23" i="5"/>
  <c r="H23" i="5"/>
  <c r="H47" i="5" s="1"/>
  <c r="K22" i="5"/>
  <c r="G49" i="5" s="1"/>
  <c r="J22" i="5"/>
  <c r="I22" i="5"/>
  <c r="H22" i="5"/>
  <c r="G47" i="5" s="1"/>
  <c r="K21" i="5"/>
  <c r="F49" i="5" s="1"/>
  <c r="J21" i="5"/>
  <c r="F48" i="5" s="1"/>
  <c r="I21" i="5"/>
  <c r="H21" i="5"/>
  <c r="F47" i="5" s="1"/>
  <c r="K20" i="5"/>
  <c r="E49" i="5" s="1"/>
  <c r="J20" i="5"/>
  <c r="I20" i="5"/>
  <c r="H20" i="5"/>
  <c r="E47" i="5" s="1"/>
  <c r="K19" i="5"/>
  <c r="J19" i="5"/>
  <c r="I19" i="5"/>
  <c r="H19" i="5"/>
  <c r="K18" i="5"/>
  <c r="J18" i="5"/>
  <c r="I18" i="5"/>
  <c r="H18" i="5"/>
  <c r="K17" i="5"/>
  <c r="J17" i="5"/>
  <c r="I17" i="5"/>
  <c r="H17" i="5"/>
  <c r="K16" i="5"/>
  <c r="J16" i="5"/>
  <c r="I16" i="5"/>
  <c r="H16" i="5"/>
  <c r="K15" i="5"/>
  <c r="J15" i="5"/>
  <c r="I15" i="5"/>
  <c r="H15" i="5"/>
  <c r="F28" i="5"/>
  <c r="E28" i="5"/>
  <c r="D28" i="5"/>
  <c r="D28" i="6" s="1"/>
  <c r="C28" i="5"/>
  <c r="F27" i="5"/>
  <c r="F27" i="6" s="1"/>
  <c r="E27" i="5"/>
  <c r="E27" i="6" s="1"/>
  <c r="D27" i="5"/>
  <c r="D27" i="6" s="1"/>
  <c r="C27" i="5"/>
  <c r="F26" i="5"/>
  <c r="E26" i="5"/>
  <c r="E26" i="6" s="1"/>
  <c r="D26" i="5"/>
  <c r="D26" i="6" s="1"/>
  <c r="C26" i="5"/>
  <c r="F25" i="5"/>
  <c r="J44" i="5" s="1"/>
  <c r="E25" i="5"/>
  <c r="D25" i="5"/>
  <c r="C25" i="5"/>
  <c r="J42" i="5" s="1"/>
  <c r="F24" i="5"/>
  <c r="I44" i="5" s="1"/>
  <c r="E24" i="5"/>
  <c r="D24" i="5"/>
  <c r="C24" i="5"/>
  <c r="I42" i="5" s="1"/>
  <c r="F23" i="5"/>
  <c r="H44" i="5" s="1"/>
  <c r="E23" i="5"/>
  <c r="D23" i="5"/>
  <c r="C23" i="5"/>
  <c r="H42" i="5" s="1"/>
  <c r="E22" i="5"/>
  <c r="D22" i="5"/>
  <c r="C22" i="5"/>
  <c r="F21" i="5"/>
  <c r="F44" i="5" s="1"/>
  <c r="E21" i="5"/>
  <c r="D21" i="5"/>
  <c r="C21" i="5"/>
  <c r="F20" i="5"/>
  <c r="E44" i="5" s="1"/>
  <c r="E20" i="5"/>
  <c r="D20" i="5"/>
  <c r="C20" i="5"/>
  <c r="F19" i="5"/>
  <c r="E19" i="5"/>
  <c r="D19" i="5"/>
  <c r="C19" i="5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E14" i="5"/>
  <c r="D14" i="5"/>
  <c r="C14" i="5"/>
  <c r="K14" i="5"/>
  <c r="J14" i="5"/>
  <c r="I14" i="5"/>
  <c r="H14" i="5"/>
  <c r="F14" i="5"/>
  <c r="T44" i="1"/>
  <c r="R44" i="1"/>
  <c r="I44" i="1"/>
  <c r="S44" i="1" s="1"/>
  <c r="E44" i="1"/>
  <c r="T43" i="1"/>
  <c r="R43" i="1"/>
  <c r="I43" i="1"/>
  <c r="S43" i="1"/>
  <c r="E43" i="1"/>
  <c r="I42" i="1"/>
  <c r="O42" i="1"/>
  <c r="P42" i="1"/>
  <c r="E42" i="1"/>
  <c r="I41" i="1"/>
  <c r="O41" i="1"/>
  <c r="P41" i="1" s="1"/>
  <c r="E41" i="1"/>
  <c r="I40" i="1"/>
  <c r="O40" i="1"/>
  <c r="P40" i="1" s="1"/>
  <c r="E40" i="1"/>
  <c r="T54" i="1"/>
  <c r="R54" i="1"/>
  <c r="I54" i="1"/>
  <c r="S54" i="1" s="1"/>
  <c r="E54" i="1"/>
  <c r="T53" i="1"/>
  <c r="R53" i="1"/>
  <c r="I53" i="1"/>
  <c r="S53" i="1"/>
  <c r="E53" i="1"/>
  <c r="T52" i="1"/>
  <c r="R52" i="1"/>
  <c r="I52" i="1"/>
  <c r="S52" i="1"/>
  <c r="E52" i="1"/>
  <c r="T51" i="1"/>
  <c r="R51" i="1"/>
  <c r="I51" i="1"/>
  <c r="S51" i="1" s="1"/>
  <c r="E51" i="1"/>
  <c r="T50" i="1"/>
  <c r="R50" i="1"/>
  <c r="I50" i="1"/>
  <c r="S50" i="1" s="1"/>
  <c r="E50" i="1"/>
  <c r="T49" i="1"/>
  <c r="R49" i="1"/>
  <c r="I49" i="1"/>
  <c r="S49" i="1"/>
  <c r="E49" i="1"/>
  <c r="T48" i="1"/>
  <c r="R48" i="1"/>
  <c r="I48" i="1"/>
  <c r="S48" i="1"/>
  <c r="E48" i="1"/>
  <c r="T47" i="1"/>
  <c r="R47" i="1"/>
  <c r="I47" i="1"/>
  <c r="S47" i="1" s="1"/>
  <c r="E47" i="1"/>
  <c r="T46" i="1"/>
  <c r="R46" i="1"/>
  <c r="I46" i="1"/>
  <c r="S46" i="1" s="1"/>
  <c r="E46" i="1"/>
  <c r="T45" i="1"/>
  <c r="R45" i="1"/>
  <c r="I45" i="1"/>
  <c r="S45" i="1"/>
  <c r="E45" i="1"/>
  <c r="O44" i="1"/>
  <c r="P44" i="1" s="1"/>
  <c r="O43" i="1"/>
  <c r="P43" i="1" s="1"/>
  <c r="O46" i="1"/>
  <c r="P46" i="1" s="1"/>
  <c r="O50" i="1"/>
  <c r="P50" i="1" s="1"/>
  <c r="O54" i="1"/>
  <c r="P54" i="1" s="1"/>
  <c r="O47" i="1"/>
  <c r="P47" i="1" s="1"/>
  <c r="O51" i="1"/>
  <c r="P51" i="1" s="1"/>
  <c r="O48" i="1"/>
  <c r="P48" i="1" s="1"/>
  <c r="O52" i="1"/>
  <c r="P52" i="1" s="1"/>
  <c r="O45" i="1"/>
  <c r="P45" i="1" s="1"/>
  <c r="O49" i="1"/>
  <c r="P49" i="1" s="1"/>
  <c r="O53" i="1"/>
  <c r="P53" i="1" s="1"/>
  <c r="J12" i="4"/>
  <c r="E12" i="4"/>
  <c r="J11" i="4"/>
  <c r="J11" i="6" s="1"/>
  <c r="E11" i="4"/>
  <c r="E11" i="6" s="1"/>
  <c r="J12" i="6"/>
  <c r="S27" i="1"/>
  <c r="S26" i="1"/>
  <c r="T25" i="1"/>
  <c r="R25" i="1"/>
  <c r="R24" i="1"/>
  <c r="T24" i="1"/>
  <c r="T22" i="1"/>
  <c r="R21" i="1"/>
  <c r="T21" i="1"/>
  <c r="R20" i="1"/>
  <c r="T19" i="1"/>
  <c r="R18" i="1"/>
  <c r="R17" i="1"/>
  <c r="S17" i="1"/>
  <c r="T17" i="1"/>
  <c r="S16" i="1"/>
  <c r="T16" i="1"/>
  <c r="T15" i="1"/>
  <c r="T13" i="1"/>
  <c r="T12" i="1"/>
  <c r="T11" i="1"/>
  <c r="T10" i="1"/>
  <c r="S24" i="1"/>
  <c r="S15" i="1"/>
  <c r="S18" i="1"/>
  <c r="T20" i="1"/>
  <c r="T18" i="1"/>
  <c r="T27" i="1"/>
  <c r="T26" i="1"/>
  <c r="R12" i="1"/>
  <c r="R26" i="1"/>
  <c r="T23" i="1"/>
  <c r="S12" i="1"/>
  <c r="S19" i="1"/>
  <c r="S20" i="1"/>
  <c r="S25" i="1"/>
  <c r="D11" i="4"/>
  <c r="D11" i="6" s="1"/>
  <c r="I13" i="4"/>
  <c r="I13" i="6" s="1"/>
  <c r="D13" i="4"/>
  <c r="D13" i="6" s="1"/>
  <c r="F13" i="4"/>
  <c r="F13" i="6" s="1"/>
  <c r="J14" i="4"/>
  <c r="D15" i="4"/>
  <c r="D15" i="6" s="1"/>
  <c r="H17" i="4"/>
  <c r="D17" i="4"/>
  <c r="F17" i="4"/>
  <c r="I18" i="4"/>
  <c r="I18" i="6" s="1"/>
  <c r="D18" i="4"/>
  <c r="F18" i="4"/>
  <c r="F18" i="6" s="1"/>
  <c r="I19" i="4"/>
  <c r="D19" i="4"/>
  <c r="F19" i="4"/>
  <c r="H20" i="4"/>
  <c r="H20" i="6" s="1"/>
  <c r="E47" i="6" s="1"/>
  <c r="C20" i="4"/>
  <c r="E43" i="4" s="1"/>
  <c r="K20" i="4"/>
  <c r="E50" i="4" s="1"/>
  <c r="J21" i="4"/>
  <c r="H22" i="4"/>
  <c r="D22" i="4"/>
  <c r="E24" i="4"/>
  <c r="H11" i="4"/>
  <c r="H11" i="6" s="1"/>
  <c r="K11" i="4"/>
  <c r="K11" i="6" s="1"/>
  <c r="F12" i="4"/>
  <c r="F12" i="6" s="1"/>
  <c r="J13" i="4"/>
  <c r="J13" i="6" s="1"/>
  <c r="E13" i="4"/>
  <c r="E13" i="6" s="1"/>
  <c r="F14" i="4"/>
  <c r="F14" i="6" s="1"/>
  <c r="I15" i="4"/>
  <c r="E15" i="4"/>
  <c r="H16" i="4"/>
  <c r="C16" i="4"/>
  <c r="K16" i="4"/>
  <c r="K16" i="6" s="1"/>
  <c r="I17" i="4"/>
  <c r="I17" i="6" s="1"/>
  <c r="E17" i="4"/>
  <c r="J18" i="4"/>
  <c r="E18" i="4"/>
  <c r="E18" i="6" s="1"/>
  <c r="J19" i="4"/>
  <c r="E19" i="4"/>
  <c r="I20" i="4"/>
  <c r="D20" i="4"/>
  <c r="F20" i="4"/>
  <c r="E45" i="4" s="1"/>
  <c r="C21" i="4"/>
  <c r="K21" i="4"/>
  <c r="I22" i="4"/>
  <c r="E22" i="4"/>
  <c r="H23" i="4"/>
  <c r="H48" i="4" s="1"/>
  <c r="C23" i="4"/>
  <c r="F23" i="4"/>
  <c r="J24" i="4"/>
  <c r="K24" i="4"/>
  <c r="I50" i="4" s="1"/>
  <c r="C25" i="4"/>
  <c r="C25" i="6" s="1"/>
  <c r="K25" i="4"/>
  <c r="K25" i="6" s="1"/>
  <c r="I11" i="4"/>
  <c r="I11" i="6" s="1"/>
  <c r="F11" i="4"/>
  <c r="F11" i="6" s="1"/>
  <c r="H12" i="4"/>
  <c r="H14" i="4"/>
  <c r="K15" i="4"/>
  <c r="K15" i="6" s="1"/>
  <c r="I16" i="4"/>
  <c r="D16" i="4"/>
  <c r="F16" i="4"/>
  <c r="J20" i="4"/>
  <c r="E20" i="4"/>
  <c r="H21" i="4"/>
  <c r="H21" i="6" s="1"/>
  <c r="D21" i="4"/>
  <c r="F21" i="4"/>
  <c r="J22" i="4"/>
  <c r="K22" i="4"/>
  <c r="G50" i="4" s="1"/>
  <c r="I23" i="4"/>
  <c r="D23" i="4"/>
  <c r="D23" i="6" s="1"/>
  <c r="C24" i="4"/>
  <c r="I43" i="4" s="1"/>
  <c r="F24" i="4"/>
  <c r="D25" i="4"/>
  <c r="D25" i="6" s="1"/>
  <c r="F25" i="4"/>
  <c r="K43" i="4"/>
  <c r="L45" i="4"/>
  <c r="L44" i="5"/>
  <c r="M43" i="4"/>
  <c r="C11" i="4"/>
  <c r="C12" i="4"/>
  <c r="H13" i="4"/>
  <c r="H13" i="6" s="1"/>
  <c r="E14" i="4"/>
  <c r="F15" i="4"/>
  <c r="J16" i="4"/>
  <c r="E16" i="4"/>
  <c r="E16" i="6" s="1"/>
  <c r="H18" i="4"/>
  <c r="H19" i="4"/>
  <c r="K19" i="4"/>
  <c r="I21" i="4"/>
  <c r="E21" i="4"/>
  <c r="C22" i="4"/>
  <c r="G43" i="4" s="1"/>
  <c r="F22" i="4"/>
  <c r="G45" i="4" s="1"/>
  <c r="J23" i="4"/>
  <c r="E23" i="4"/>
  <c r="H44" i="4" s="1"/>
  <c r="H24" i="4"/>
  <c r="D24" i="4"/>
  <c r="I25" i="4"/>
  <c r="I25" i="6" s="1"/>
  <c r="E25" i="4"/>
  <c r="E25" i="6" s="1"/>
  <c r="M44" i="4"/>
  <c r="C6" i="3" s="1"/>
  <c r="M45" i="4"/>
  <c r="C7" i="3" s="1"/>
  <c r="K12" i="4"/>
  <c r="K12" i="6" s="1"/>
  <c r="K14" i="4"/>
  <c r="K14" i="6" s="1"/>
  <c r="K23" i="4"/>
  <c r="I24" i="4"/>
  <c r="J25" i="4"/>
  <c r="J25" i="6" s="1"/>
  <c r="H43" i="4"/>
  <c r="J17" i="4"/>
  <c r="H25" i="4"/>
  <c r="C14" i="4"/>
  <c r="J15" i="4"/>
  <c r="J15" i="6" s="1"/>
  <c r="C13" i="4"/>
  <c r="K13" i="4"/>
  <c r="K13" i="6" s="1"/>
  <c r="C17" i="4"/>
  <c r="C17" i="6" s="1"/>
  <c r="K17" i="4"/>
  <c r="C18" i="4"/>
  <c r="K18" i="4"/>
  <c r="C19" i="4"/>
  <c r="C19" i="6" s="1"/>
  <c r="R27" i="1"/>
  <c r="R22" i="1"/>
  <c r="E10" i="1"/>
  <c r="S21" i="1"/>
  <c r="S10" i="1"/>
  <c r="K50" i="4"/>
  <c r="D24" i="6"/>
  <c r="M50" i="4"/>
  <c r="C11" i="3" s="1"/>
  <c r="I16" i="6"/>
  <c r="F42" i="5"/>
  <c r="E42" i="5"/>
  <c r="G42" i="5"/>
  <c r="L47" i="5"/>
  <c r="S13" i="1"/>
  <c r="S22" i="1"/>
  <c r="R19" i="1"/>
  <c r="S23" i="1"/>
  <c r="S14" i="1"/>
  <c r="R10" i="1"/>
  <c r="R13" i="1"/>
  <c r="T14" i="1"/>
  <c r="R16" i="1"/>
  <c r="D12" i="4"/>
  <c r="D12" i="6" s="1"/>
  <c r="I12" i="4"/>
  <c r="I12" i="6" s="1"/>
  <c r="C15" i="4"/>
  <c r="H15" i="4"/>
  <c r="D14" i="4"/>
  <c r="I14" i="4"/>
  <c r="E11" i="1"/>
  <c r="R15" i="1"/>
  <c r="R23" i="1"/>
  <c r="R11" i="1"/>
  <c r="S11" i="1"/>
  <c r="R14" i="1"/>
  <c r="F646" i="3"/>
  <c r="G646" i="3" s="1"/>
  <c r="H646" i="3" s="1"/>
  <c r="I646" i="3" s="1"/>
  <c r="J646" i="3" s="1"/>
  <c r="F666" i="3"/>
  <c r="G666" i="3" s="1"/>
  <c r="H666" i="3" s="1"/>
  <c r="I666" i="3" s="1"/>
  <c r="J666" i="3" s="1"/>
  <c r="E63" i="14" l="1"/>
  <c r="F62" i="14"/>
  <c r="E23" i="13"/>
  <c r="J26" i="14"/>
  <c r="F63" i="14"/>
  <c r="N49" i="5"/>
  <c r="K29" i="6"/>
  <c r="E6" i="13"/>
  <c r="I6" i="13" s="1"/>
  <c r="D19" i="13"/>
  <c r="C21" i="13"/>
  <c r="H7" i="13"/>
  <c r="I26" i="14"/>
  <c r="I43" i="5"/>
  <c r="J43" i="5"/>
  <c r="M43" i="5"/>
  <c r="E28" i="6"/>
  <c r="G48" i="5"/>
  <c r="I48" i="5"/>
  <c r="J48" i="5"/>
  <c r="K48" i="5"/>
  <c r="J26" i="6"/>
  <c r="L48" i="5"/>
  <c r="J27" i="6"/>
  <c r="N42" i="5"/>
  <c r="C29" i="6"/>
  <c r="G29" i="6" s="1"/>
  <c r="N47" i="5"/>
  <c r="H29" i="6"/>
  <c r="L29" i="6" s="1"/>
  <c r="G13" i="13"/>
  <c r="D38" i="14"/>
  <c r="C38" i="14"/>
  <c r="K44" i="5"/>
  <c r="F26" i="6"/>
  <c r="M44" i="5"/>
  <c r="F28" i="6"/>
  <c r="K49" i="5"/>
  <c r="K26" i="6"/>
  <c r="L49" i="5"/>
  <c r="K27" i="6"/>
  <c r="M49" i="5"/>
  <c r="K28" i="6"/>
  <c r="L28" i="6" s="1"/>
  <c r="L29" i="5"/>
  <c r="I29" i="6"/>
  <c r="H13" i="13"/>
  <c r="F54" i="14"/>
  <c r="H60" i="14"/>
  <c r="K42" i="5"/>
  <c r="C26" i="6"/>
  <c r="G26" i="6" s="1"/>
  <c r="M26" i="6" s="1"/>
  <c r="L42" i="5"/>
  <c r="C27" i="6"/>
  <c r="G27" i="6" s="1"/>
  <c r="M27" i="6" s="1"/>
  <c r="M42" i="5"/>
  <c r="C28" i="6"/>
  <c r="G28" i="6" s="1"/>
  <c r="K47" i="5"/>
  <c r="H26" i="6"/>
  <c r="L26" i="6" s="1"/>
  <c r="L27" i="6"/>
  <c r="C19" i="13"/>
  <c r="I548" i="3"/>
  <c r="G565" i="3"/>
  <c r="F676" i="3"/>
  <c r="G297" i="3"/>
  <c r="G435" i="3"/>
  <c r="F605" i="3"/>
  <c r="I341" i="3"/>
  <c r="F398" i="3"/>
  <c r="F561" i="3"/>
  <c r="J238" i="3"/>
  <c r="J652" i="3" s="1"/>
  <c r="I376" i="3"/>
  <c r="I672" i="3"/>
  <c r="E435" i="3"/>
  <c r="I445" i="3"/>
  <c r="E319" i="3"/>
  <c r="F435" i="3"/>
  <c r="E664" i="3"/>
  <c r="AO155" i="40"/>
  <c r="I289" i="3"/>
  <c r="J289" i="3" s="1"/>
  <c r="K289" i="3" s="1"/>
  <c r="L289" i="3" s="1"/>
  <c r="H423" i="3"/>
  <c r="I423" i="3" s="1"/>
  <c r="I561" i="3" s="1"/>
  <c r="G474" i="3"/>
  <c r="J256" i="3"/>
  <c r="F297" i="3"/>
  <c r="F299" i="3"/>
  <c r="H366" i="3"/>
  <c r="H504" i="3"/>
  <c r="F575" i="3"/>
  <c r="F642" i="3"/>
  <c r="E565" i="3"/>
  <c r="F587" i="3"/>
  <c r="H297" i="3"/>
  <c r="F368" i="3"/>
  <c r="E457" i="3"/>
  <c r="F506" i="3"/>
  <c r="E662" i="3"/>
  <c r="F20" i="6"/>
  <c r="E44" i="6" s="1"/>
  <c r="C22" i="6"/>
  <c r="G42" i="6" s="1"/>
  <c r="F25" i="6"/>
  <c r="J44" i="6" s="1"/>
  <c r="E15" i="6"/>
  <c r="C20" i="6"/>
  <c r="E42" i="6" s="1"/>
  <c r="J48" i="4"/>
  <c r="H25" i="6"/>
  <c r="L25" i="6" s="1"/>
  <c r="F19" i="6"/>
  <c r="H123" i="4"/>
  <c r="G117" i="4"/>
  <c r="D597" i="22"/>
  <c r="D599" i="22" s="1"/>
  <c r="D601" i="22" s="1"/>
  <c r="I123" i="4"/>
  <c r="I117" i="4"/>
  <c r="M117" i="4"/>
  <c r="K40" i="3"/>
  <c r="L40" i="3" s="1"/>
  <c r="K301" i="3"/>
  <c r="L301" i="3" s="1"/>
  <c r="K311" i="3"/>
  <c r="L311" i="3" s="1"/>
  <c r="J194" i="3"/>
  <c r="K597" i="3"/>
  <c r="L597" i="3" s="1"/>
  <c r="J640" i="3"/>
  <c r="K532" i="3"/>
  <c r="L532" i="3" s="1"/>
  <c r="K370" i="3"/>
  <c r="L370" i="3" s="1"/>
  <c r="K577" i="3"/>
  <c r="L577" i="3" s="1"/>
  <c r="K42" i="3"/>
  <c r="L42" i="3" s="1"/>
  <c r="K459" i="3"/>
  <c r="L459" i="3" s="1"/>
  <c r="K646" i="3"/>
  <c r="L646" i="3" s="1"/>
  <c r="K16" i="3"/>
  <c r="K61" i="3"/>
  <c r="L61" i="3" s="1"/>
  <c r="K157" i="3"/>
  <c r="L157" i="3" s="1"/>
  <c r="K325" i="3"/>
  <c r="L325" i="3" s="1"/>
  <c r="J860" i="3"/>
  <c r="J862" i="3"/>
  <c r="O862" i="3" s="1"/>
  <c r="K475" i="3"/>
  <c r="L475" i="3" s="1"/>
  <c r="J892" i="3"/>
  <c r="J894" i="3"/>
  <c r="K233" i="3"/>
  <c r="L233" i="3" s="1"/>
  <c r="K305" i="3"/>
  <c r="L305" i="3" s="1"/>
  <c r="K384" i="3"/>
  <c r="L384" i="3" s="1"/>
  <c r="K453" i="3"/>
  <c r="L453" i="3" s="1"/>
  <c r="J512" i="3"/>
  <c r="J581" i="3"/>
  <c r="J900" i="3"/>
  <c r="K66" i="3"/>
  <c r="L66" i="3" s="1"/>
  <c r="K39" i="3"/>
  <c r="L39" i="3" s="1"/>
  <c r="K38" i="3"/>
  <c r="L38" i="3" s="1"/>
  <c r="K666" i="3"/>
  <c r="L666" i="3" s="1"/>
  <c r="I272" i="3"/>
  <c r="J206" i="3"/>
  <c r="J272" i="3" s="1"/>
  <c r="K18" i="3"/>
  <c r="K62" i="3"/>
  <c r="L62" i="3" s="1"/>
  <c r="K158" i="3"/>
  <c r="L158" i="3" s="1"/>
  <c r="K267" i="3"/>
  <c r="L267" i="3" s="1"/>
  <c r="K336" i="3"/>
  <c r="L336" i="3" s="1"/>
  <c r="K492" i="3"/>
  <c r="L492" i="3" s="1"/>
  <c r="J502" i="3"/>
  <c r="K496" i="3"/>
  <c r="L496" i="3" s="1"/>
  <c r="K224" i="3"/>
  <c r="L224" i="3" s="1"/>
  <c r="K251" i="3"/>
  <c r="L251" i="3" s="1"/>
  <c r="K321" i="3"/>
  <c r="L321" i="3" s="1"/>
  <c r="J394" i="3"/>
  <c r="K463" i="3"/>
  <c r="L463" i="3" s="1"/>
  <c r="F467" i="3"/>
  <c r="K522" i="3"/>
  <c r="L522" i="3" s="1"/>
  <c r="F536" i="3"/>
  <c r="K591" i="3"/>
  <c r="L591" i="3" s="1"/>
  <c r="G573" i="3"/>
  <c r="J650" i="3"/>
  <c r="G642" i="3"/>
  <c r="K544" i="3"/>
  <c r="L544" i="3" s="1"/>
  <c r="K159" i="3"/>
  <c r="L159" i="3" s="1"/>
  <c r="K44" i="3"/>
  <c r="L44" i="3" s="1"/>
  <c r="K439" i="3"/>
  <c r="L439" i="3" s="1"/>
  <c r="K508" i="3"/>
  <c r="L508" i="3" s="1"/>
  <c r="K427" i="3"/>
  <c r="L427" i="3" s="1"/>
  <c r="K155" i="3"/>
  <c r="L155" i="3" s="1"/>
  <c r="K268" i="3"/>
  <c r="L268" i="3" s="1"/>
  <c r="K337" i="3"/>
  <c r="L337" i="3" s="1"/>
  <c r="J868" i="3"/>
  <c r="J870" i="3"/>
  <c r="K405" i="3"/>
  <c r="L405" i="3" s="1"/>
  <c r="J876" i="3"/>
  <c r="J878" i="3"/>
  <c r="O878" i="3" s="1"/>
  <c r="K634" i="3"/>
  <c r="L634" i="3" s="1"/>
  <c r="J884" i="3"/>
  <c r="J886" i="3"/>
  <c r="K295" i="3"/>
  <c r="L295" i="3" s="1"/>
  <c r="K364" i="3"/>
  <c r="L364" i="3" s="1"/>
  <c r="K390" i="3"/>
  <c r="L390" i="3" s="1"/>
  <c r="K433" i="3"/>
  <c r="L433" i="3" s="1"/>
  <c r="J601" i="3"/>
  <c r="J660" i="3"/>
  <c r="K612" i="3"/>
  <c r="L612" i="3" s="1"/>
  <c r="J630" i="3"/>
  <c r="K613" i="3"/>
  <c r="L613" i="3" s="1"/>
  <c r="K64" i="3"/>
  <c r="L64" i="3" s="1"/>
  <c r="K43" i="3"/>
  <c r="L43" i="3" s="1"/>
  <c r="I479" i="3"/>
  <c r="K17" i="3"/>
  <c r="K60" i="3"/>
  <c r="L60" i="3" s="1"/>
  <c r="K156" i="3"/>
  <c r="L156" i="3" s="1"/>
  <c r="K358" i="3"/>
  <c r="L358" i="3" s="1"/>
  <c r="O860" i="3"/>
  <c r="K354" i="3"/>
  <c r="L354" i="3" s="1"/>
  <c r="K406" i="3"/>
  <c r="L406" i="3" s="1"/>
  <c r="H565" i="3"/>
  <c r="I565" i="3" s="1"/>
  <c r="J565" i="3" s="1"/>
  <c r="K315" i="3"/>
  <c r="L315" i="3" s="1"/>
  <c r="K374" i="3"/>
  <c r="L374" i="3" s="1"/>
  <c r="J443" i="3"/>
  <c r="K528" i="3"/>
  <c r="L528" i="3" s="1"/>
  <c r="J571" i="3"/>
  <c r="E573" i="3"/>
  <c r="J670" i="3"/>
  <c r="J902" i="3"/>
  <c r="F674" i="3"/>
  <c r="K65" i="3"/>
  <c r="L65" i="3" s="1"/>
  <c r="D14" i="6"/>
  <c r="K17" i="6"/>
  <c r="L18" i="5"/>
  <c r="L42" i="6"/>
  <c r="M48" i="5"/>
  <c r="E21" i="6"/>
  <c r="E14" i="6"/>
  <c r="C23" i="6"/>
  <c r="H42" i="6" s="1"/>
  <c r="H16" i="6"/>
  <c r="L14" i="5"/>
  <c r="G14" i="5"/>
  <c r="G15" i="5"/>
  <c r="M15" i="5" s="1"/>
  <c r="G17" i="5"/>
  <c r="G19" i="5"/>
  <c r="G23" i="5"/>
  <c r="I99" i="5"/>
  <c r="L15" i="5"/>
  <c r="K104" i="5"/>
  <c r="L104" i="5"/>
  <c r="H19" i="6"/>
  <c r="F16" i="6"/>
  <c r="I15" i="6"/>
  <c r="I19" i="6"/>
  <c r="E48" i="4"/>
  <c r="J18" i="6"/>
  <c r="J19" i="6"/>
  <c r="K19" i="6"/>
  <c r="M45" i="5"/>
  <c r="M82" i="5" s="1"/>
  <c r="F50" i="5"/>
  <c r="K42" i="6"/>
  <c r="K18" i="6"/>
  <c r="E20" i="6"/>
  <c r="G49" i="4"/>
  <c r="E19" i="6"/>
  <c r="E17" i="6"/>
  <c r="F17" i="6"/>
  <c r="J45" i="5"/>
  <c r="G50" i="5"/>
  <c r="J50" i="5"/>
  <c r="J87" i="5" s="1"/>
  <c r="I14" i="6"/>
  <c r="C24" i="6"/>
  <c r="I42" i="6" s="1"/>
  <c r="K49" i="6"/>
  <c r="L49" i="4"/>
  <c r="K24" i="6"/>
  <c r="I49" i="6" s="1"/>
  <c r="M49" i="6"/>
  <c r="G18" i="5"/>
  <c r="D18" i="6"/>
  <c r="G20" i="5"/>
  <c r="E43" i="5"/>
  <c r="L43" i="5"/>
  <c r="L45" i="5" s="1"/>
  <c r="G27" i="5"/>
  <c r="F87" i="5"/>
  <c r="L26" i="5"/>
  <c r="I50" i="5"/>
  <c r="I87" i="5" s="1"/>
  <c r="I104" i="5"/>
  <c r="I109" i="5"/>
  <c r="L25" i="5"/>
  <c r="G29" i="5"/>
  <c r="M29" i="5" s="1"/>
  <c r="N44" i="5"/>
  <c r="N44" i="6"/>
  <c r="N49" i="6"/>
  <c r="N50" i="4" s="1"/>
  <c r="D11" i="3" s="1"/>
  <c r="D16" i="6"/>
  <c r="G16" i="5"/>
  <c r="G21" i="5"/>
  <c r="F43" i="5"/>
  <c r="F45" i="5" s="1"/>
  <c r="G22" i="5"/>
  <c r="G43" i="5"/>
  <c r="G99" i="5" s="1"/>
  <c r="H43" i="5"/>
  <c r="H45" i="5" s="1"/>
  <c r="E23" i="6"/>
  <c r="H43" i="6" s="1"/>
  <c r="J82" i="5"/>
  <c r="K43" i="5"/>
  <c r="K45" i="5" s="1"/>
  <c r="G26" i="5"/>
  <c r="E48" i="5"/>
  <c r="E104" i="5" s="1"/>
  <c r="L20" i="5"/>
  <c r="J20" i="6"/>
  <c r="H48" i="5"/>
  <c r="H50" i="5" s="1"/>
  <c r="L23" i="5"/>
  <c r="G24" i="5"/>
  <c r="J109" i="5"/>
  <c r="J99" i="5"/>
  <c r="F104" i="5"/>
  <c r="J16" i="6"/>
  <c r="H45" i="4"/>
  <c r="H46" i="4" s="1"/>
  <c r="H83" i="4" s="1"/>
  <c r="G23" i="4"/>
  <c r="E24" i="6"/>
  <c r="I43" i="6" s="1"/>
  <c r="I99" i="6" s="1"/>
  <c r="J21" i="6"/>
  <c r="G104" i="5"/>
  <c r="M99" i="5"/>
  <c r="K23" i="6"/>
  <c r="H49" i="6" s="1"/>
  <c r="H50" i="4"/>
  <c r="D17" i="6"/>
  <c r="I45" i="5"/>
  <c r="J58" i="5" s="1"/>
  <c r="G25" i="5"/>
  <c r="G28" i="5"/>
  <c r="L16" i="5"/>
  <c r="L17" i="5"/>
  <c r="M17" i="5" s="1"/>
  <c r="L19" i="5"/>
  <c r="L21" i="5"/>
  <c r="L22" i="5"/>
  <c r="L24" i="5"/>
  <c r="J104" i="5"/>
  <c r="K50" i="5"/>
  <c r="L27" i="5"/>
  <c r="M48" i="6"/>
  <c r="M47" i="5"/>
  <c r="L28" i="5"/>
  <c r="L50" i="5"/>
  <c r="K45" i="4"/>
  <c r="K44" i="6"/>
  <c r="J23" i="6"/>
  <c r="D21" i="6"/>
  <c r="H14" i="6"/>
  <c r="J24" i="6"/>
  <c r="F50" i="4"/>
  <c r="K21" i="6"/>
  <c r="F49" i="6" s="1"/>
  <c r="E44" i="4"/>
  <c r="E100" i="4" s="1"/>
  <c r="D22" i="6"/>
  <c r="F15" i="6"/>
  <c r="J14" i="6"/>
  <c r="N43" i="6"/>
  <c r="H15" i="6"/>
  <c r="C14" i="6"/>
  <c r="J17" i="6"/>
  <c r="J22" i="6"/>
  <c r="J42" i="6"/>
  <c r="K48" i="6"/>
  <c r="D19" i="6"/>
  <c r="N42" i="6"/>
  <c r="N47" i="6"/>
  <c r="N48" i="4" s="1"/>
  <c r="D9" i="3" s="1"/>
  <c r="J45" i="4"/>
  <c r="L20" i="4"/>
  <c r="I22" i="6"/>
  <c r="L22" i="4"/>
  <c r="L15" i="4"/>
  <c r="H23" i="6"/>
  <c r="H47" i="6" s="1"/>
  <c r="F23" i="6"/>
  <c r="H44" i="6" s="1"/>
  <c r="K49" i="4"/>
  <c r="K22" i="6"/>
  <c r="G49" i="6" s="1"/>
  <c r="L19" i="4"/>
  <c r="M43" i="6"/>
  <c r="L44" i="6"/>
  <c r="K20" i="6"/>
  <c r="E49" i="6" s="1"/>
  <c r="G15" i="4"/>
  <c r="M44" i="6"/>
  <c r="J43" i="4"/>
  <c r="J123" i="4" s="1"/>
  <c r="J117" i="4"/>
  <c r="L23" i="4"/>
  <c r="G12" i="4"/>
  <c r="H117" i="4"/>
  <c r="G20" i="4"/>
  <c r="D20" i="6"/>
  <c r="F22" i="6"/>
  <c r="G44" i="6" s="1"/>
  <c r="H100" i="4"/>
  <c r="G17" i="4"/>
  <c r="M48" i="4"/>
  <c r="F47" i="6"/>
  <c r="L14" i="4"/>
  <c r="G123" i="4"/>
  <c r="N15" i="4"/>
  <c r="O15" i="4"/>
  <c r="C15" i="6"/>
  <c r="E123" i="4"/>
  <c r="J43" i="6"/>
  <c r="J44" i="4"/>
  <c r="G25" i="4"/>
  <c r="G24" i="4"/>
  <c r="I44" i="4"/>
  <c r="H18" i="6"/>
  <c r="L18" i="4"/>
  <c r="O11" i="4"/>
  <c r="N11" i="4"/>
  <c r="C11" i="6"/>
  <c r="G11" i="6" s="1"/>
  <c r="G11" i="4"/>
  <c r="L44" i="4"/>
  <c r="I45" i="4"/>
  <c r="F24" i="6"/>
  <c r="I44" i="6" s="1"/>
  <c r="F21" i="6"/>
  <c r="F44" i="6" s="1"/>
  <c r="F45" i="4"/>
  <c r="M123" i="4"/>
  <c r="M46" i="4"/>
  <c r="C5" i="3"/>
  <c r="C8" i="3" s="1"/>
  <c r="J49" i="4"/>
  <c r="K44" i="4"/>
  <c r="K100" i="4" s="1"/>
  <c r="I48" i="4"/>
  <c r="L24" i="4"/>
  <c r="H24" i="6"/>
  <c r="I21" i="6"/>
  <c r="F49" i="4"/>
  <c r="G22" i="4"/>
  <c r="N21" i="4"/>
  <c r="O21" i="4"/>
  <c r="F43" i="4"/>
  <c r="C21" i="6"/>
  <c r="E49" i="4"/>
  <c r="I20" i="6"/>
  <c r="O16" i="4"/>
  <c r="N16" i="4"/>
  <c r="G16" i="4"/>
  <c r="C16" i="6"/>
  <c r="G48" i="4"/>
  <c r="H22" i="6"/>
  <c r="N20" i="4"/>
  <c r="O20" i="4"/>
  <c r="L17" i="4"/>
  <c r="H17" i="6"/>
  <c r="L25" i="4"/>
  <c r="L11" i="4"/>
  <c r="L13" i="4"/>
  <c r="N18" i="4"/>
  <c r="O18" i="4"/>
  <c r="G18" i="4"/>
  <c r="C18" i="6"/>
  <c r="O13" i="4"/>
  <c r="N13" i="4"/>
  <c r="G13" i="4"/>
  <c r="C13" i="6"/>
  <c r="G13" i="6" s="1"/>
  <c r="L48" i="4"/>
  <c r="I49" i="4"/>
  <c r="I24" i="6"/>
  <c r="F48" i="4"/>
  <c r="L21" i="4"/>
  <c r="H12" i="6"/>
  <c r="L12" i="6" s="1"/>
  <c r="L12" i="4"/>
  <c r="L50" i="4"/>
  <c r="L49" i="6"/>
  <c r="J50" i="4"/>
  <c r="J49" i="6"/>
  <c r="L16" i="4"/>
  <c r="L11" i="6"/>
  <c r="L13" i="6"/>
  <c r="E12" i="6"/>
  <c r="G14" i="4"/>
  <c r="M100" i="4"/>
  <c r="G21" i="4"/>
  <c r="K123" i="4"/>
  <c r="K48" i="4"/>
  <c r="H49" i="4"/>
  <c r="H110" i="4" s="1"/>
  <c r="I23" i="6"/>
  <c r="L117" i="4"/>
  <c r="K117" i="4"/>
  <c r="F44" i="4"/>
  <c r="L43" i="4"/>
  <c r="O25" i="4"/>
  <c r="N25" i="4"/>
  <c r="F117" i="4"/>
  <c r="O19" i="4"/>
  <c r="N19" i="4"/>
  <c r="G19" i="4"/>
  <c r="N17" i="4"/>
  <c r="O17" i="4"/>
  <c r="O14" i="4"/>
  <c r="N14" i="4"/>
  <c r="O12" i="4"/>
  <c r="N12" i="4"/>
  <c r="C12" i="6"/>
  <c r="G44" i="4"/>
  <c r="G46" i="4" s="1"/>
  <c r="E22" i="6"/>
  <c r="O22" i="4"/>
  <c r="N22" i="4"/>
  <c r="O24" i="4"/>
  <c r="N24" i="4"/>
  <c r="N23" i="4"/>
  <c r="O23" i="4"/>
  <c r="E297" i="3"/>
  <c r="F309" i="3"/>
  <c r="F378" i="3"/>
  <c r="F516" i="3"/>
  <c r="F654" i="3"/>
  <c r="E366" i="3"/>
  <c r="E504" i="3"/>
  <c r="F400" i="3"/>
  <c r="F447" i="3"/>
  <c r="F585" i="3"/>
  <c r="N43" i="5"/>
  <c r="N48" i="5"/>
  <c r="E87" i="3"/>
  <c r="E88" i="3"/>
  <c r="B872" i="3"/>
  <c r="B919" i="3"/>
  <c r="B929" i="3" s="1"/>
  <c r="B896" i="3"/>
  <c r="B922" i="3"/>
  <c r="B932" i="3" s="1"/>
  <c r="B880" i="3"/>
  <c r="B920" i="3"/>
  <c r="B930" i="3" s="1"/>
  <c r="B856" i="3"/>
  <c r="B917" i="3"/>
  <c r="B927" i="3" s="1"/>
  <c r="B888" i="3"/>
  <c r="B921" i="3"/>
  <c r="B931" i="3" s="1"/>
  <c r="B864" i="3"/>
  <c r="B918" i="3"/>
  <c r="B928" i="3" s="1"/>
  <c r="G345" i="3"/>
  <c r="F866" i="3"/>
  <c r="F483" i="3"/>
  <c r="F874" i="3"/>
  <c r="E621" i="3"/>
  <c r="E898" i="3" s="1"/>
  <c r="E882" i="3"/>
  <c r="H414" i="3"/>
  <c r="H874" i="3" s="1"/>
  <c r="G874" i="3"/>
  <c r="G276" i="3"/>
  <c r="F858" i="3"/>
  <c r="E360" i="3"/>
  <c r="G483" i="3"/>
  <c r="F552" i="3"/>
  <c r="F890" i="3" s="1"/>
  <c r="F331" i="3"/>
  <c r="F538" i="3"/>
  <c r="E429" i="3"/>
  <c r="G552" i="3"/>
  <c r="G890" i="3" s="1"/>
  <c r="I307" i="3"/>
  <c r="I327" i="3"/>
  <c r="F380" i="3"/>
  <c r="F449" i="3"/>
  <c r="F607" i="3"/>
  <c r="F469" i="3"/>
  <c r="F518" i="3"/>
  <c r="E498" i="3"/>
  <c r="F656" i="3"/>
  <c r="G209" i="3"/>
  <c r="G849" i="3" s="1"/>
  <c r="E83" i="3"/>
  <c r="O117" i="4"/>
  <c r="H20" i="3"/>
  <c r="H483" i="3"/>
  <c r="F567" i="3"/>
  <c r="F429" i="3"/>
  <c r="G291" i="3"/>
  <c r="F498" i="3"/>
  <c r="F360" i="3"/>
  <c r="F636" i="3" s="1"/>
  <c r="G398" i="3"/>
  <c r="G467" i="3"/>
  <c r="H258" i="3"/>
  <c r="G674" i="3"/>
  <c r="G536" i="3"/>
  <c r="G605" i="3"/>
  <c r="G329" i="3"/>
  <c r="G656" i="3"/>
  <c r="G380" i="3"/>
  <c r="G449" i="3"/>
  <c r="G587" i="3"/>
  <c r="H242" i="3"/>
  <c r="G518" i="3"/>
  <c r="G644" i="3"/>
  <c r="G368" i="3"/>
  <c r="H231" i="3"/>
  <c r="G437" i="3"/>
  <c r="G506" i="3"/>
  <c r="G575" i="3"/>
  <c r="G299" i="3"/>
  <c r="G516" i="3"/>
  <c r="G309" i="3"/>
  <c r="H240" i="3"/>
  <c r="G585" i="3"/>
  <c r="G654" i="3"/>
  <c r="G378" i="3"/>
  <c r="G447" i="3"/>
  <c r="H260" i="3"/>
  <c r="G676" i="3"/>
  <c r="G400" i="3"/>
  <c r="G538" i="3"/>
  <c r="G607" i="3"/>
  <c r="G469" i="3"/>
  <c r="G331" i="3"/>
  <c r="F662" i="3"/>
  <c r="F388" i="3"/>
  <c r="F457" i="3"/>
  <c r="F319" i="3"/>
  <c r="F664" i="3"/>
  <c r="F526" i="3"/>
  <c r="G249" i="3"/>
  <c r="F595" i="3"/>
  <c r="G22" i="3"/>
  <c r="H21" i="3"/>
  <c r="M14" i="5" l="1"/>
  <c r="D18" i="13"/>
  <c r="I7" i="13"/>
  <c r="I12" i="13"/>
  <c r="E19" i="13"/>
  <c r="M28" i="6"/>
  <c r="I9" i="13"/>
  <c r="I10" i="13"/>
  <c r="N43" i="4"/>
  <c r="D5" i="3" s="1"/>
  <c r="M29" i="6"/>
  <c r="E21" i="13"/>
  <c r="C20" i="13"/>
  <c r="I11" i="13"/>
  <c r="I8" i="13"/>
  <c r="I13" i="13"/>
  <c r="I14" i="13"/>
  <c r="J514" i="3"/>
  <c r="J376" i="3"/>
  <c r="K238" i="3"/>
  <c r="L238" i="3" s="1"/>
  <c r="J603" i="3"/>
  <c r="J445" i="3"/>
  <c r="I414" i="3"/>
  <c r="J423" i="3"/>
  <c r="H561" i="3"/>
  <c r="J327" i="3"/>
  <c r="J534" i="3"/>
  <c r="J307" i="3"/>
  <c r="J672" i="3"/>
  <c r="J396" i="3"/>
  <c r="J583" i="3"/>
  <c r="J465" i="3"/>
  <c r="H552" i="3"/>
  <c r="H890" i="3" s="1"/>
  <c r="H474" i="3"/>
  <c r="G543" i="3"/>
  <c r="J548" i="3"/>
  <c r="J341" i="3"/>
  <c r="J410" i="3"/>
  <c r="J47" i="6"/>
  <c r="G25" i="6"/>
  <c r="M25" i="6" s="1"/>
  <c r="E51" i="4"/>
  <c r="E88" i="4" s="1"/>
  <c r="E599" i="22"/>
  <c r="E601" i="22" s="1"/>
  <c r="E89" i="21" s="1"/>
  <c r="E84" i="21" s="1"/>
  <c r="E147" i="21" s="1"/>
  <c r="D89" i="21"/>
  <c r="K670" i="3"/>
  <c r="L670" i="3" s="1"/>
  <c r="L17" i="3"/>
  <c r="K565" i="3"/>
  <c r="L565" i="3" s="1"/>
  <c r="K630" i="3"/>
  <c r="L630" i="3" s="1"/>
  <c r="K660" i="3"/>
  <c r="L660" i="3" s="1"/>
  <c r="K650" i="3"/>
  <c r="L650" i="3" s="1"/>
  <c r="K640" i="3"/>
  <c r="L640" i="3" s="1"/>
  <c r="I874" i="3"/>
  <c r="J561" i="3"/>
  <c r="K423" i="3"/>
  <c r="K571" i="3"/>
  <c r="K443" i="3"/>
  <c r="K502" i="3"/>
  <c r="O870" i="3"/>
  <c r="L18" i="3"/>
  <c r="K581" i="3"/>
  <c r="K194" i="3"/>
  <c r="K601" i="3"/>
  <c r="K396" i="3"/>
  <c r="K376" i="3"/>
  <c r="K652" i="3"/>
  <c r="K672" i="3"/>
  <c r="K583" i="3"/>
  <c r="K327" i="3"/>
  <c r="L16" i="3"/>
  <c r="O630" i="3"/>
  <c r="K394" i="3"/>
  <c r="O876" i="3"/>
  <c r="J617" i="3"/>
  <c r="K206" i="3"/>
  <c r="J479" i="3"/>
  <c r="K512" i="3"/>
  <c r="F43" i="6"/>
  <c r="L16" i="6"/>
  <c r="H104" i="5"/>
  <c r="G19" i="6"/>
  <c r="L19" i="6"/>
  <c r="G14" i="6"/>
  <c r="H99" i="6"/>
  <c r="M58" i="5"/>
  <c r="M18" i="5"/>
  <c r="G63" i="5"/>
  <c r="L15" i="6"/>
  <c r="E43" i="6"/>
  <c r="E99" i="6" s="1"/>
  <c r="M23" i="5"/>
  <c r="G43" i="6"/>
  <c r="G99" i="6" s="1"/>
  <c r="G15" i="6"/>
  <c r="M15" i="6" s="1"/>
  <c r="L105" i="5"/>
  <c r="M19" i="5"/>
  <c r="L109" i="5"/>
  <c r="F109" i="5"/>
  <c r="G87" i="5"/>
  <c r="M23" i="4"/>
  <c r="F48" i="6"/>
  <c r="F50" i="6" s="1"/>
  <c r="H45" i="6"/>
  <c r="H82" i="6" s="1"/>
  <c r="I48" i="6"/>
  <c r="K43" i="6"/>
  <c r="K45" i="6" s="1"/>
  <c r="K82" i="6" s="1"/>
  <c r="L14" i="6"/>
  <c r="M14" i="6" s="1"/>
  <c r="G17" i="6"/>
  <c r="N123" i="4"/>
  <c r="N128" i="4" s="1"/>
  <c r="M24" i="5"/>
  <c r="H48" i="6"/>
  <c r="H109" i="6" s="1"/>
  <c r="G45" i="5"/>
  <c r="H58" i="5" s="1"/>
  <c r="M25" i="5"/>
  <c r="J52" i="5"/>
  <c r="J75" i="5" s="1"/>
  <c r="M20" i="5"/>
  <c r="L99" i="5"/>
  <c r="L17" i="6"/>
  <c r="L18" i="6"/>
  <c r="M20" i="4"/>
  <c r="M15" i="4"/>
  <c r="L63" i="5"/>
  <c r="L87" i="5"/>
  <c r="L106" i="5"/>
  <c r="J105" i="5"/>
  <c r="I106" i="5"/>
  <c r="G105" i="5"/>
  <c r="K82" i="5"/>
  <c r="K52" i="5"/>
  <c r="K75" i="5" s="1"/>
  <c r="K58" i="5"/>
  <c r="F52" i="5"/>
  <c r="K105" i="5"/>
  <c r="E99" i="5"/>
  <c r="E109" i="5"/>
  <c r="E45" i="5"/>
  <c r="F58" i="5" s="1"/>
  <c r="G18" i="6"/>
  <c r="M22" i="4"/>
  <c r="F82" i="5"/>
  <c r="K63" i="5"/>
  <c r="K87" i="5"/>
  <c r="I52" i="5"/>
  <c r="I75" i="5" s="1"/>
  <c r="I58" i="5"/>
  <c r="H105" i="5"/>
  <c r="J106" i="5"/>
  <c r="H109" i="5"/>
  <c r="H99" i="5"/>
  <c r="I100" i="5" s="1"/>
  <c r="M21" i="5"/>
  <c r="N45" i="4"/>
  <c r="D7" i="3" s="1"/>
  <c r="I82" i="5"/>
  <c r="I63" i="5"/>
  <c r="L48" i="6"/>
  <c r="M17" i="4"/>
  <c r="L43" i="6"/>
  <c r="L45" i="6" s="1"/>
  <c r="M50" i="5"/>
  <c r="M109" i="5"/>
  <c r="M104" i="5"/>
  <c r="O106" i="5" s="1"/>
  <c r="K109" i="5"/>
  <c r="H82" i="5"/>
  <c r="H52" i="5"/>
  <c r="K106" i="5"/>
  <c r="I105" i="5"/>
  <c r="H87" i="5"/>
  <c r="H75" i="5"/>
  <c r="H63" i="5"/>
  <c r="M27" i="5"/>
  <c r="M19" i="4"/>
  <c r="G16" i="6"/>
  <c r="E46" i="4"/>
  <c r="G48" i="6"/>
  <c r="G109" i="5"/>
  <c r="E50" i="5"/>
  <c r="M28" i="5"/>
  <c r="K99" i="5"/>
  <c r="F99" i="5"/>
  <c r="J63" i="5"/>
  <c r="M26" i="5"/>
  <c r="M22" i="5"/>
  <c r="M16" i="5"/>
  <c r="L52" i="5"/>
  <c r="L75" i="5" s="1"/>
  <c r="L58" i="5"/>
  <c r="L82" i="5"/>
  <c r="G23" i="6"/>
  <c r="H105" i="4"/>
  <c r="J100" i="4"/>
  <c r="G20" i="6"/>
  <c r="K110" i="4"/>
  <c r="M21" i="4"/>
  <c r="M12" i="4"/>
  <c r="H122" i="4"/>
  <c r="G100" i="4"/>
  <c r="L23" i="6"/>
  <c r="M24" i="4"/>
  <c r="E110" i="4"/>
  <c r="J46" i="4"/>
  <c r="J83" i="4" s="1"/>
  <c r="M25" i="4"/>
  <c r="M14" i="4"/>
  <c r="H51" i="4"/>
  <c r="H88" i="4" s="1"/>
  <c r="L21" i="6"/>
  <c r="G122" i="4"/>
  <c r="H59" i="4"/>
  <c r="G83" i="4"/>
  <c r="L24" i="6"/>
  <c r="I47" i="6"/>
  <c r="J51" i="4"/>
  <c r="J88" i="4" s="1"/>
  <c r="J105" i="4"/>
  <c r="J45" i="6"/>
  <c r="M105" i="4"/>
  <c r="M51" i="4"/>
  <c r="M53" i="4" s="1"/>
  <c r="C9" i="3"/>
  <c r="C12" i="3" s="1"/>
  <c r="K105" i="4"/>
  <c r="K51" i="4"/>
  <c r="L47" i="6"/>
  <c r="M110" i="4"/>
  <c r="M16" i="4"/>
  <c r="E105" i="4"/>
  <c r="M11" i="4"/>
  <c r="G110" i="4"/>
  <c r="G24" i="6"/>
  <c r="M47" i="6"/>
  <c r="G12" i="6"/>
  <c r="M12" i="6" s="1"/>
  <c r="M42" i="6"/>
  <c r="M13" i="6"/>
  <c r="G47" i="6"/>
  <c r="L22" i="6"/>
  <c r="G21" i="6"/>
  <c r="F42" i="6"/>
  <c r="I51" i="4"/>
  <c r="I110" i="4"/>
  <c r="I105" i="4"/>
  <c r="M122" i="4"/>
  <c r="M83" i="4"/>
  <c r="M11" i="6"/>
  <c r="J110" i="4"/>
  <c r="J99" i="6"/>
  <c r="I45" i="6"/>
  <c r="L46" i="4"/>
  <c r="M59" i="4" s="1"/>
  <c r="L123" i="4"/>
  <c r="L100" i="4"/>
  <c r="L110" i="4"/>
  <c r="K47" i="6"/>
  <c r="G22" i="6"/>
  <c r="F51" i="4"/>
  <c r="F105" i="4"/>
  <c r="E48" i="6"/>
  <c r="L20" i="6"/>
  <c r="K46" i="4"/>
  <c r="L51" i="4"/>
  <c r="L88" i="4" s="1"/>
  <c r="L105" i="4"/>
  <c r="M13" i="4"/>
  <c r="M18" i="4"/>
  <c r="G51" i="4"/>
  <c r="G53" i="4" s="1"/>
  <c r="G105" i="4"/>
  <c r="F123" i="4"/>
  <c r="F46" i="4"/>
  <c r="F110" i="4"/>
  <c r="F100" i="4"/>
  <c r="J48" i="6"/>
  <c r="I100" i="4"/>
  <c r="I46" i="4"/>
  <c r="N99" i="5"/>
  <c r="P100" i="5" s="1"/>
  <c r="N44" i="4"/>
  <c r="N45" i="5"/>
  <c r="O58" i="5" s="1"/>
  <c r="N45" i="6"/>
  <c r="O36" i="6" s="1"/>
  <c r="N99" i="6"/>
  <c r="P100" i="6" s="1"/>
  <c r="N48" i="6"/>
  <c r="N49" i="4" s="1"/>
  <c r="N104" i="5"/>
  <c r="P105" i="5" s="1"/>
  <c r="N50" i="5"/>
  <c r="O63" i="5" s="1"/>
  <c r="N109" i="5"/>
  <c r="P110" i="5" s="1"/>
  <c r="F621" i="3"/>
  <c r="F898" i="3" s="1"/>
  <c r="F882" i="3"/>
  <c r="H621" i="3"/>
  <c r="H898" i="3" s="1"/>
  <c r="H882" i="3"/>
  <c r="G621" i="3"/>
  <c r="G898" i="3" s="1"/>
  <c r="G882" i="3"/>
  <c r="H345" i="3"/>
  <c r="G866" i="3"/>
  <c r="C13" i="3"/>
  <c r="H276" i="3"/>
  <c r="G858" i="3"/>
  <c r="H22" i="3"/>
  <c r="I22" i="3" s="1"/>
  <c r="H209" i="3"/>
  <c r="H849" i="3" s="1"/>
  <c r="H331" i="3"/>
  <c r="I260" i="3"/>
  <c r="H538" i="3"/>
  <c r="H676" i="3"/>
  <c r="H400" i="3"/>
  <c r="H469" i="3"/>
  <c r="H607" i="3"/>
  <c r="I552" i="3"/>
  <c r="J414" i="3"/>
  <c r="I483" i="3"/>
  <c r="H585" i="3"/>
  <c r="H654" i="3"/>
  <c r="H378" i="3"/>
  <c r="I240" i="3"/>
  <c r="H447" i="3"/>
  <c r="H516" i="3"/>
  <c r="H309" i="3"/>
  <c r="H437" i="3"/>
  <c r="H506" i="3"/>
  <c r="I231" i="3"/>
  <c r="H575" i="3"/>
  <c r="H299" i="3"/>
  <c r="H644" i="3"/>
  <c r="H368" i="3"/>
  <c r="I242" i="3"/>
  <c r="H656" i="3"/>
  <c r="H449" i="3"/>
  <c r="H380" i="3"/>
  <c r="H518" i="3"/>
  <c r="H587" i="3"/>
  <c r="H467" i="3"/>
  <c r="H674" i="3"/>
  <c r="H536" i="3"/>
  <c r="H605" i="3"/>
  <c r="H329" i="3"/>
  <c r="I258" i="3"/>
  <c r="H398" i="3"/>
  <c r="H249" i="3"/>
  <c r="G457" i="3"/>
  <c r="G319" i="3"/>
  <c r="G664" i="3"/>
  <c r="G526" i="3"/>
  <c r="G595" i="3"/>
  <c r="G662" i="3"/>
  <c r="G388" i="3"/>
  <c r="H291" i="3"/>
  <c r="G567" i="3"/>
  <c r="G429" i="3"/>
  <c r="G360" i="3"/>
  <c r="G636" i="3" s="1"/>
  <c r="G498" i="3"/>
  <c r="I20" i="3"/>
  <c r="I21" i="3"/>
  <c r="H18" i="13" l="1"/>
  <c r="H20" i="13"/>
  <c r="E127" i="3" s="1"/>
  <c r="H22" i="13"/>
  <c r="H21" i="13"/>
  <c r="H23" i="13"/>
  <c r="E137" i="3" s="1"/>
  <c r="O101" i="5"/>
  <c r="O111" i="5"/>
  <c r="P101" i="5"/>
  <c r="H19" i="13"/>
  <c r="M105" i="5"/>
  <c r="O105" i="5"/>
  <c r="K88" i="5"/>
  <c r="P111" i="5"/>
  <c r="E20" i="13"/>
  <c r="O110" i="5"/>
  <c r="O100" i="5"/>
  <c r="C18" i="13"/>
  <c r="P106" i="5"/>
  <c r="K514" i="3"/>
  <c r="K307" i="3"/>
  <c r="K534" i="3"/>
  <c r="K256" i="3"/>
  <c r="K465" i="3"/>
  <c r="K603" i="3"/>
  <c r="K445" i="3"/>
  <c r="O640" i="3"/>
  <c r="O58" i="6"/>
  <c r="O650" i="3"/>
  <c r="O670" i="3"/>
  <c r="I474" i="3"/>
  <c r="H543" i="3"/>
  <c r="E53" i="4"/>
  <c r="E76" i="4" s="1"/>
  <c r="D84" i="21"/>
  <c r="D147" i="21" s="1"/>
  <c r="F599" i="22"/>
  <c r="F601" i="22" s="1"/>
  <c r="F89" i="21" s="1"/>
  <c r="F84" i="21" s="1"/>
  <c r="F147" i="21" s="1"/>
  <c r="J874" i="3"/>
  <c r="K414" i="3"/>
  <c r="L443" i="3"/>
  <c r="O443" i="3" s="1"/>
  <c r="L194" i="3"/>
  <c r="L502" i="3"/>
  <c r="O502" i="3" s="1"/>
  <c r="K561" i="3"/>
  <c r="L423" i="3"/>
  <c r="L561" i="3" s="1"/>
  <c r="L512" i="3"/>
  <c r="O512" i="3" s="1"/>
  <c r="K341" i="3"/>
  <c r="L206" i="3"/>
  <c r="K548" i="3"/>
  <c r="K272" i="3"/>
  <c r="K410" i="3"/>
  <c r="K479" i="3"/>
  <c r="K617" i="3"/>
  <c r="L394" i="3"/>
  <c r="O394" i="3" s="1"/>
  <c r="O660" i="3"/>
  <c r="L445" i="3"/>
  <c r="L256" i="3"/>
  <c r="L465" i="3"/>
  <c r="L376" i="3"/>
  <c r="L396" i="3"/>
  <c r="L534" i="3"/>
  <c r="L652" i="3"/>
  <c r="L672" i="3"/>
  <c r="L514" i="3"/>
  <c r="L583" i="3"/>
  <c r="L603" i="3"/>
  <c r="L307" i="3"/>
  <c r="L327" i="3"/>
  <c r="L571" i="3"/>
  <c r="O571" i="3" s="1"/>
  <c r="L581" i="3"/>
  <c r="O581" i="3" s="1"/>
  <c r="I890" i="3"/>
  <c r="L601" i="3"/>
  <c r="O601" i="3" s="1"/>
  <c r="K99" i="6"/>
  <c r="J100" i="6"/>
  <c r="M19" i="6"/>
  <c r="M16" i="6"/>
  <c r="F104" i="6"/>
  <c r="G109" i="6"/>
  <c r="G45" i="6"/>
  <c r="H58" i="6" s="1"/>
  <c r="M101" i="5"/>
  <c r="M23" i="6"/>
  <c r="I64" i="5"/>
  <c r="E45" i="6"/>
  <c r="E82" i="6" s="1"/>
  <c r="G52" i="5"/>
  <c r="G53" i="5" s="1"/>
  <c r="I88" i="5"/>
  <c r="H110" i="5"/>
  <c r="G58" i="5"/>
  <c r="H59" i="5" s="1"/>
  <c r="M100" i="5"/>
  <c r="G82" i="5"/>
  <c r="J84" i="5" s="1"/>
  <c r="M106" i="5"/>
  <c r="M18" i="6"/>
  <c r="H50" i="6"/>
  <c r="H52" i="6" s="1"/>
  <c r="M21" i="6"/>
  <c r="M17" i="6"/>
  <c r="L101" i="4"/>
  <c r="L64" i="5"/>
  <c r="J92" i="5"/>
  <c r="M110" i="5"/>
  <c r="J68" i="5"/>
  <c r="M83" i="5"/>
  <c r="L76" i="5"/>
  <c r="H104" i="6"/>
  <c r="E83" i="4"/>
  <c r="H53" i="4"/>
  <c r="H76" i="4" s="1"/>
  <c r="L99" i="6"/>
  <c r="J53" i="5"/>
  <c r="L100" i="5"/>
  <c r="L88" i="5"/>
  <c r="L58" i="6"/>
  <c r="L82" i="6"/>
  <c r="E122" i="4"/>
  <c r="M111" i="5"/>
  <c r="K65" i="5"/>
  <c r="H100" i="5"/>
  <c r="J101" i="5"/>
  <c r="K111" i="5"/>
  <c r="I110" i="5"/>
  <c r="L89" i="5"/>
  <c r="J88" i="5"/>
  <c r="L84" i="5"/>
  <c r="J83" i="5"/>
  <c r="J89" i="5"/>
  <c r="L83" i="5"/>
  <c r="M59" i="5"/>
  <c r="I101" i="4"/>
  <c r="K110" i="5"/>
  <c r="K100" i="5"/>
  <c r="L59" i="5"/>
  <c r="L60" i="5"/>
  <c r="J59" i="5"/>
  <c r="M63" i="5"/>
  <c r="M52" i="5"/>
  <c r="M87" i="5"/>
  <c r="O89" i="5" s="1"/>
  <c r="K64" i="5"/>
  <c r="K89" i="5"/>
  <c r="K59" i="5"/>
  <c r="M60" i="5"/>
  <c r="E52" i="5"/>
  <c r="E82" i="5"/>
  <c r="K53" i="5"/>
  <c r="K68" i="5"/>
  <c r="K92" i="5"/>
  <c r="G68" i="5"/>
  <c r="G75" i="5"/>
  <c r="J64" i="5"/>
  <c r="L65" i="5"/>
  <c r="K76" i="5"/>
  <c r="L101" i="5"/>
  <c r="J100" i="5"/>
  <c r="I53" i="5"/>
  <c r="I92" i="5"/>
  <c r="I68" i="5"/>
  <c r="H83" i="5"/>
  <c r="I111" i="5"/>
  <c r="G110" i="5"/>
  <c r="K60" i="5"/>
  <c r="I59" i="5"/>
  <c r="L53" i="5"/>
  <c r="L92" i="5"/>
  <c r="L68" i="5"/>
  <c r="L110" i="5"/>
  <c r="E87" i="5"/>
  <c r="F63" i="5"/>
  <c r="K101" i="5"/>
  <c r="L77" i="5"/>
  <c r="J76" i="5"/>
  <c r="H53" i="5"/>
  <c r="H92" i="5"/>
  <c r="H88" i="5"/>
  <c r="K83" i="5"/>
  <c r="M84" i="5"/>
  <c r="L111" i="5"/>
  <c r="J110" i="5"/>
  <c r="I101" i="5"/>
  <c r="G100" i="5"/>
  <c r="F53" i="5"/>
  <c r="F75" i="5"/>
  <c r="F92" i="5"/>
  <c r="J111" i="5"/>
  <c r="I83" i="5"/>
  <c r="K84" i="5"/>
  <c r="M20" i="6"/>
  <c r="L112" i="4"/>
  <c r="M101" i="4"/>
  <c r="J53" i="4"/>
  <c r="J76" i="4" s="1"/>
  <c r="M24" i="6"/>
  <c r="M111" i="4"/>
  <c r="K102" i="4"/>
  <c r="M22" i="6"/>
  <c r="G111" i="4"/>
  <c r="J122" i="4"/>
  <c r="G54" i="4"/>
  <c r="G93" i="4"/>
  <c r="G121" i="4"/>
  <c r="F87" i="6"/>
  <c r="J50" i="6"/>
  <c r="J52" i="6" s="1"/>
  <c r="J104" i="6"/>
  <c r="H64" i="4"/>
  <c r="K88" i="4"/>
  <c r="K64" i="4"/>
  <c r="J109" i="6"/>
  <c r="I104" i="6"/>
  <c r="I50" i="6"/>
  <c r="I52" i="6" s="1"/>
  <c r="I109" i="6"/>
  <c r="I122" i="4"/>
  <c r="I59" i="4"/>
  <c r="I53" i="4"/>
  <c r="F59" i="4"/>
  <c r="F122" i="4"/>
  <c r="F53" i="4"/>
  <c r="F76" i="4" s="1"/>
  <c r="K122" i="4"/>
  <c r="K59" i="4"/>
  <c r="K53" i="4"/>
  <c r="K83" i="4"/>
  <c r="I58" i="6"/>
  <c r="L111" i="4"/>
  <c r="F83" i="4"/>
  <c r="F99" i="6"/>
  <c r="F109" i="6"/>
  <c r="F45" i="6"/>
  <c r="K112" i="4"/>
  <c r="I111" i="4"/>
  <c r="G82" i="6"/>
  <c r="M106" i="4"/>
  <c r="J58" i="6"/>
  <c r="J82" i="6"/>
  <c r="K101" i="4"/>
  <c r="M102" i="4"/>
  <c r="L102" i="4"/>
  <c r="J101" i="4"/>
  <c r="J59" i="4"/>
  <c r="E50" i="6"/>
  <c r="E104" i="6"/>
  <c r="E109" i="6"/>
  <c r="M107" i="4"/>
  <c r="K106" i="4"/>
  <c r="M109" i="6"/>
  <c r="M45" i="6"/>
  <c r="N58" i="6" s="1"/>
  <c r="M99" i="6"/>
  <c r="O100" i="6" s="1"/>
  <c r="K58" i="6"/>
  <c r="J106" i="4"/>
  <c r="M76" i="4"/>
  <c r="M64" i="4"/>
  <c r="M88" i="4"/>
  <c r="L106" i="4"/>
  <c r="H111" i="4"/>
  <c r="J112" i="4"/>
  <c r="G64" i="4"/>
  <c r="G76" i="4"/>
  <c r="G88" i="4"/>
  <c r="F88" i="4"/>
  <c r="F64" i="4"/>
  <c r="K104" i="6"/>
  <c r="K50" i="6"/>
  <c r="K109" i="6"/>
  <c r="L53" i="4"/>
  <c r="L122" i="4"/>
  <c r="L59" i="4"/>
  <c r="L83" i="4"/>
  <c r="I64" i="4"/>
  <c r="I88" i="4"/>
  <c r="G50" i="6"/>
  <c r="G104" i="6"/>
  <c r="M50" i="6"/>
  <c r="M104" i="6"/>
  <c r="G106" i="4"/>
  <c r="I107" i="4"/>
  <c r="L64" i="4"/>
  <c r="J102" i="4"/>
  <c r="H101" i="4"/>
  <c r="G101" i="4"/>
  <c r="I102" i="4"/>
  <c r="K107" i="4"/>
  <c r="I106" i="4"/>
  <c r="I82" i="6"/>
  <c r="H106" i="4"/>
  <c r="J107" i="4"/>
  <c r="M121" i="4"/>
  <c r="M54" i="4"/>
  <c r="M93" i="4"/>
  <c r="K111" i="4"/>
  <c r="M112" i="4"/>
  <c r="J111" i="4"/>
  <c r="E54" i="4"/>
  <c r="E121" i="4"/>
  <c r="E93" i="4"/>
  <c r="I83" i="4"/>
  <c r="L104" i="6"/>
  <c r="L50" i="6"/>
  <c r="L109" i="6"/>
  <c r="I100" i="6"/>
  <c r="L107" i="4"/>
  <c r="I112" i="4"/>
  <c r="J64" i="4"/>
  <c r="G59" i="4"/>
  <c r="N82" i="5"/>
  <c r="O84" i="5" s="1"/>
  <c r="N58" i="5"/>
  <c r="P59" i="5" s="1"/>
  <c r="D6" i="3"/>
  <c r="D8" i="3" s="1"/>
  <c r="N46" i="4"/>
  <c r="N100" i="4"/>
  <c r="R101" i="6"/>
  <c r="N100" i="5"/>
  <c r="N101" i="5"/>
  <c r="Q101" i="5"/>
  <c r="R101" i="5"/>
  <c r="N82" i="6"/>
  <c r="P83" i="6" s="1"/>
  <c r="N87" i="5"/>
  <c r="N63" i="5"/>
  <c r="N52" i="5"/>
  <c r="N50" i="6"/>
  <c r="N104" i="6"/>
  <c r="P105" i="6" s="1"/>
  <c r="N109" i="6"/>
  <c r="P110" i="6" s="1"/>
  <c r="N51" i="4"/>
  <c r="N105" i="4"/>
  <c r="N110" i="4"/>
  <c r="D10" i="3"/>
  <c r="D12" i="3" s="1"/>
  <c r="Q106" i="5"/>
  <c r="N105" i="5"/>
  <c r="R106" i="5"/>
  <c r="N106" i="5"/>
  <c r="N111" i="5"/>
  <c r="N110" i="5"/>
  <c r="I345" i="3"/>
  <c r="H866" i="3"/>
  <c r="I621" i="3"/>
  <c r="I882" i="3"/>
  <c r="I276" i="3"/>
  <c r="H858" i="3"/>
  <c r="I209" i="3"/>
  <c r="J258" i="3"/>
  <c r="I674" i="3"/>
  <c r="I536" i="3"/>
  <c r="I605" i="3"/>
  <c r="I329" i="3"/>
  <c r="I398" i="3"/>
  <c r="I467" i="3"/>
  <c r="I506" i="3"/>
  <c r="I575" i="3"/>
  <c r="I299" i="3"/>
  <c r="I644" i="3"/>
  <c r="I368" i="3"/>
  <c r="J231" i="3"/>
  <c r="I437" i="3"/>
  <c r="I291" i="3"/>
  <c r="H498" i="3"/>
  <c r="H567" i="3"/>
  <c r="H429" i="3"/>
  <c r="H360" i="3"/>
  <c r="H636" i="3" s="1"/>
  <c r="H664" i="3"/>
  <c r="H526" i="3"/>
  <c r="I249" i="3"/>
  <c r="H595" i="3"/>
  <c r="H662" i="3"/>
  <c r="H388" i="3"/>
  <c r="H457" i="3"/>
  <c r="H319" i="3"/>
  <c r="I654" i="3"/>
  <c r="I378" i="3"/>
  <c r="I447" i="3"/>
  <c r="I516" i="3"/>
  <c r="I309" i="3"/>
  <c r="J240" i="3"/>
  <c r="I585" i="3"/>
  <c r="I469" i="3"/>
  <c r="I400" i="3"/>
  <c r="I538" i="3"/>
  <c r="J260" i="3"/>
  <c r="I676" i="3"/>
  <c r="I331" i="3"/>
  <c r="I607" i="3"/>
  <c r="J20" i="3"/>
  <c r="I656" i="3"/>
  <c r="I380" i="3"/>
  <c r="J242" i="3"/>
  <c r="I518" i="3"/>
  <c r="I449" i="3"/>
  <c r="I587" i="3"/>
  <c r="J552" i="3"/>
  <c r="J483" i="3"/>
  <c r="J21" i="3"/>
  <c r="J22" i="3"/>
  <c r="O111" i="6" l="1"/>
  <c r="M64" i="5"/>
  <c r="O64" i="5"/>
  <c r="P111" i="6"/>
  <c r="P60" i="5"/>
  <c r="O59" i="5"/>
  <c r="N75" i="5"/>
  <c r="O68" i="5"/>
  <c r="O105" i="6"/>
  <c r="O106" i="6"/>
  <c r="O110" i="6"/>
  <c r="M89" i="5"/>
  <c r="O88" i="5"/>
  <c r="L101" i="6"/>
  <c r="P101" i="6"/>
  <c r="K100" i="6"/>
  <c r="O101" i="6"/>
  <c r="G18" i="13"/>
  <c r="E18" i="13"/>
  <c r="G23" i="13"/>
  <c r="E136" i="3" s="1"/>
  <c r="G22" i="13"/>
  <c r="G19" i="13"/>
  <c r="G21" i="13"/>
  <c r="G20" i="13"/>
  <c r="E126" i="3" s="1"/>
  <c r="P83" i="5"/>
  <c r="O83" i="5"/>
  <c r="P106" i="6"/>
  <c r="O65" i="5"/>
  <c r="P84" i="5"/>
  <c r="O60" i="5"/>
  <c r="P59" i="6"/>
  <c r="R60" i="6"/>
  <c r="N63" i="6"/>
  <c r="O63" i="6"/>
  <c r="S60" i="6"/>
  <c r="Q59" i="6"/>
  <c r="J474" i="3"/>
  <c r="I543" i="3"/>
  <c r="G84" i="4"/>
  <c r="J121" i="4"/>
  <c r="J54" i="4"/>
  <c r="K101" i="6"/>
  <c r="J93" i="4"/>
  <c r="G89" i="21"/>
  <c r="G84" i="21" s="1"/>
  <c r="G599" i="22"/>
  <c r="G601" i="22" s="1"/>
  <c r="G147" i="21"/>
  <c r="AC147" i="21" s="1"/>
  <c r="K601" i="22"/>
  <c r="K21" i="3"/>
  <c r="I849" i="3"/>
  <c r="I898" i="3"/>
  <c r="L617" i="3"/>
  <c r="L548" i="3"/>
  <c r="L479" i="3"/>
  <c r="L272" i="3"/>
  <c r="L410" i="3"/>
  <c r="L341" i="3"/>
  <c r="O206" i="3"/>
  <c r="K20" i="3"/>
  <c r="K260" i="3"/>
  <c r="O194" i="3"/>
  <c r="L414" i="3"/>
  <c r="K483" i="3"/>
  <c r="K552" i="3"/>
  <c r="K890" i="3" s="1"/>
  <c r="K874" i="3"/>
  <c r="J890" i="3"/>
  <c r="K242" i="3"/>
  <c r="K240" i="3"/>
  <c r="K231" i="3"/>
  <c r="K258" i="3"/>
  <c r="K22" i="3"/>
  <c r="H105" i="6"/>
  <c r="N100" i="6"/>
  <c r="G58" i="6"/>
  <c r="K60" i="6" s="1"/>
  <c r="H87" i="6"/>
  <c r="E75" i="5"/>
  <c r="E53" i="5"/>
  <c r="G92" i="5"/>
  <c r="I93" i="5" s="1"/>
  <c r="H68" i="5"/>
  <c r="J69" i="5" s="1"/>
  <c r="L93" i="5"/>
  <c r="L69" i="5"/>
  <c r="M88" i="5"/>
  <c r="J60" i="5"/>
  <c r="H69" i="4"/>
  <c r="L83" i="6"/>
  <c r="L100" i="6"/>
  <c r="H93" i="4"/>
  <c r="H121" i="4"/>
  <c r="H54" i="4"/>
  <c r="G89" i="4"/>
  <c r="H64" i="5"/>
  <c r="J65" i="5"/>
  <c r="K93" i="5"/>
  <c r="I76" i="5"/>
  <c r="K77" i="5"/>
  <c r="E92" i="5"/>
  <c r="M53" i="5"/>
  <c r="M68" i="5"/>
  <c r="O70" i="5" s="1"/>
  <c r="M92" i="5"/>
  <c r="J60" i="4"/>
  <c r="F68" i="5"/>
  <c r="I89" i="5"/>
  <c r="G88" i="5"/>
  <c r="M69" i="5"/>
  <c r="M65" i="5"/>
  <c r="M75" i="5"/>
  <c r="I77" i="5"/>
  <c r="G76" i="5"/>
  <c r="D13" i="3"/>
  <c r="I90" i="4"/>
  <c r="J77" i="5"/>
  <c r="H76" i="5"/>
  <c r="J93" i="5"/>
  <c r="L94" i="5"/>
  <c r="K69" i="5"/>
  <c r="I84" i="5"/>
  <c r="G83" i="5"/>
  <c r="Q101" i="6"/>
  <c r="N101" i="6"/>
  <c r="J110" i="6"/>
  <c r="J69" i="4"/>
  <c r="L65" i="4"/>
  <c r="L61" i="4"/>
  <c r="I110" i="6"/>
  <c r="L106" i="6"/>
  <c r="K111" i="6"/>
  <c r="I76" i="4"/>
  <c r="J78" i="4" s="1"/>
  <c r="M89" i="4"/>
  <c r="L111" i="6"/>
  <c r="J84" i="4"/>
  <c r="M85" i="4"/>
  <c r="L85" i="4"/>
  <c r="K84" i="4"/>
  <c r="I105" i="6"/>
  <c r="K106" i="6"/>
  <c r="L54" i="4"/>
  <c r="L121" i="4"/>
  <c r="L69" i="4"/>
  <c r="L93" i="4"/>
  <c r="H77" i="4"/>
  <c r="M58" i="6"/>
  <c r="P60" i="6" s="1"/>
  <c r="M52" i="6"/>
  <c r="M82" i="6"/>
  <c r="P84" i="6" s="1"/>
  <c r="E87" i="6"/>
  <c r="E52" i="6"/>
  <c r="H53" i="6"/>
  <c r="H92" i="6"/>
  <c r="I84" i="4"/>
  <c r="J53" i="6"/>
  <c r="J68" i="6"/>
  <c r="J92" i="6"/>
  <c r="J85" i="4"/>
  <c r="H84" i="4"/>
  <c r="M84" i="4"/>
  <c r="L84" i="4"/>
  <c r="F69" i="4"/>
  <c r="F54" i="4"/>
  <c r="F121" i="4"/>
  <c r="F93" i="4"/>
  <c r="G94" i="4" s="1"/>
  <c r="K105" i="6"/>
  <c r="M106" i="6"/>
  <c r="J63" i="6"/>
  <c r="J75" i="6"/>
  <c r="J87" i="6"/>
  <c r="J105" i="6"/>
  <c r="J106" i="6"/>
  <c r="G63" i="6"/>
  <c r="G87" i="6"/>
  <c r="M110" i="6"/>
  <c r="H65" i="4"/>
  <c r="J66" i="4"/>
  <c r="I65" i="4"/>
  <c r="K66" i="4"/>
  <c r="I85" i="4"/>
  <c r="H75" i="6"/>
  <c r="K85" i="4"/>
  <c r="G52" i="6"/>
  <c r="F58" i="6"/>
  <c r="F52" i="6"/>
  <c r="F82" i="6"/>
  <c r="K121" i="4"/>
  <c r="K69" i="4"/>
  <c r="K54" i="4"/>
  <c r="K93" i="4"/>
  <c r="I121" i="4"/>
  <c r="I69" i="4"/>
  <c r="I54" i="4"/>
  <c r="I93" i="4"/>
  <c r="L110" i="6"/>
  <c r="L89" i="4"/>
  <c r="L63" i="6"/>
  <c r="L52" i="6"/>
  <c r="L75" i="6" s="1"/>
  <c r="L87" i="6"/>
  <c r="M69" i="4"/>
  <c r="K83" i="6"/>
  <c r="J83" i="6"/>
  <c r="L84" i="6"/>
  <c r="L76" i="4"/>
  <c r="M90" i="4"/>
  <c r="K89" i="4"/>
  <c r="L90" i="4"/>
  <c r="J89" i="4"/>
  <c r="K63" i="6"/>
  <c r="K87" i="6"/>
  <c r="K52" i="6"/>
  <c r="H89" i="4"/>
  <c r="J90" i="4"/>
  <c r="G110" i="6"/>
  <c r="I111" i="6"/>
  <c r="H63" i="6"/>
  <c r="I83" i="6"/>
  <c r="K84" i="6"/>
  <c r="H110" i="6"/>
  <c r="J111" i="6"/>
  <c r="K59" i="6"/>
  <c r="M60" i="4"/>
  <c r="H60" i="4"/>
  <c r="J61" i="4"/>
  <c r="M61" i="4"/>
  <c r="K60" i="4"/>
  <c r="K110" i="6"/>
  <c r="M111" i="6"/>
  <c r="K76" i="4"/>
  <c r="L66" i="4"/>
  <c r="J65" i="4"/>
  <c r="I60" i="4"/>
  <c r="K61" i="4"/>
  <c r="G77" i="4"/>
  <c r="M63" i="6"/>
  <c r="O64" i="6" s="1"/>
  <c r="M87" i="6"/>
  <c r="M66" i="4"/>
  <c r="K65" i="4"/>
  <c r="M105" i="6"/>
  <c r="K90" i="4"/>
  <c r="I89" i="4"/>
  <c r="M101" i="6"/>
  <c r="M100" i="6"/>
  <c r="G105" i="6"/>
  <c r="I106" i="6"/>
  <c r="L60" i="4"/>
  <c r="L59" i="6"/>
  <c r="J59" i="6"/>
  <c r="L60" i="6"/>
  <c r="H100" i="6"/>
  <c r="G100" i="6"/>
  <c r="J101" i="6"/>
  <c r="I101" i="6"/>
  <c r="I68" i="6"/>
  <c r="I53" i="6"/>
  <c r="I92" i="6"/>
  <c r="I87" i="6"/>
  <c r="I63" i="6"/>
  <c r="I75" i="6"/>
  <c r="M65" i="4"/>
  <c r="L105" i="6"/>
  <c r="F63" i="6"/>
  <c r="G69" i="4"/>
  <c r="R84" i="6"/>
  <c r="N102" i="4"/>
  <c r="N101" i="4"/>
  <c r="N60" i="5"/>
  <c r="N59" i="5"/>
  <c r="N59" i="4"/>
  <c r="N83" i="4"/>
  <c r="N122" i="4"/>
  <c r="N127" i="4" s="1"/>
  <c r="R84" i="5"/>
  <c r="N84" i="5"/>
  <c r="Q84" i="5"/>
  <c r="N83" i="5"/>
  <c r="N112" i="4"/>
  <c r="N111" i="4"/>
  <c r="N106" i="6"/>
  <c r="R106" i="6"/>
  <c r="Q106" i="6"/>
  <c r="N105" i="6"/>
  <c r="N64" i="5"/>
  <c r="N65" i="5"/>
  <c r="N110" i="6"/>
  <c r="N111" i="6"/>
  <c r="N106" i="4"/>
  <c r="N107" i="4"/>
  <c r="N52" i="6"/>
  <c r="N87" i="6"/>
  <c r="P88" i="6" s="1"/>
  <c r="N53" i="4"/>
  <c r="N76" i="4" s="1"/>
  <c r="N64" i="4"/>
  <c r="N88" i="4"/>
  <c r="N53" i="5"/>
  <c r="N92" i="5"/>
  <c r="N68" i="5"/>
  <c r="N89" i="5"/>
  <c r="N88" i="5"/>
  <c r="J621" i="3"/>
  <c r="J882" i="3"/>
  <c r="J345" i="3"/>
  <c r="I866" i="3"/>
  <c r="J276" i="3"/>
  <c r="I858" i="3"/>
  <c r="J209" i="3"/>
  <c r="I595" i="3"/>
  <c r="I662" i="3"/>
  <c r="I388" i="3"/>
  <c r="J249" i="3"/>
  <c r="I457" i="3"/>
  <c r="I319" i="3"/>
  <c r="I664" i="3"/>
  <c r="I526" i="3"/>
  <c r="J575" i="3"/>
  <c r="J299" i="3"/>
  <c r="J644" i="3"/>
  <c r="J368" i="3"/>
  <c r="J437" i="3"/>
  <c r="J506" i="3"/>
  <c r="J605" i="3"/>
  <c r="J329" i="3"/>
  <c r="J398" i="3"/>
  <c r="J467" i="3"/>
  <c r="J674" i="3"/>
  <c r="J536" i="3"/>
  <c r="J449" i="3"/>
  <c r="J380" i="3"/>
  <c r="J656" i="3"/>
  <c r="J518" i="3"/>
  <c r="J587" i="3"/>
  <c r="J538" i="3"/>
  <c r="J676" i="3"/>
  <c r="J469" i="3"/>
  <c r="J607" i="3"/>
  <c r="J331" i="3"/>
  <c r="J400" i="3"/>
  <c r="J447" i="3"/>
  <c r="J516" i="3"/>
  <c r="J309" i="3"/>
  <c r="J585" i="3"/>
  <c r="J654" i="3"/>
  <c r="J378" i="3"/>
  <c r="I498" i="3"/>
  <c r="I360" i="3"/>
  <c r="I636" i="3" s="1"/>
  <c r="J291" i="3"/>
  <c r="I567" i="3"/>
  <c r="I429" i="3"/>
  <c r="P89" i="6" l="1"/>
  <c r="D91" i="40"/>
  <c r="O89" i="6"/>
  <c r="O94" i="5"/>
  <c r="M83" i="6"/>
  <c r="O83" i="6"/>
  <c r="M94" i="5"/>
  <c r="O93" i="5"/>
  <c r="I18" i="13"/>
  <c r="I22" i="13"/>
  <c r="I23" i="13"/>
  <c r="I19" i="13"/>
  <c r="I21" i="13"/>
  <c r="I20" i="13"/>
  <c r="O88" i="6"/>
  <c r="O76" i="5"/>
  <c r="O77" i="5"/>
  <c r="M70" i="5"/>
  <c r="O69" i="5"/>
  <c r="J94" i="5"/>
  <c r="O84" i="6"/>
  <c r="N75" i="6"/>
  <c r="P76" i="6" s="1"/>
  <c r="N68" i="6"/>
  <c r="O68" i="6"/>
  <c r="O65" i="6"/>
  <c r="P65" i="6"/>
  <c r="N64" i="6"/>
  <c r="Q64" i="6"/>
  <c r="S65" i="6"/>
  <c r="N65" i="6"/>
  <c r="P64" i="6"/>
  <c r="R65" i="6"/>
  <c r="M59" i="6"/>
  <c r="O59" i="6"/>
  <c r="O60" i="6"/>
  <c r="N59" i="6"/>
  <c r="N60" i="6"/>
  <c r="J543" i="3"/>
  <c r="K474" i="3"/>
  <c r="K95" i="4"/>
  <c r="I91" i="40"/>
  <c r="H599" i="22"/>
  <c r="H601" i="22" s="1"/>
  <c r="L483" i="3"/>
  <c r="L552" i="3"/>
  <c r="L874" i="3"/>
  <c r="O414" i="3"/>
  <c r="J858" i="3"/>
  <c r="K276" i="3"/>
  <c r="J898" i="3"/>
  <c r="L22" i="3"/>
  <c r="L242" i="3"/>
  <c r="K380" i="3"/>
  <c r="K656" i="3"/>
  <c r="K518" i="3"/>
  <c r="K449" i="3"/>
  <c r="K587" i="3"/>
  <c r="O874" i="3"/>
  <c r="L20" i="3"/>
  <c r="K291" i="3"/>
  <c r="K249" i="3"/>
  <c r="K467" i="3"/>
  <c r="K605" i="3"/>
  <c r="K674" i="3"/>
  <c r="K398" i="3"/>
  <c r="K536" i="3"/>
  <c r="K329" i="3"/>
  <c r="L258" i="3"/>
  <c r="L231" i="3"/>
  <c r="K437" i="3"/>
  <c r="K299" i="3"/>
  <c r="K506" i="3"/>
  <c r="K575" i="3"/>
  <c r="K644" i="3"/>
  <c r="K368" i="3"/>
  <c r="L21" i="3"/>
  <c r="J849" i="3"/>
  <c r="K209" i="3"/>
  <c r="J866" i="3"/>
  <c r="K345" i="3"/>
  <c r="L240" i="3"/>
  <c r="K309" i="3"/>
  <c r="K585" i="3"/>
  <c r="K447" i="3"/>
  <c r="K516" i="3"/>
  <c r="K378" i="3"/>
  <c r="K654" i="3"/>
  <c r="K882" i="3"/>
  <c r="K621" i="3"/>
  <c r="K898" i="3" s="1"/>
  <c r="K331" i="3"/>
  <c r="L260" i="3"/>
  <c r="K607" i="3"/>
  <c r="K400" i="3"/>
  <c r="K676" i="3"/>
  <c r="K469" i="3"/>
  <c r="K538" i="3"/>
  <c r="I59" i="6"/>
  <c r="H88" i="6"/>
  <c r="I69" i="5"/>
  <c r="K70" i="5"/>
  <c r="L70" i="5"/>
  <c r="K94" i="5"/>
  <c r="H93" i="5"/>
  <c r="O53" i="5"/>
  <c r="Q84" i="6"/>
  <c r="M93" i="5"/>
  <c r="J70" i="5"/>
  <c r="H69" i="5"/>
  <c r="M76" i="5"/>
  <c r="M77" i="5"/>
  <c r="G93" i="5"/>
  <c r="I94" i="5"/>
  <c r="N76" i="5"/>
  <c r="L77" i="4"/>
  <c r="N77" i="5"/>
  <c r="M84" i="6"/>
  <c r="N83" i="6"/>
  <c r="N84" i="6"/>
  <c r="J77" i="4"/>
  <c r="L71" i="4"/>
  <c r="L70" i="4"/>
  <c r="L78" i="4"/>
  <c r="M77" i="4"/>
  <c r="I77" i="4"/>
  <c r="I78" i="4"/>
  <c r="M94" i="4"/>
  <c r="I95" i="4"/>
  <c r="J89" i="6"/>
  <c r="L89" i="6"/>
  <c r="K71" i="4"/>
  <c r="I70" i="4"/>
  <c r="G53" i="6"/>
  <c r="G68" i="6"/>
  <c r="G92" i="6"/>
  <c r="L64" i="6"/>
  <c r="E53" i="6"/>
  <c r="E92" i="6"/>
  <c r="M53" i="6"/>
  <c r="M68" i="6"/>
  <c r="M92" i="6"/>
  <c r="M88" i="6"/>
  <c r="K94" i="4"/>
  <c r="M95" i="4"/>
  <c r="H83" i="6"/>
  <c r="J84" i="6"/>
  <c r="I84" i="6"/>
  <c r="G83" i="6"/>
  <c r="G75" i="6"/>
  <c r="J93" i="6"/>
  <c r="E75" i="6"/>
  <c r="Q60" i="6"/>
  <c r="J65" i="6"/>
  <c r="H64" i="6"/>
  <c r="M65" i="6"/>
  <c r="K64" i="6"/>
  <c r="M75" i="6"/>
  <c r="M60" i="6"/>
  <c r="M64" i="6"/>
  <c r="J94" i="4"/>
  <c r="L53" i="6"/>
  <c r="L68" i="6"/>
  <c r="L92" i="6"/>
  <c r="I94" i="4"/>
  <c r="F53" i="6"/>
  <c r="F68" i="6"/>
  <c r="F92" i="6"/>
  <c r="F75" i="6"/>
  <c r="J76" i="6"/>
  <c r="K89" i="6"/>
  <c r="I88" i="6"/>
  <c r="L88" i="6"/>
  <c r="J71" i="4"/>
  <c r="H70" i="4"/>
  <c r="H68" i="6"/>
  <c r="I89" i="6"/>
  <c r="G88" i="6"/>
  <c r="M78" i="4"/>
  <c r="K53" i="6"/>
  <c r="K68" i="6"/>
  <c r="N70" i="6" s="1"/>
  <c r="K92" i="6"/>
  <c r="K88" i="6"/>
  <c r="M89" i="6"/>
  <c r="J88" i="6"/>
  <c r="Q65" i="6"/>
  <c r="L65" i="6"/>
  <c r="J64" i="6"/>
  <c r="K75" i="6"/>
  <c r="O77" i="6" s="1"/>
  <c r="L95" i="4"/>
  <c r="M71" i="4"/>
  <c r="K70" i="4"/>
  <c r="M70" i="4"/>
  <c r="J60" i="6"/>
  <c r="H59" i="6"/>
  <c r="I64" i="6"/>
  <c r="K65" i="6"/>
  <c r="L94" i="4"/>
  <c r="J95" i="4"/>
  <c r="H94" i="4"/>
  <c r="K78" i="4"/>
  <c r="K77" i="4"/>
  <c r="J70" i="4"/>
  <c r="N84" i="4"/>
  <c r="N85" i="4"/>
  <c r="N61" i="4"/>
  <c r="N60" i="4"/>
  <c r="O45" i="4"/>
  <c r="Q45" i="6"/>
  <c r="N78" i="4"/>
  <c r="N77" i="4"/>
  <c r="N69" i="5"/>
  <c r="N70" i="5"/>
  <c r="N65" i="4"/>
  <c r="N66" i="4"/>
  <c r="O50" i="4"/>
  <c r="N90" i="4"/>
  <c r="N89" i="4"/>
  <c r="R89" i="6"/>
  <c r="N88" i="6"/>
  <c r="Q89" i="6"/>
  <c r="N89" i="6"/>
  <c r="N94" i="5"/>
  <c r="N93" i="5"/>
  <c r="N69" i="4"/>
  <c r="N93" i="4"/>
  <c r="N121" i="4"/>
  <c r="N126" i="4" s="1"/>
  <c r="N92" i="6"/>
  <c r="P93" i="6" s="1"/>
  <c r="N53" i="6"/>
  <c r="J567" i="3"/>
  <c r="J429" i="3"/>
  <c r="J498" i="3"/>
  <c r="J360" i="3"/>
  <c r="J662" i="3"/>
  <c r="J388" i="3"/>
  <c r="J457" i="3"/>
  <c r="J319" i="3"/>
  <c r="J664" i="3"/>
  <c r="J526" i="3"/>
  <c r="J595" i="3"/>
  <c r="K93" i="6" l="1"/>
  <c r="O94" i="6"/>
  <c r="N76" i="6"/>
  <c r="O76" i="6"/>
  <c r="O93" i="6"/>
  <c r="J91" i="40"/>
  <c r="J86" i="40" s="1"/>
  <c r="E91" i="40"/>
  <c r="P69" i="6"/>
  <c r="P94" i="6"/>
  <c r="P77" i="6"/>
  <c r="N69" i="6"/>
  <c r="P70" i="6"/>
  <c r="O70" i="6"/>
  <c r="O69" i="6"/>
  <c r="K543" i="3"/>
  <c r="L474" i="3"/>
  <c r="L543" i="3" s="1"/>
  <c r="J599" i="22"/>
  <c r="J601" i="22" s="1"/>
  <c r="I599" i="22"/>
  <c r="I601" i="22" s="1"/>
  <c r="F91" i="40" s="1"/>
  <c r="I86" i="40"/>
  <c r="L516" i="3"/>
  <c r="O516" i="3" s="1"/>
  <c r="L654" i="3"/>
  <c r="L585" i="3"/>
  <c r="L309" i="3"/>
  <c r="L447" i="3"/>
  <c r="O447" i="3" s="1"/>
  <c r="L378" i="3"/>
  <c r="L398" i="3"/>
  <c r="L329" i="3"/>
  <c r="L536" i="3"/>
  <c r="O536" i="3" s="1"/>
  <c r="L674" i="3"/>
  <c r="O674" i="3" s="1"/>
  <c r="L605" i="3"/>
  <c r="L467" i="3"/>
  <c r="O467" i="3" s="1"/>
  <c r="L587" i="3"/>
  <c r="L518" i="3"/>
  <c r="L656" i="3"/>
  <c r="L380" i="3"/>
  <c r="L449" i="3"/>
  <c r="L621" i="3"/>
  <c r="L882" i="3"/>
  <c r="O483" i="3"/>
  <c r="L676" i="3"/>
  <c r="L607" i="3"/>
  <c r="L538" i="3"/>
  <c r="L469" i="3"/>
  <c r="L331" i="3"/>
  <c r="L400" i="3"/>
  <c r="L209" i="3"/>
  <c r="K849" i="3"/>
  <c r="L291" i="3"/>
  <c r="K360" i="3"/>
  <c r="K636" i="3" s="1"/>
  <c r="K429" i="3"/>
  <c r="K567" i="3"/>
  <c r="K498" i="3"/>
  <c r="J636" i="3"/>
  <c r="L345" i="3"/>
  <c r="L866" i="3" s="1"/>
  <c r="K866" i="3"/>
  <c r="K388" i="3"/>
  <c r="K526" i="3"/>
  <c r="K319" i="3"/>
  <c r="K662" i="3"/>
  <c r="K664" i="3"/>
  <c r="L249" i="3"/>
  <c r="K457" i="3"/>
  <c r="K595" i="3"/>
  <c r="L368" i="3"/>
  <c r="L299" i="3"/>
  <c r="L506" i="3"/>
  <c r="O506" i="3" s="1"/>
  <c r="L575" i="3"/>
  <c r="O575" i="3" s="1"/>
  <c r="L644" i="3"/>
  <c r="L437" i="3"/>
  <c r="O437" i="3" s="1"/>
  <c r="O398" i="3"/>
  <c r="L276" i="3"/>
  <c r="L858" i="3" s="1"/>
  <c r="K858" i="3"/>
  <c r="L890" i="3"/>
  <c r="O552" i="3"/>
  <c r="O209" i="3"/>
  <c r="N77" i="6"/>
  <c r="M76" i="6"/>
  <c r="L76" i="6"/>
  <c r="L94" i="6"/>
  <c r="L93" i="6"/>
  <c r="L77" i="6"/>
  <c r="M94" i="6"/>
  <c r="M69" i="6"/>
  <c r="J70" i="6"/>
  <c r="H69" i="6"/>
  <c r="I69" i="6"/>
  <c r="K70" i="6"/>
  <c r="J69" i="6"/>
  <c r="L70" i="6"/>
  <c r="L69" i="6"/>
  <c r="H76" i="6"/>
  <c r="J77" i="6"/>
  <c r="I77" i="6"/>
  <c r="G76" i="6"/>
  <c r="K77" i="6"/>
  <c r="I76" i="6"/>
  <c r="M77" i="6"/>
  <c r="K69" i="6"/>
  <c r="M70" i="6"/>
  <c r="M93" i="6"/>
  <c r="J94" i="6"/>
  <c r="H93" i="6"/>
  <c r="K76" i="6"/>
  <c r="G93" i="6"/>
  <c r="I94" i="6"/>
  <c r="I93" i="6"/>
  <c r="K94" i="6"/>
  <c r="R45" i="6"/>
  <c r="Q44" i="6"/>
  <c r="P45" i="4"/>
  <c r="E7" i="3"/>
  <c r="E29" i="3" s="1"/>
  <c r="E51" i="3" s="1"/>
  <c r="E73" i="3" s="1"/>
  <c r="O43" i="4"/>
  <c r="N70" i="4"/>
  <c r="N71" i="4"/>
  <c r="E11" i="3"/>
  <c r="E33" i="3" s="1"/>
  <c r="E55" i="3" s="1"/>
  <c r="E77" i="3" s="1"/>
  <c r="N94" i="6"/>
  <c r="N93" i="6"/>
  <c r="N95" i="4"/>
  <c r="N94" i="4"/>
  <c r="Q50" i="6"/>
  <c r="L91" i="40" l="1"/>
  <c r="G91" i="40"/>
  <c r="L601" i="22"/>
  <c r="L558" i="22" s="1"/>
  <c r="O866" i="3"/>
  <c r="F32" i="6"/>
  <c r="Q42" i="6"/>
  <c r="I150" i="40"/>
  <c r="J150" i="40"/>
  <c r="K91" i="40"/>
  <c r="L86" i="40"/>
  <c r="L898" i="3"/>
  <c r="O605" i="3"/>
  <c r="O890" i="3"/>
  <c r="L319" i="3"/>
  <c r="L664" i="3"/>
  <c r="O664" i="3" s="1"/>
  <c r="L595" i="3"/>
  <c r="L526" i="3"/>
  <c r="L662" i="3"/>
  <c r="L457" i="3"/>
  <c r="L388" i="3"/>
  <c r="O388" i="3" s="1"/>
  <c r="L429" i="3"/>
  <c r="L498" i="3"/>
  <c r="L360" i="3"/>
  <c r="L636" i="3" s="1"/>
  <c r="L567" i="3"/>
  <c r="O858" i="3"/>
  <c r="O621" i="3"/>
  <c r="L849" i="3"/>
  <c r="O882" i="3"/>
  <c r="O44" i="4"/>
  <c r="O100" i="4" s="1"/>
  <c r="E117" i="3"/>
  <c r="E95" i="3"/>
  <c r="E5" i="3"/>
  <c r="E27" i="3" s="1"/>
  <c r="O123" i="4"/>
  <c r="F7" i="3"/>
  <c r="V7" i="3" s="1"/>
  <c r="W20" i="3" s="1"/>
  <c r="P43" i="4"/>
  <c r="S45" i="6"/>
  <c r="R44" i="6"/>
  <c r="P48" i="4"/>
  <c r="Q49" i="6"/>
  <c r="Q47" i="6" s="1"/>
  <c r="Q52" i="6"/>
  <c r="Q68" i="6" s="1"/>
  <c r="R50" i="6"/>
  <c r="O48" i="4"/>
  <c r="E121" i="3"/>
  <c r="E99" i="3"/>
  <c r="F33" i="6" l="1"/>
  <c r="M91" i="40"/>
  <c r="M86" i="40" s="1"/>
  <c r="K86" i="40"/>
  <c r="K150" i="40" s="1"/>
  <c r="Q70" i="6"/>
  <c r="L150" i="40"/>
  <c r="O898" i="3"/>
  <c r="O595" i="3"/>
  <c r="O849" i="3"/>
  <c r="O457" i="3"/>
  <c r="O662" i="3"/>
  <c r="O526" i="3"/>
  <c r="P49" i="4"/>
  <c r="P105" i="4" s="1"/>
  <c r="O46" i="4"/>
  <c r="O122" i="4" s="1"/>
  <c r="O49" i="4"/>
  <c r="E10" i="3" s="1"/>
  <c r="E32" i="3" s="1"/>
  <c r="E54" i="3" s="1"/>
  <c r="E76" i="3" s="1"/>
  <c r="O102" i="4"/>
  <c r="O101" i="4"/>
  <c r="S44" i="6"/>
  <c r="S42" i="6" s="1"/>
  <c r="T45" i="6"/>
  <c r="U45" i="6" s="1"/>
  <c r="F29" i="3"/>
  <c r="C32" i="6"/>
  <c r="Q43" i="6"/>
  <c r="Q75" i="6"/>
  <c r="R42" i="6"/>
  <c r="P44" i="4"/>
  <c r="P46" i="4" s="1"/>
  <c r="F5" i="3"/>
  <c r="V5" i="3" s="1"/>
  <c r="W18" i="3" s="1"/>
  <c r="P123" i="4"/>
  <c r="O133" i="4"/>
  <c r="O128" i="4"/>
  <c r="E6" i="3"/>
  <c r="E28" i="3" s="1"/>
  <c r="E50" i="3" s="1"/>
  <c r="E72" i="3" s="1"/>
  <c r="H32" i="6"/>
  <c r="Q48" i="6"/>
  <c r="I32" i="6" s="1"/>
  <c r="R49" i="6"/>
  <c r="R47" i="6" s="1"/>
  <c r="R52" i="6"/>
  <c r="R68" i="6" s="1"/>
  <c r="S50" i="6"/>
  <c r="Q69" i="6"/>
  <c r="F9" i="3"/>
  <c r="V9" i="3" s="1"/>
  <c r="W22" i="3" s="1"/>
  <c r="Q92" i="6"/>
  <c r="K32" i="6"/>
  <c r="E9" i="3"/>
  <c r="D32" i="6" l="1"/>
  <c r="G32" i="6" s="1"/>
  <c r="F34" i="6"/>
  <c r="M150" i="40"/>
  <c r="AO150" i="40" s="1"/>
  <c r="Q76" i="6"/>
  <c r="V45" i="6"/>
  <c r="U44" i="6"/>
  <c r="P100" i="4"/>
  <c r="P102" i="4" s="1"/>
  <c r="O59" i="4"/>
  <c r="O60" i="4" s="1"/>
  <c r="Q77" i="6"/>
  <c r="F10" i="3"/>
  <c r="V10" i="3" s="1"/>
  <c r="W23" i="3" s="1"/>
  <c r="P110" i="4"/>
  <c r="O83" i="4"/>
  <c r="O85" i="4" s="1"/>
  <c r="O105" i="4"/>
  <c r="O107" i="4" s="1"/>
  <c r="O51" i="4"/>
  <c r="O53" i="4" s="1"/>
  <c r="O110" i="4"/>
  <c r="O111" i="4" s="1"/>
  <c r="P59" i="4"/>
  <c r="P122" i="4"/>
  <c r="P83" i="4"/>
  <c r="E8" i="3"/>
  <c r="C33" i="6"/>
  <c r="R43" i="6"/>
  <c r="O127" i="4"/>
  <c r="O132" i="4"/>
  <c r="E49" i="3"/>
  <c r="E30" i="3"/>
  <c r="T44" i="6"/>
  <c r="E116" i="3"/>
  <c r="E94" i="3"/>
  <c r="F27" i="3"/>
  <c r="F6" i="3"/>
  <c r="P128" i="4"/>
  <c r="P133" i="4"/>
  <c r="F51" i="3"/>
  <c r="H33" i="6"/>
  <c r="R48" i="6"/>
  <c r="I33" i="6" s="1"/>
  <c r="F31" i="3"/>
  <c r="Q94" i="6"/>
  <c r="S49" i="6"/>
  <c r="S47" i="6" s="1"/>
  <c r="S48" i="6" s="1"/>
  <c r="I34" i="6" s="1"/>
  <c r="S52" i="6"/>
  <c r="S68" i="6" s="1"/>
  <c r="T50" i="6"/>
  <c r="U50" i="6" s="1"/>
  <c r="U52" i="6" s="1"/>
  <c r="R75" i="6"/>
  <c r="Q109" i="6"/>
  <c r="E120" i="3"/>
  <c r="E98" i="3"/>
  <c r="R69" i="6"/>
  <c r="R70" i="6"/>
  <c r="K33" i="6"/>
  <c r="R92" i="6"/>
  <c r="L32" i="6"/>
  <c r="E12" i="3"/>
  <c r="E31" i="3"/>
  <c r="Q93" i="6"/>
  <c r="M174" i="3"/>
  <c r="F35" i="6" l="1"/>
  <c r="F36" i="6"/>
  <c r="D33" i="6"/>
  <c r="G33" i="6" s="1"/>
  <c r="Q111" i="6"/>
  <c r="R93" i="6"/>
  <c r="U49" i="6"/>
  <c r="K36" i="6" s="1"/>
  <c r="U75" i="6"/>
  <c r="V50" i="6"/>
  <c r="V52" i="6" s="1"/>
  <c r="U42" i="6"/>
  <c r="S69" i="6"/>
  <c r="V44" i="6"/>
  <c r="P101" i="4"/>
  <c r="O84" i="4"/>
  <c r="P60" i="4"/>
  <c r="O61" i="4"/>
  <c r="E13" i="3"/>
  <c r="E195" i="3" s="1"/>
  <c r="E197" i="3" s="1"/>
  <c r="E210" i="3" s="1"/>
  <c r="E212" i="3" s="1"/>
  <c r="E214" i="3" s="1"/>
  <c r="P85" i="4"/>
  <c r="F32" i="3"/>
  <c r="O106" i="4"/>
  <c r="P106" i="4"/>
  <c r="P107" i="4"/>
  <c r="P112" i="4"/>
  <c r="P111" i="4"/>
  <c r="O64" i="4"/>
  <c r="O66" i="4" s="1"/>
  <c r="E19" i="3"/>
  <c r="O88" i="4"/>
  <c r="O90" i="4" s="1"/>
  <c r="M32" i="6"/>
  <c r="O112" i="4"/>
  <c r="S70" i="6"/>
  <c r="P61" i="4"/>
  <c r="F8" i="3"/>
  <c r="V6" i="3"/>
  <c r="W19" i="3" s="1"/>
  <c r="R94" i="6"/>
  <c r="F49" i="3"/>
  <c r="S75" i="6"/>
  <c r="F73" i="3"/>
  <c r="C34" i="6"/>
  <c r="S43" i="6"/>
  <c r="P132" i="4"/>
  <c r="P127" i="4"/>
  <c r="F28" i="3"/>
  <c r="F30" i="3" s="1"/>
  <c r="T42" i="6"/>
  <c r="E71" i="3"/>
  <c r="E52" i="3"/>
  <c r="E41" i="3" s="1"/>
  <c r="P84" i="4"/>
  <c r="O69" i="4"/>
  <c r="O121" i="4"/>
  <c r="O93" i="4"/>
  <c r="E34" i="3"/>
  <c r="E53" i="3"/>
  <c r="R76" i="6"/>
  <c r="R77" i="6"/>
  <c r="H34" i="6"/>
  <c r="Q110" i="6"/>
  <c r="T49" i="6"/>
  <c r="T47" i="6" s="1"/>
  <c r="T52" i="6"/>
  <c r="T68" i="6" s="1"/>
  <c r="O76" i="4"/>
  <c r="R109" i="6"/>
  <c r="S92" i="6"/>
  <c r="K34" i="6"/>
  <c r="F53" i="3"/>
  <c r="L33" i="6"/>
  <c r="V68" i="6" l="1"/>
  <c r="D34" i="6"/>
  <c r="G34" i="6" s="1"/>
  <c r="C36" i="6"/>
  <c r="F37" i="6"/>
  <c r="U92" i="6"/>
  <c r="U43" i="6"/>
  <c r="V75" i="6"/>
  <c r="V49" i="6"/>
  <c r="K37" i="6" s="1"/>
  <c r="V42" i="6"/>
  <c r="U68" i="6"/>
  <c r="U70" i="6" s="1"/>
  <c r="S76" i="6"/>
  <c r="U47" i="6"/>
  <c r="H36" i="6" s="1"/>
  <c r="F54" i="3"/>
  <c r="E201" i="3"/>
  <c r="E203" i="3" s="1"/>
  <c r="E205" i="3" s="1"/>
  <c r="E207" i="3" s="1"/>
  <c r="E753" i="3" s="1"/>
  <c r="E219" i="3"/>
  <c r="E221" i="3" s="1"/>
  <c r="E223" i="3" s="1"/>
  <c r="E701" i="3" s="1"/>
  <c r="E848" i="3"/>
  <c r="E850" i="3" s="1"/>
  <c r="E852" i="3" s="1"/>
  <c r="E906" i="3" s="1"/>
  <c r="E198" i="3"/>
  <c r="O65" i="4"/>
  <c r="O89" i="4"/>
  <c r="M33" i="6"/>
  <c r="S77" i="6"/>
  <c r="T75" i="6"/>
  <c r="R111" i="6"/>
  <c r="E74" i="3"/>
  <c r="E63" i="3" s="1"/>
  <c r="E115" i="3"/>
  <c r="E118" i="3" s="1"/>
  <c r="E93" i="3"/>
  <c r="E96" i="3" s="1"/>
  <c r="F50" i="3"/>
  <c r="F52" i="3" s="1"/>
  <c r="S109" i="6"/>
  <c r="C35" i="6"/>
  <c r="T43" i="6"/>
  <c r="F117" i="3"/>
  <c r="F95" i="3"/>
  <c r="F19" i="3"/>
  <c r="V8" i="3"/>
  <c r="W21" i="3" s="1"/>
  <c r="F71" i="3"/>
  <c r="H35" i="6"/>
  <c r="T48" i="6"/>
  <c r="I35" i="6" s="1"/>
  <c r="T69" i="6"/>
  <c r="T70" i="6"/>
  <c r="E56" i="3"/>
  <c r="E75" i="3"/>
  <c r="O131" i="4"/>
  <c r="O126" i="4"/>
  <c r="F75" i="3"/>
  <c r="E23" i="3"/>
  <c r="E35" i="3"/>
  <c r="O70" i="4"/>
  <c r="O71" i="4"/>
  <c r="S93" i="6"/>
  <c r="S94" i="6"/>
  <c r="O77" i="4"/>
  <c r="O78" i="4"/>
  <c r="R110" i="6"/>
  <c r="T92" i="6"/>
  <c r="K35" i="6"/>
  <c r="E915" i="3"/>
  <c r="E936" i="3" s="1"/>
  <c r="E691" i="3"/>
  <c r="E216" i="3"/>
  <c r="L34" i="6"/>
  <c r="O95" i="4"/>
  <c r="O94" i="4"/>
  <c r="N174" i="3"/>
  <c r="D35" i="6" l="1"/>
  <c r="C37" i="6"/>
  <c r="D36" i="6"/>
  <c r="G36" i="6" s="1"/>
  <c r="V92" i="6"/>
  <c r="V94" i="6" s="1"/>
  <c r="U93" i="6"/>
  <c r="T77" i="6"/>
  <c r="V76" i="6"/>
  <c r="V77" i="6"/>
  <c r="U76" i="6"/>
  <c r="U77" i="6"/>
  <c r="U48" i="6"/>
  <c r="I36" i="6" s="1"/>
  <c r="L36" i="6" s="1"/>
  <c r="U69" i="6"/>
  <c r="V69" i="6"/>
  <c r="V70" i="6"/>
  <c r="U94" i="6"/>
  <c r="S110" i="6"/>
  <c r="V43" i="6"/>
  <c r="V47" i="6"/>
  <c r="H37" i="6" s="1"/>
  <c r="F76" i="3"/>
  <c r="F120" i="3" s="1"/>
  <c r="E681" i="3"/>
  <c r="E225" i="3"/>
  <c r="E773" i="3" s="1"/>
  <c r="E854" i="3"/>
  <c r="E910" i="3" s="1"/>
  <c r="M34" i="6"/>
  <c r="T76" i="6"/>
  <c r="G35" i="6"/>
  <c r="S111" i="6"/>
  <c r="F115" i="3"/>
  <c r="F93" i="3"/>
  <c r="F72" i="3"/>
  <c r="F41" i="3"/>
  <c r="E85" i="3"/>
  <c r="E131" i="3"/>
  <c r="E141" i="3"/>
  <c r="E107" i="3"/>
  <c r="E925" i="3"/>
  <c r="E940" i="3" s="1"/>
  <c r="E763" i="3"/>
  <c r="T94" i="6"/>
  <c r="T93" i="6"/>
  <c r="E24" i="3"/>
  <c r="E227" i="3"/>
  <c r="E228" i="3" s="1"/>
  <c r="E230" i="3" s="1"/>
  <c r="E232" i="3" s="1"/>
  <c r="E236" i="3"/>
  <c r="E237" i="3" s="1"/>
  <c r="E239" i="3" s="1"/>
  <c r="E241" i="3" s="1"/>
  <c r="E45" i="3"/>
  <c r="E57" i="3"/>
  <c r="E46" i="3" s="1"/>
  <c r="F119" i="3"/>
  <c r="F97" i="3"/>
  <c r="T109" i="6"/>
  <c r="E78" i="3"/>
  <c r="E119" i="3"/>
  <c r="E122" i="3" s="1"/>
  <c r="E97" i="3"/>
  <c r="E100" i="3" s="1"/>
  <c r="L35" i="6"/>
  <c r="J180" i="3"/>
  <c r="D37" i="6" l="1"/>
  <c r="G37" i="6" s="1"/>
  <c r="M36" i="6"/>
  <c r="V93" i="6"/>
  <c r="F98" i="3"/>
  <c r="U109" i="6"/>
  <c r="U110" i="6" s="1"/>
  <c r="V48" i="6"/>
  <c r="I37" i="6" s="1"/>
  <c r="L37" i="6" s="1"/>
  <c r="M35" i="6"/>
  <c r="F116" i="3"/>
  <c r="F118" i="3" s="1"/>
  <c r="F94" i="3"/>
  <c r="F96" i="3" s="1"/>
  <c r="F74" i="3"/>
  <c r="E67" i="3"/>
  <c r="E79" i="3"/>
  <c r="E68" i="3" s="1"/>
  <c r="E101" i="3"/>
  <c r="E89" i="3"/>
  <c r="E243" i="3"/>
  <c r="E793" i="3" s="1"/>
  <c r="E721" i="3"/>
  <c r="E123" i="3"/>
  <c r="E142" i="3"/>
  <c r="E143" i="3" s="1"/>
  <c r="E111" i="3"/>
  <c r="E132" i="3"/>
  <c r="E133" i="3" s="1"/>
  <c r="T111" i="6"/>
  <c r="T110" i="6"/>
  <c r="E711" i="3"/>
  <c r="E234" i="3"/>
  <c r="E783" i="3" s="1"/>
  <c r="M178" i="3"/>
  <c r="E180" i="3"/>
  <c r="E179" i="3"/>
  <c r="M176" i="3"/>
  <c r="M37" i="6" l="1"/>
  <c r="V109" i="6"/>
  <c r="V110" i="6" s="1"/>
  <c r="U111" i="6"/>
  <c r="D278" i="22"/>
  <c r="F141" i="3"/>
  <c r="F107" i="3"/>
  <c r="F131" i="3"/>
  <c r="F85" i="3"/>
  <c r="F63" i="3"/>
  <c r="E149" i="3"/>
  <c r="E166" i="3" s="1"/>
  <c r="E186" i="3" s="1"/>
  <c r="V186" i="3" s="1"/>
  <c r="E128" i="3"/>
  <c r="E147" i="3"/>
  <c r="E90" i="3"/>
  <c r="E138" i="3"/>
  <c r="E150" i="3"/>
  <c r="E167" i="3" s="1"/>
  <c r="E187" i="3" s="1"/>
  <c r="V187" i="3" s="1"/>
  <c r="E112" i="3"/>
  <c r="G180" i="3"/>
  <c r="H180" i="3"/>
  <c r="M177" i="3"/>
  <c r="V111" i="6" l="1"/>
  <c r="E148" i="3"/>
  <c r="E152" i="3" s="1"/>
  <c r="K278" i="22"/>
  <c r="D40" i="21"/>
  <c r="G40" i="21" s="1"/>
  <c r="E590" i="3"/>
  <c r="E592" i="3" s="1"/>
  <c r="E594" i="3" s="1"/>
  <c r="E596" i="3" s="1"/>
  <c r="E570" i="3"/>
  <c r="E572" i="3" s="1"/>
  <c r="E574" i="3" s="1"/>
  <c r="E576" i="3" s="1"/>
  <c r="E542" i="3"/>
  <c r="E547" i="3" s="1"/>
  <c r="E600" i="3"/>
  <c r="E602" i="3" s="1"/>
  <c r="E604" i="3" s="1"/>
  <c r="E606" i="3" s="1"/>
  <c r="E551" i="3"/>
  <c r="E560" i="3"/>
  <c r="E562" i="3" s="1"/>
  <c r="E564" i="3" s="1"/>
  <c r="E566" i="3" s="1"/>
  <c r="E12" i="18"/>
  <c r="E580" i="3"/>
  <c r="E582" i="3" s="1"/>
  <c r="E584" i="3" s="1"/>
  <c r="E586" i="3" s="1"/>
  <c r="E501" i="3"/>
  <c r="E503" i="3" s="1"/>
  <c r="E505" i="3" s="1"/>
  <c r="E507" i="3" s="1"/>
  <c r="E511" i="3"/>
  <c r="E513" i="3" s="1"/>
  <c r="E515" i="3" s="1"/>
  <c r="E517" i="3" s="1"/>
  <c r="E473" i="3"/>
  <c r="E478" i="3" s="1"/>
  <c r="E521" i="3"/>
  <c r="E523" i="3" s="1"/>
  <c r="E525" i="3" s="1"/>
  <c r="E527" i="3" s="1"/>
  <c r="E482" i="3"/>
  <c r="E491" i="3"/>
  <c r="E493" i="3" s="1"/>
  <c r="E495" i="3" s="1"/>
  <c r="E497" i="3" s="1"/>
  <c r="E531" i="3"/>
  <c r="E533" i="3" s="1"/>
  <c r="E535" i="3" s="1"/>
  <c r="E537" i="3" s="1"/>
  <c r="E11" i="18"/>
  <c r="E164" i="3"/>
  <c r="E184" i="3" s="1"/>
  <c r="V184" i="3" s="1"/>
  <c r="N178" i="3"/>
  <c r="M175" i="3"/>
  <c r="M180" i="3" s="1"/>
  <c r="F180" i="3"/>
  <c r="N176" i="3"/>
  <c r="N177" i="3"/>
  <c r="E146" i="3" l="1"/>
  <c r="E163" i="3" s="1"/>
  <c r="E165" i="3"/>
  <c r="E170" i="3" s="1"/>
  <c r="E706" i="3"/>
  <c r="E499" i="3"/>
  <c r="E778" i="3" s="1"/>
  <c r="E519" i="3"/>
  <c r="E798" i="3" s="1"/>
  <c r="E726" i="3"/>
  <c r="E568" i="3"/>
  <c r="E779" i="3" s="1"/>
  <c r="E707" i="3"/>
  <c r="E578" i="3"/>
  <c r="E789" i="3" s="1"/>
  <c r="E717" i="3"/>
  <c r="E484" i="3"/>
  <c r="E487" i="3" s="1"/>
  <c r="E881" i="3"/>
  <c r="E883" i="3" s="1"/>
  <c r="E885" i="3" s="1"/>
  <c r="E887" i="3" s="1"/>
  <c r="E509" i="3"/>
  <c r="E788" i="3" s="1"/>
  <c r="E716" i="3"/>
  <c r="E553" i="3"/>
  <c r="E556" i="3" s="1"/>
  <c r="E889" i="3"/>
  <c r="E891" i="3" s="1"/>
  <c r="E893" i="3" s="1"/>
  <c r="E895" i="3" s="1"/>
  <c r="E737" i="3"/>
  <c r="E598" i="3"/>
  <c r="E809" i="3" s="1"/>
  <c r="E353" i="3"/>
  <c r="E355" i="3" s="1"/>
  <c r="E357" i="3" s="1"/>
  <c r="E359" i="3" s="1"/>
  <c r="E373" i="3"/>
  <c r="E375" i="3" s="1"/>
  <c r="E377" i="3" s="1"/>
  <c r="E379" i="3" s="1"/>
  <c r="E335" i="3"/>
  <c r="E340" i="3" s="1"/>
  <c r="E344" i="3"/>
  <c r="E9" i="18"/>
  <c r="E393" i="3"/>
  <c r="E395" i="3" s="1"/>
  <c r="E397" i="3" s="1"/>
  <c r="E399" i="3" s="1"/>
  <c r="E383" i="3"/>
  <c r="E385" i="3" s="1"/>
  <c r="E387" i="3" s="1"/>
  <c r="E389" i="3" s="1"/>
  <c r="E363" i="3"/>
  <c r="E365" i="3" s="1"/>
  <c r="E367" i="3" s="1"/>
  <c r="E369" i="3" s="1"/>
  <c r="E736" i="3"/>
  <c r="E529" i="3"/>
  <c r="E808" i="3" s="1"/>
  <c r="E588" i="3"/>
  <c r="E799" i="3" s="1"/>
  <c r="E727" i="3"/>
  <c r="E747" i="3"/>
  <c r="E608" i="3"/>
  <c r="E819" i="3" s="1"/>
  <c r="E746" i="3"/>
  <c r="E539" i="3"/>
  <c r="E818" i="3" s="1"/>
  <c r="E480" i="3"/>
  <c r="E758" i="3" s="1"/>
  <c r="E686" i="3"/>
  <c r="E687" i="3"/>
  <c r="E549" i="3"/>
  <c r="E759" i="3" s="1"/>
  <c r="N175" i="3"/>
  <c r="N180" i="3" s="1"/>
  <c r="M173" i="3"/>
  <c r="I180" i="3"/>
  <c r="O180" i="3" l="1"/>
  <c r="E151" i="3"/>
  <c r="E168" i="3" s="1"/>
  <c r="E188" i="3" s="1"/>
  <c r="V188" i="3" s="1"/>
  <c r="E185" i="3"/>
  <c r="E371" i="3"/>
  <c r="E786" i="3" s="1"/>
  <c r="E714" i="3"/>
  <c r="E346" i="3"/>
  <c r="E349" i="3" s="1"/>
  <c r="E865" i="3"/>
  <c r="E867" i="3" s="1"/>
  <c r="E869" i="3" s="1"/>
  <c r="E871" i="3" s="1"/>
  <c r="E734" i="3"/>
  <c r="E391" i="3"/>
  <c r="E806" i="3" s="1"/>
  <c r="E684" i="3"/>
  <c r="E342" i="3"/>
  <c r="E756" i="3" s="1"/>
  <c r="E744" i="3"/>
  <c r="E401" i="3"/>
  <c r="E816" i="3" s="1"/>
  <c r="E381" i="3"/>
  <c r="E796" i="3" s="1"/>
  <c r="E724" i="3"/>
  <c r="E921" i="3"/>
  <c r="E558" i="3"/>
  <c r="E697" i="3"/>
  <c r="E361" i="3"/>
  <c r="E776" i="3" s="1"/>
  <c r="E704" i="3"/>
  <c r="E920" i="3"/>
  <c r="E696" i="3"/>
  <c r="E489" i="3"/>
  <c r="E183" i="3"/>
  <c r="V183" i="3" s="1"/>
  <c r="D696" i="22"/>
  <c r="M179" i="3"/>
  <c r="N179" i="3"/>
  <c r="N173" i="3"/>
  <c r="E10" i="18" l="1"/>
  <c r="E31" i="18" s="1"/>
  <c r="E41" i="18" s="1"/>
  <c r="V185" i="3"/>
  <c r="W203" i="3" s="1"/>
  <c r="W202" i="3" s="1"/>
  <c r="E413" i="3"/>
  <c r="E415" i="3" s="1"/>
  <c r="E418" i="3" s="1"/>
  <c r="E190" i="3"/>
  <c r="V190" i="3" s="1"/>
  <c r="E432" i="3"/>
  <c r="E434" i="3" s="1"/>
  <c r="E436" i="3" s="1"/>
  <c r="E438" i="3" s="1"/>
  <c r="E715" i="3" s="1"/>
  <c r="E452" i="3"/>
  <c r="E454" i="3" s="1"/>
  <c r="E456" i="3" s="1"/>
  <c r="E458" i="3" s="1"/>
  <c r="E735" i="3" s="1"/>
  <c r="E404" i="3"/>
  <c r="E409" i="3" s="1"/>
  <c r="E411" i="3" s="1"/>
  <c r="E757" i="3" s="1"/>
  <c r="E422" i="3"/>
  <c r="E424" i="3" s="1"/>
  <c r="E426" i="3" s="1"/>
  <c r="E428" i="3" s="1"/>
  <c r="E705" i="3" s="1"/>
  <c r="E462" i="3"/>
  <c r="E464" i="3" s="1"/>
  <c r="E466" i="3" s="1"/>
  <c r="E468" i="3" s="1"/>
  <c r="E745" i="3" s="1"/>
  <c r="E442" i="3"/>
  <c r="E444" i="3" s="1"/>
  <c r="E446" i="3" s="1"/>
  <c r="E448" i="3" s="1"/>
  <c r="E450" i="3" s="1"/>
  <c r="E797" i="3" s="1"/>
  <c r="E169" i="3"/>
  <c r="E696" i="22"/>
  <c r="D698" i="22"/>
  <c r="E15" i="18"/>
  <c r="E649" i="3"/>
  <c r="E651" i="3" s="1"/>
  <c r="E653" i="3" s="1"/>
  <c r="E655" i="3" s="1"/>
  <c r="E629" i="3"/>
  <c r="E631" i="3" s="1"/>
  <c r="E633" i="3" s="1"/>
  <c r="E635" i="3" s="1"/>
  <c r="E639" i="3"/>
  <c r="E641" i="3" s="1"/>
  <c r="E643" i="3" s="1"/>
  <c r="E645" i="3" s="1"/>
  <c r="E620" i="3"/>
  <c r="E659" i="3"/>
  <c r="E661" i="3" s="1"/>
  <c r="E663" i="3" s="1"/>
  <c r="E665" i="3" s="1"/>
  <c r="E669" i="3"/>
  <c r="E671" i="3" s="1"/>
  <c r="E673" i="3" s="1"/>
  <c r="E675" i="3" s="1"/>
  <c r="E611" i="3"/>
  <c r="E616" i="3" s="1"/>
  <c r="E13" i="18"/>
  <c r="E254" i="3"/>
  <c r="E255" i="3" s="1"/>
  <c r="E257" i="3" s="1"/>
  <c r="E259" i="3" s="1"/>
  <c r="E245" i="3"/>
  <c r="E246" i="3" s="1"/>
  <c r="E248" i="3" s="1"/>
  <c r="E250" i="3" s="1"/>
  <c r="E304" i="3"/>
  <c r="E306" i="3" s="1"/>
  <c r="E308" i="3" s="1"/>
  <c r="E310" i="3" s="1"/>
  <c r="E294" i="3"/>
  <c r="E296" i="3" s="1"/>
  <c r="E298" i="3" s="1"/>
  <c r="E300" i="3" s="1"/>
  <c r="E314" i="3"/>
  <c r="E316" i="3" s="1"/>
  <c r="E318" i="3" s="1"/>
  <c r="E320" i="3" s="1"/>
  <c r="E8" i="18"/>
  <c r="E30" i="18" s="1"/>
  <c r="E275" i="3"/>
  <c r="E324" i="3"/>
  <c r="E326" i="3" s="1"/>
  <c r="E328" i="3" s="1"/>
  <c r="E330" i="3" s="1"/>
  <c r="E284" i="3"/>
  <c r="E266" i="3"/>
  <c r="E271" i="3" s="1"/>
  <c r="E189" i="3"/>
  <c r="E918" i="3"/>
  <c r="E351" i="3"/>
  <c r="E694" i="3"/>
  <c r="E930" i="3"/>
  <c r="E768" i="3"/>
  <c r="E769" i="3"/>
  <c r="E931" i="3"/>
  <c r="E160" i="3"/>
  <c r="E7" i="19" l="1"/>
  <c r="E9" i="19" s="1"/>
  <c r="V189" i="3"/>
  <c r="E873" i="3"/>
  <c r="E875" i="3" s="1"/>
  <c r="E877" i="3" s="1"/>
  <c r="E879" i="3" s="1"/>
  <c r="E440" i="3"/>
  <c r="E787" i="3" s="1"/>
  <c r="E470" i="3"/>
  <c r="E817" i="3" s="1"/>
  <c r="E725" i="3"/>
  <c r="E685" i="3"/>
  <c r="E430" i="3"/>
  <c r="E777" i="3" s="1"/>
  <c r="E460" i="3"/>
  <c r="E807" i="3" s="1"/>
  <c r="D108" i="21"/>
  <c r="E698" i="22"/>
  <c r="F696" i="22"/>
  <c r="E285" i="3"/>
  <c r="E286" i="3" s="1"/>
  <c r="E288" i="3" s="1"/>
  <c r="E290" i="3" s="1"/>
  <c r="E857" i="3"/>
  <c r="E859" i="3" s="1"/>
  <c r="E861" i="3" s="1"/>
  <c r="E277" i="3"/>
  <c r="E280" i="3" s="1"/>
  <c r="E312" i="3"/>
  <c r="E795" i="3" s="1"/>
  <c r="E723" i="3"/>
  <c r="E14" i="18"/>
  <c r="E18" i="18" s="1"/>
  <c r="E20" i="18" s="1"/>
  <c r="E622" i="3"/>
  <c r="E625" i="3" s="1"/>
  <c r="E897" i="3"/>
  <c r="E899" i="3" s="1"/>
  <c r="E901" i="3" s="1"/>
  <c r="E903" i="3" s="1"/>
  <c r="E273" i="3"/>
  <c r="E755" i="3" s="1"/>
  <c r="E683" i="3"/>
  <c r="E40" i="18"/>
  <c r="E42" i="18" s="1"/>
  <c r="E32" i="18"/>
  <c r="E618" i="3"/>
  <c r="E760" i="3" s="1"/>
  <c r="E688" i="3"/>
  <c r="E647" i="3"/>
  <c r="E790" i="3" s="1"/>
  <c r="E718" i="3"/>
  <c r="E919" i="3"/>
  <c r="E420" i="3"/>
  <c r="E695" i="3"/>
  <c r="E928" i="3"/>
  <c r="E766" i="3"/>
  <c r="E322" i="3"/>
  <c r="E805" i="3" s="1"/>
  <c r="E733" i="3"/>
  <c r="E252" i="3"/>
  <c r="E803" i="3" s="1"/>
  <c r="E731" i="3"/>
  <c r="E748" i="3"/>
  <c r="E677" i="3"/>
  <c r="E820" i="3" s="1"/>
  <c r="E708" i="3"/>
  <c r="E637" i="3"/>
  <c r="E780" i="3" s="1"/>
  <c r="E332" i="3"/>
  <c r="E815" i="3" s="1"/>
  <c r="E743" i="3"/>
  <c r="E302" i="3"/>
  <c r="E785" i="3" s="1"/>
  <c r="E713" i="3"/>
  <c r="E261" i="3"/>
  <c r="E813" i="3" s="1"/>
  <c r="E741" i="3"/>
  <c r="E667" i="3"/>
  <c r="E810" i="3" s="1"/>
  <c r="E738" i="3"/>
  <c r="E728" i="3"/>
  <c r="E657" i="3"/>
  <c r="E800" i="3" s="1"/>
  <c r="G239" i="22"/>
  <c r="F698" i="22" l="1"/>
  <c r="F108" i="21" s="1"/>
  <c r="G696" i="22"/>
  <c r="E108" i="21"/>
  <c r="E794" i="3"/>
  <c r="E801" i="3" s="1"/>
  <c r="E838" i="3" s="1"/>
  <c r="E712" i="3"/>
  <c r="E719" i="3" s="1"/>
  <c r="E834" i="3" s="1"/>
  <c r="E754" i="3"/>
  <c r="E761" i="3" s="1"/>
  <c r="E826" i="3" s="1"/>
  <c r="E27" i="18"/>
  <c r="E804" i="3"/>
  <c r="E811" i="3" s="1"/>
  <c r="E841" i="3" s="1"/>
  <c r="E722" i="3"/>
  <c r="E729" i="3" s="1"/>
  <c r="E837" i="3" s="1"/>
  <c r="E784" i="3"/>
  <c r="E791" i="3" s="1"/>
  <c r="E835" i="3" s="1"/>
  <c r="E732" i="3"/>
  <c r="E739" i="3" s="1"/>
  <c r="E840" i="3" s="1"/>
  <c r="E703" i="3"/>
  <c r="E702" i="3" s="1"/>
  <c r="E709" i="3" s="1"/>
  <c r="E831" i="3" s="1"/>
  <c r="E292" i="3"/>
  <c r="E775" i="3" s="1"/>
  <c r="E774" i="3" s="1"/>
  <c r="E781" i="3" s="1"/>
  <c r="E832" i="3" s="1"/>
  <c r="E37" i="18"/>
  <c r="E917" i="3"/>
  <c r="E693" i="3"/>
  <c r="E282" i="3"/>
  <c r="E682" i="3"/>
  <c r="E689" i="3" s="1"/>
  <c r="E825" i="3" s="1"/>
  <c r="E863" i="3"/>
  <c r="E911" i="3" s="1"/>
  <c r="E912" i="3" s="1"/>
  <c r="E907" i="3"/>
  <c r="E814" i="3"/>
  <c r="E821" i="3" s="1"/>
  <c r="E844" i="3" s="1"/>
  <c r="E922" i="3"/>
  <c r="E627" i="3"/>
  <c r="E698" i="3"/>
  <c r="E742" i="3"/>
  <c r="E749" i="3" s="1"/>
  <c r="E843" i="3" s="1"/>
  <c r="E767" i="3"/>
  <c r="E929" i="3"/>
  <c r="G241" i="22"/>
  <c r="H239" i="22"/>
  <c r="D691" i="22"/>
  <c r="I36" i="40" l="1"/>
  <c r="K698" i="22"/>
  <c r="H696" i="22"/>
  <c r="G698" i="22"/>
  <c r="D33" i="21"/>
  <c r="G108" i="21"/>
  <c r="E692" i="3"/>
  <c r="E699" i="3" s="1"/>
  <c r="E828" i="3" s="1"/>
  <c r="D693" i="22"/>
  <c r="E691" i="22"/>
  <c r="P108" i="21"/>
  <c r="E916" i="3"/>
  <c r="E932" i="3"/>
  <c r="E770" i="3"/>
  <c r="E908" i="3"/>
  <c r="E765" i="3"/>
  <c r="E927" i="3"/>
  <c r="H241" i="22"/>
  <c r="L241" i="22" s="1"/>
  <c r="I239" i="22"/>
  <c r="I241" i="22" s="1"/>
  <c r="I111" i="40" l="1"/>
  <c r="I696" i="22"/>
  <c r="H698" i="22"/>
  <c r="J111" i="40" s="1"/>
  <c r="F33" i="21"/>
  <c r="K36" i="40"/>
  <c r="E33" i="21"/>
  <c r="J36" i="40"/>
  <c r="AB168" i="21"/>
  <c r="AA168" i="21"/>
  <c r="E693" i="22"/>
  <c r="F691" i="22"/>
  <c r="Z168" i="21"/>
  <c r="D107" i="21"/>
  <c r="E926" i="3"/>
  <c r="E941" i="3" s="1"/>
  <c r="E942" i="3" s="1"/>
  <c r="E764" i="3"/>
  <c r="E771" i="3" s="1"/>
  <c r="E829" i="3" s="1"/>
  <c r="E923" i="3"/>
  <c r="E937" i="3"/>
  <c r="E938" i="3" s="1"/>
  <c r="F693" i="22" l="1"/>
  <c r="K693" i="22" s="1"/>
  <c r="G691" i="22"/>
  <c r="J696" i="22"/>
  <c r="J698" i="22" s="1"/>
  <c r="L111" i="40" s="1"/>
  <c r="I698" i="22"/>
  <c r="L698" i="22" s="1"/>
  <c r="M36" i="40"/>
  <c r="G33" i="21"/>
  <c r="E107" i="21"/>
  <c r="D105" i="21"/>
  <c r="G168" i="21"/>
  <c r="D181" i="21"/>
  <c r="E181" i="21"/>
  <c r="AA181" i="21" s="1"/>
  <c r="P33" i="21"/>
  <c r="AC168" i="21"/>
  <c r="F181" i="21"/>
  <c r="AB181" i="21" s="1"/>
  <c r="E933" i="3"/>
  <c r="F107" i="21" l="1"/>
  <c r="F105" i="21" s="1"/>
  <c r="F94" i="21" s="1"/>
  <c r="AA94" i="21" s="1"/>
  <c r="H691" i="22"/>
  <c r="G693" i="22"/>
  <c r="K111" i="40"/>
  <c r="M111" i="40" s="1"/>
  <c r="E105" i="21"/>
  <c r="E151" i="21" s="1"/>
  <c r="D94" i="21"/>
  <c r="Y94" i="21" s="1"/>
  <c r="D151" i="21"/>
  <c r="G181" i="21"/>
  <c r="Z181" i="21"/>
  <c r="AC181" i="21" s="1"/>
  <c r="Q107" i="22" l="1"/>
  <c r="Q112" i="22" s="1"/>
  <c r="U96" i="40" s="1"/>
  <c r="F151" i="21"/>
  <c r="G151" i="21" s="1"/>
  <c r="AC151" i="21" s="1"/>
  <c r="G107" i="21"/>
  <c r="G105" i="21" s="1"/>
  <c r="G94" i="21" s="1"/>
  <c r="I110" i="40"/>
  <c r="I691" i="22"/>
  <c r="H693" i="22"/>
  <c r="E94" i="21"/>
  <c r="Z94" i="21" s="1"/>
  <c r="AB94" i="21" s="1"/>
  <c r="N105" i="21"/>
  <c r="O105" i="21"/>
  <c r="M105" i="21"/>
  <c r="P107" i="21"/>
  <c r="U152" i="40" l="1"/>
  <c r="AE96" i="40"/>
  <c r="AE152" i="40" s="1"/>
  <c r="J110" i="40"/>
  <c r="J108" i="40" s="1"/>
  <c r="J154" i="40" s="1"/>
  <c r="J152" i="40" s="1"/>
  <c r="R107" i="22"/>
  <c r="J691" i="22"/>
  <c r="J693" i="22" s="1"/>
  <c r="I693" i="22"/>
  <c r="S107" i="22" s="1"/>
  <c r="S112" i="22" s="1"/>
  <c r="W96" i="40" s="1"/>
  <c r="I108" i="40"/>
  <c r="P105" i="21"/>
  <c r="F150" i="21"/>
  <c r="F149" i="21" s="1"/>
  <c r="E150" i="21"/>
  <c r="E149" i="21" s="1"/>
  <c r="D150" i="21"/>
  <c r="D149" i="21" s="1"/>
  <c r="L693" i="22" l="1"/>
  <c r="L683" i="22" s="1"/>
  <c r="R112" i="22"/>
  <c r="V96" i="40" s="1"/>
  <c r="W152" i="40"/>
  <c r="AG96" i="40"/>
  <c r="AG152" i="40" s="1"/>
  <c r="L110" i="40"/>
  <c r="L108" i="40" s="1"/>
  <c r="L96" i="40" s="1"/>
  <c r="T107" i="22"/>
  <c r="T112" i="22" s="1"/>
  <c r="X96" i="40" s="1"/>
  <c r="J96" i="40"/>
  <c r="I154" i="40"/>
  <c r="I152" i="40" s="1"/>
  <c r="I96" i="40"/>
  <c r="AJ96" i="40" s="1"/>
  <c r="AJ152" i="40" s="1"/>
  <c r="K110" i="40"/>
  <c r="N149" i="21"/>
  <c r="V149" i="21"/>
  <c r="G150" i="21"/>
  <c r="G149" i="21" s="1"/>
  <c r="P79" i="21"/>
  <c r="V152" i="40" l="1"/>
  <c r="AF96" i="40"/>
  <c r="AF152" i="40" s="1"/>
  <c r="U107" i="22"/>
  <c r="L154" i="40"/>
  <c r="L152" i="40" s="1"/>
  <c r="E271" i="40"/>
  <c r="Y96" i="40"/>
  <c r="X152" i="40"/>
  <c r="AH96" i="40"/>
  <c r="U112" i="22"/>
  <c r="K108" i="40"/>
  <c r="M110" i="40"/>
  <c r="M108" i="40" s="1"/>
  <c r="Z149" i="21"/>
  <c r="M149" i="21"/>
  <c r="AC150" i="21"/>
  <c r="O149" i="21"/>
  <c r="P149" i="21" l="1"/>
  <c r="AK96" i="40"/>
  <c r="AK152" i="40" s="1"/>
  <c r="Y152" i="40"/>
  <c r="E259" i="40" s="1"/>
  <c r="AH152" i="40"/>
  <c r="AI152" i="40" s="1"/>
  <c r="AI96" i="40"/>
  <c r="AM96" i="40"/>
  <c r="AM152" i="40" s="1"/>
  <c r="K154" i="40"/>
  <c r="K152" i="40" s="1"/>
  <c r="C271" i="40" s="1"/>
  <c r="F271" i="40" s="1"/>
  <c r="K96" i="40"/>
  <c r="AL96" i="40" s="1"/>
  <c r="W149" i="21"/>
  <c r="U149" i="21"/>
  <c r="Y149" i="21"/>
  <c r="P73" i="21"/>
  <c r="AL152" i="40" l="1"/>
  <c r="AN152" i="40" s="1"/>
  <c r="F259" i="40" s="1"/>
  <c r="AN96" i="40"/>
  <c r="M154" i="40"/>
  <c r="M152" i="40" s="1"/>
  <c r="C259" i="40" s="1"/>
  <c r="X149" i="21"/>
  <c r="AA149" i="21"/>
  <c r="AB149" i="21" s="1"/>
  <c r="AC149" i="21" s="1"/>
  <c r="P64" i="21"/>
  <c r="G66" i="21"/>
  <c r="P65" i="21"/>
  <c r="G259" i="40" l="1"/>
  <c r="H259" i="40"/>
  <c r="I259" i="40"/>
  <c r="AO152" i="40"/>
  <c r="AO154" i="40"/>
  <c r="P66" i="21"/>
  <c r="P75" i="21" l="1"/>
  <c r="N63" i="21"/>
  <c r="O63" i="21"/>
  <c r="P63" i="21" l="1"/>
  <c r="N71" i="21"/>
  <c r="O71" i="21"/>
  <c r="M63" i="21"/>
  <c r="P55" i="21" l="1"/>
  <c r="P71" i="21"/>
  <c r="M71" i="21"/>
  <c r="P52" i="21"/>
  <c r="P24" i="21" l="1"/>
  <c r="P28" i="21"/>
  <c r="F56" i="21" l="1"/>
  <c r="D56" i="21"/>
  <c r="P53" i="21"/>
  <c r="E56" i="21"/>
  <c r="F174" i="21" l="1"/>
  <c r="AB174" i="21" s="1"/>
  <c r="P54" i="21"/>
  <c r="E174" i="21"/>
  <c r="K345" i="22"/>
  <c r="D174" i="21"/>
  <c r="G56" i="21"/>
  <c r="P29" i="21"/>
  <c r="AA174" i="21" l="1"/>
  <c r="P51" i="21"/>
  <c r="Z174" i="21"/>
  <c r="G174" i="21"/>
  <c r="P27" i="21"/>
  <c r="P21" i="21" s="1"/>
  <c r="P56" i="21" l="1"/>
  <c r="AC174" i="21"/>
  <c r="N50" i="21"/>
  <c r="D135" i="22"/>
  <c r="D16" i="21" s="1"/>
  <c r="V49" i="21" l="1"/>
  <c r="V142" i="21" s="1"/>
  <c r="N142" i="21"/>
  <c r="O50" i="21"/>
  <c r="W49" i="21" l="1"/>
  <c r="O142" i="21"/>
  <c r="P50" i="21"/>
  <c r="M50" i="21"/>
  <c r="E135" i="22"/>
  <c r="E16" i="21" s="1"/>
  <c r="M142" i="21" l="1"/>
  <c r="P142" i="21" s="1"/>
  <c r="W142" i="21"/>
  <c r="F135" i="22"/>
  <c r="F16" i="21" s="1"/>
  <c r="G16" i="21" s="1"/>
  <c r="F11" i="21" l="1"/>
  <c r="U142" i="21"/>
  <c r="X142" i="21" s="1"/>
  <c r="X49" i="21"/>
  <c r="K135" i="22"/>
  <c r="F182" i="21" l="1"/>
  <c r="F183" i="21" s="1"/>
  <c r="F138" i="21"/>
  <c r="E182" i="21"/>
  <c r="E11" i="21"/>
  <c r="O11" i="21"/>
  <c r="G11" i="21"/>
  <c r="D182" i="21"/>
  <c r="D11" i="21"/>
  <c r="AF165" i="21" l="1"/>
  <c r="AF168" i="21"/>
  <c r="AF175" i="21"/>
  <c r="AF169" i="21"/>
  <c r="AF179" i="21"/>
  <c r="AF164" i="21"/>
  <c r="AF180" i="21"/>
  <c r="AF178" i="21"/>
  <c r="AF166" i="21"/>
  <c r="AF183" i="21"/>
  <c r="AF174" i="21"/>
  <c r="AF172" i="21"/>
  <c r="AF167" i="21"/>
  <c r="AF181" i="21"/>
  <c r="AF176" i="21"/>
  <c r="E138" i="21"/>
  <c r="AA182" i="21"/>
  <c r="AA183" i="21" s="1"/>
  <c r="E183" i="21"/>
  <c r="AB182" i="21"/>
  <c r="AB183" i="21" s="1"/>
  <c r="AF182" i="21"/>
  <c r="D138" i="21"/>
  <c r="N11" i="21"/>
  <c r="P16" i="21"/>
  <c r="G182" i="21"/>
  <c r="G183" i="21" s="1"/>
  <c r="Z182" i="21"/>
  <c r="D183" i="21"/>
  <c r="AD182" i="21" s="1"/>
  <c r="D211" i="21" s="1"/>
  <c r="O137" i="21"/>
  <c r="O154" i="21" s="1"/>
  <c r="W10" i="21"/>
  <c r="O129" i="21"/>
  <c r="W137" i="21" l="1"/>
  <c r="W154" i="21" s="1"/>
  <c r="W129" i="21"/>
  <c r="AC182" i="21"/>
  <c r="AC183" i="21" s="1"/>
  <c r="Z183" i="21"/>
  <c r="Z185" i="21" s="1"/>
  <c r="N137" i="21"/>
  <c r="N154" i="21" s="1"/>
  <c r="N129" i="21"/>
  <c r="V10" i="21"/>
  <c r="G138" i="21"/>
  <c r="AG182" i="21"/>
  <c r="AG183" i="21"/>
  <c r="AG178" i="21"/>
  <c r="AG164" i="21"/>
  <c r="AG181" i="21"/>
  <c r="AG180" i="21"/>
  <c r="AG175" i="21"/>
  <c r="AG165" i="21"/>
  <c r="AG174" i="21"/>
  <c r="AG176" i="21"/>
  <c r="AG172" i="21"/>
  <c r="AG168" i="21"/>
  <c r="AG167" i="21"/>
  <c r="AG166" i="21"/>
  <c r="AG169" i="21"/>
  <c r="AG179" i="21"/>
  <c r="AE182" i="21"/>
  <c r="AE164" i="21"/>
  <c r="AE166" i="21"/>
  <c r="AE169" i="21"/>
  <c r="AE174" i="21"/>
  <c r="AE167" i="21"/>
  <c r="AE176" i="21"/>
  <c r="AE183" i="21"/>
  <c r="AE179" i="21"/>
  <c r="AE175" i="21"/>
  <c r="AE178" i="21"/>
  <c r="AE172" i="21"/>
  <c r="AE180" i="21"/>
  <c r="AE168" i="21"/>
  <c r="AE165" i="21"/>
  <c r="AE181" i="21"/>
  <c r="P11" i="21"/>
  <c r="P129" i="21" s="1"/>
  <c r="M11" i="21"/>
  <c r="AD176" i="21"/>
  <c r="D205" i="21" s="1"/>
  <c r="AD183" i="21"/>
  <c r="AD168" i="21"/>
  <c r="D197" i="21" s="1"/>
  <c r="AD174" i="21"/>
  <c r="D203" i="21" s="1"/>
  <c r="AD179" i="21"/>
  <c r="D208" i="21" s="1"/>
  <c r="AD164" i="21"/>
  <c r="D193" i="21" s="1"/>
  <c r="AD178" i="21"/>
  <c r="D207" i="21" s="1"/>
  <c r="AD169" i="21"/>
  <c r="D198" i="21" s="1"/>
  <c r="AD166" i="21"/>
  <c r="D195" i="21" s="1"/>
  <c r="AD165" i="21"/>
  <c r="D194" i="21" s="1"/>
  <c r="AD167" i="21"/>
  <c r="D196" i="21" s="1"/>
  <c r="AD181" i="21"/>
  <c r="D210" i="21" s="1"/>
  <c r="D185" i="21"/>
  <c r="AD175" i="21"/>
  <c r="D204" i="21" s="1"/>
  <c r="AD180" i="21"/>
  <c r="D209" i="21" s="1"/>
  <c r="AD172" i="21"/>
  <c r="D201" i="21" s="1"/>
  <c r="Z211" i="21"/>
  <c r="D229" i="21"/>
  <c r="Z209" i="21" l="1"/>
  <c r="D228" i="21"/>
  <c r="Z210" i="21"/>
  <c r="D227" i="21"/>
  <c r="Z208" i="21"/>
  <c r="AC138" i="21"/>
  <c r="Z229" i="21"/>
  <c r="Z204" i="21"/>
  <c r="Z196" i="21"/>
  <c r="Z198" i="21"/>
  <c r="Z203" i="21"/>
  <c r="Z205" i="21"/>
  <c r="V137" i="21"/>
  <c r="V154" i="21" s="1"/>
  <c r="V129" i="21"/>
  <c r="D220" i="21"/>
  <c r="Z194" i="21"/>
  <c r="D226" i="21"/>
  <c r="Z207" i="21"/>
  <c r="M137" i="21"/>
  <c r="P137" i="21" s="1"/>
  <c r="M129" i="21"/>
  <c r="M131" i="21" s="1"/>
  <c r="Z201" i="21"/>
  <c r="D223" i="21"/>
  <c r="D221" i="21"/>
  <c r="Z195" i="21"/>
  <c r="D212" i="21"/>
  <c r="D225" i="21"/>
  <c r="Z193" i="21"/>
  <c r="Z197" i="21"/>
  <c r="AD207" i="21" l="1"/>
  <c r="AD212" i="21"/>
  <c r="AD211" i="21"/>
  <c r="Z221" i="21"/>
  <c r="N232" i="21"/>
  <c r="N214" i="21"/>
  <c r="N187" i="21"/>
  <c r="P184" i="21"/>
  <c r="W130" i="21"/>
  <c r="O155" i="21"/>
  <c r="O156" i="21" s="1"/>
  <c r="O131" i="21"/>
  <c r="AD194" i="21"/>
  <c r="AD198" i="21"/>
  <c r="AD209" i="21"/>
  <c r="AD193" i="21"/>
  <c r="AD201" i="21"/>
  <c r="X10" i="21"/>
  <c r="X129" i="21" s="1"/>
  <c r="U137" i="21"/>
  <c r="U129" i="21"/>
  <c r="U131" i="21" s="1"/>
  <c r="AD203" i="21"/>
  <c r="AD208" i="21"/>
  <c r="AD210" i="21"/>
  <c r="Z228" i="21"/>
  <c r="AD197" i="21"/>
  <c r="Z212" i="21"/>
  <c r="AD195" i="21"/>
  <c r="Z223" i="21"/>
  <c r="M154" i="21"/>
  <c r="P154" i="21" s="1"/>
  <c r="Z226" i="21"/>
  <c r="Z220" i="21"/>
  <c r="D230" i="21"/>
  <c r="AD226" i="21" s="1"/>
  <c r="AD204" i="21"/>
  <c r="Z225" i="21"/>
  <c r="AD205" i="21"/>
  <c r="AD196" i="21"/>
  <c r="Z227" i="21"/>
  <c r="AD227" i="21" l="1"/>
  <c r="AD225" i="21"/>
  <c r="AD223" i="21"/>
  <c r="P158" i="21"/>
  <c r="G204" i="21"/>
  <c r="G205" i="21"/>
  <c r="G193" i="21"/>
  <c r="G210" i="21"/>
  <c r="AD228" i="21"/>
  <c r="G211" i="21"/>
  <c r="G197" i="21"/>
  <c r="G198" i="21"/>
  <c r="G195" i="21"/>
  <c r="G196" i="21"/>
  <c r="M156" i="21"/>
  <c r="V214" i="21"/>
  <c r="V232" i="21"/>
  <c r="V187" i="21"/>
  <c r="W155" i="21"/>
  <c r="W156" i="21" s="1"/>
  <c r="W131" i="21"/>
  <c r="G203" i="21"/>
  <c r="G209" i="21"/>
  <c r="G207" i="21"/>
  <c r="G208" i="21"/>
  <c r="O184" i="21"/>
  <c r="V130" i="21"/>
  <c r="N155" i="21"/>
  <c r="P130" i="21"/>
  <c r="P131" i="21" s="1"/>
  <c r="N131" i="21"/>
  <c r="AD220" i="21"/>
  <c r="AD230" i="21"/>
  <c r="AD229" i="21"/>
  <c r="X137" i="21"/>
  <c r="U154" i="21"/>
  <c r="P200" i="21"/>
  <c r="X200" i="21" s="1"/>
  <c r="P185" i="21"/>
  <c r="P187" i="21" s="1"/>
  <c r="P204" i="21"/>
  <c r="X204" i="21" s="1"/>
  <c r="P206" i="21"/>
  <c r="P199" i="21"/>
  <c r="P195" i="21"/>
  <c r="X184" i="21"/>
  <c r="P198" i="21"/>
  <c r="X198" i="21" s="1"/>
  <c r="P194" i="21"/>
  <c r="P201" i="21"/>
  <c r="P193" i="21"/>
  <c r="P210" i="21"/>
  <c r="X210" i="21" s="1"/>
  <c r="P208" i="21"/>
  <c r="P205" i="21"/>
  <c r="X205" i="21" s="1"/>
  <c r="P202" i="21"/>
  <c r="X202" i="21" s="1"/>
  <c r="P196" i="21"/>
  <c r="X196" i="21" s="1"/>
  <c r="P203" i="21"/>
  <c r="X203" i="21" s="1"/>
  <c r="P197" i="21"/>
  <c r="X197" i="21" s="1"/>
  <c r="P209" i="21"/>
  <c r="P211" i="21"/>
  <c r="P207" i="21"/>
  <c r="G194" i="21"/>
  <c r="G201" i="21"/>
  <c r="Z230" i="21"/>
  <c r="AD221" i="21"/>
  <c r="N158" i="21" l="1"/>
  <c r="X158" i="21"/>
  <c r="X185" i="21"/>
  <c r="X187" i="21" s="1"/>
  <c r="G220" i="21"/>
  <c r="X201" i="21"/>
  <c r="P223" i="21"/>
  <c r="P221" i="21"/>
  <c r="X195" i="21"/>
  <c r="O196" i="21"/>
  <c r="O207" i="21"/>
  <c r="O195" i="21"/>
  <c r="O199" i="21"/>
  <c r="O204" i="21"/>
  <c r="O209" i="21"/>
  <c r="O210" i="21"/>
  <c r="O208" i="21"/>
  <c r="O205" i="21"/>
  <c r="W184" i="21"/>
  <c r="Q184" i="21"/>
  <c r="Q185" i="21" s="1"/>
  <c r="Q187" i="21" s="1"/>
  <c r="O197" i="21"/>
  <c r="O211" i="21"/>
  <c r="O198" i="21"/>
  <c r="O200" i="21"/>
  <c r="O193" i="21"/>
  <c r="O194" i="21"/>
  <c r="O201" i="21"/>
  <c r="O202" i="21"/>
  <c r="O206" i="21"/>
  <c r="O185" i="21"/>
  <c r="O187" i="21" s="1"/>
  <c r="O203" i="21"/>
  <c r="P212" i="21"/>
  <c r="P214" i="21" s="1"/>
  <c r="X193" i="21"/>
  <c r="P225" i="21"/>
  <c r="G223" i="21"/>
  <c r="P226" i="21"/>
  <c r="X207" i="21"/>
  <c r="X208" i="21"/>
  <c r="P227" i="21"/>
  <c r="P220" i="21"/>
  <c r="X194" i="21"/>
  <c r="X199" i="21"/>
  <c r="P222" i="21"/>
  <c r="G221" i="21"/>
  <c r="G212" i="21"/>
  <c r="AG194" i="21" s="1"/>
  <c r="G225" i="21"/>
  <c r="P229" i="21"/>
  <c r="X211" i="21"/>
  <c r="X206" i="21"/>
  <c r="P224" i="21"/>
  <c r="P155" i="21"/>
  <c r="P156" i="21" s="1"/>
  <c r="N156" i="21"/>
  <c r="G227" i="21"/>
  <c r="G226" i="21"/>
  <c r="G228" i="21"/>
  <c r="X209" i="21"/>
  <c r="P228" i="21"/>
  <c r="X154" i="21"/>
  <c r="U156" i="21"/>
  <c r="V158" i="21" s="1"/>
  <c r="X130" i="21"/>
  <c r="X131" i="21" s="1"/>
  <c r="D244" i="21" s="1"/>
  <c r="I247" i="40" s="1"/>
  <c r="V155" i="21"/>
  <c r="V131" i="21"/>
  <c r="G229" i="21"/>
  <c r="O158" i="21" l="1"/>
  <c r="Q158" i="21"/>
  <c r="AG204" i="21"/>
  <c r="AG193" i="21"/>
  <c r="AG208" i="21"/>
  <c r="AG203" i="21"/>
  <c r="AG205" i="21"/>
  <c r="X229" i="21"/>
  <c r="AG211" i="21"/>
  <c r="Q206" i="21"/>
  <c r="O224" i="21"/>
  <c r="Q224" i="21" s="1"/>
  <c r="W206" i="21"/>
  <c r="O225" i="21"/>
  <c r="Q225" i="21" s="1"/>
  <c r="W193" i="21"/>
  <c r="O212" i="21"/>
  <c r="O214" i="21" s="1"/>
  <c r="Q193" i="21"/>
  <c r="W197" i="21"/>
  <c r="Q197" i="21"/>
  <c r="W208" i="21"/>
  <c r="Q208" i="21"/>
  <c r="O227" i="21"/>
  <c r="Q227" i="21" s="1"/>
  <c r="Q199" i="21"/>
  <c r="W199" i="21"/>
  <c r="O222" i="21"/>
  <c r="Q222" i="21" s="1"/>
  <c r="X221" i="21"/>
  <c r="G230" i="21"/>
  <c r="AG228" i="21" s="1"/>
  <c r="X224" i="21"/>
  <c r="AG210" i="21"/>
  <c r="AG207" i="21"/>
  <c r="X155" i="21"/>
  <c r="X156" i="21" s="1"/>
  <c r="Y158" i="21" s="1"/>
  <c r="V156" i="21"/>
  <c r="W158" i="21" s="1"/>
  <c r="AG197" i="21"/>
  <c r="AG196" i="21"/>
  <c r="X222" i="21"/>
  <c r="X227" i="21"/>
  <c r="AG209" i="21"/>
  <c r="W202" i="21"/>
  <c r="Q202" i="21"/>
  <c r="W200" i="21"/>
  <c r="Q200" i="21"/>
  <c r="Q210" i="21"/>
  <c r="W210" i="21"/>
  <c r="Q195" i="21"/>
  <c r="O221" i="21"/>
  <c r="Q221" i="21" s="1"/>
  <c r="W195" i="21"/>
  <c r="X228" i="21"/>
  <c r="X220" i="21"/>
  <c r="X226" i="21"/>
  <c r="W203" i="21"/>
  <c r="Q203" i="21"/>
  <c r="O223" i="21"/>
  <c r="Q223" i="21" s="1"/>
  <c r="W201" i="21"/>
  <c r="Q201" i="21"/>
  <c r="W198" i="21"/>
  <c r="Q198" i="21"/>
  <c r="Y184" i="21"/>
  <c r="Y185" i="21" s="1"/>
  <c r="Y187" i="21" s="1"/>
  <c r="W185" i="21"/>
  <c r="W187" i="21" s="1"/>
  <c r="O228" i="21"/>
  <c r="Q228" i="21" s="1"/>
  <c r="W209" i="21"/>
  <c r="Q209" i="21"/>
  <c r="O226" i="21"/>
  <c r="Q226" i="21" s="1"/>
  <c r="Q207" i="21"/>
  <c r="W207" i="21"/>
  <c r="AG198" i="21"/>
  <c r="AG212" i="21"/>
  <c r="P230" i="21"/>
  <c r="P232" i="21" s="1"/>
  <c r="X225" i="21"/>
  <c r="X212" i="21"/>
  <c r="X214" i="21" s="1"/>
  <c r="AG195" i="21"/>
  <c r="O220" i="21"/>
  <c r="W194" i="21"/>
  <c r="Q194" i="21"/>
  <c r="O229" i="21"/>
  <c r="Q229" i="21" s="1"/>
  <c r="Q211" i="21"/>
  <c r="W211" i="21"/>
  <c r="W205" i="21"/>
  <c r="Q205" i="21"/>
  <c r="Q204" i="21"/>
  <c r="W204" i="21"/>
  <c r="Q196" i="21"/>
  <c r="W196" i="21"/>
  <c r="X223" i="21"/>
  <c r="AG201" i="21"/>
  <c r="AG221" i="21" l="1"/>
  <c r="AG227" i="21"/>
  <c r="AG229" i="21"/>
  <c r="AG220" i="21"/>
  <c r="AG225" i="21"/>
  <c r="Q220" i="21"/>
  <c r="Q230" i="21" s="1"/>
  <c r="Q232" i="21" s="1"/>
  <c r="O230" i="21"/>
  <c r="O232" i="21" s="1"/>
  <c r="Y196" i="21"/>
  <c r="Y205" i="21"/>
  <c r="Y200" i="21"/>
  <c r="Q212" i="21"/>
  <c r="Q214" i="21" s="1"/>
  <c r="W224" i="21"/>
  <c r="Y206" i="21"/>
  <c r="AG223" i="21"/>
  <c r="W228" i="21"/>
  <c r="Y209" i="21"/>
  <c r="W223" i="21"/>
  <c r="Y201" i="21"/>
  <c r="Y204" i="21"/>
  <c r="W229" i="21"/>
  <c r="Y211" i="21"/>
  <c r="Y194" i="21"/>
  <c r="W220" i="21"/>
  <c r="Y198" i="21"/>
  <c r="Y210" i="21"/>
  <c r="AG226" i="21"/>
  <c r="AG230" i="21"/>
  <c r="W222" i="21"/>
  <c r="Y199" i="21"/>
  <c r="Y208" i="21"/>
  <c r="W227" i="21"/>
  <c r="Y203" i="21"/>
  <c r="X230" i="21"/>
  <c r="X232" i="21" s="1"/>
  <c r="W221" i="21"/>
  <c r="Y195" i="21"/>
  <c r="Y202" i="21"/>
  <c r="Y193" i="21"/>
  <c r="W225" i="21"/>
  <c r="W212" i="21"/>
  <c r="W214" i="21" s="1"/>
  <c r="W226" i="21"/>
  <c r="Y207" i="21"/>
  <c r="Y197" i="21"/>
  <c r="Y226" i="21" l="1"/>
  <c r="Y227" i="21"/>
  <c r="Y212" i="21"/>
  <c r="Y214" i="21" s="1"/>
  <c r="Y225" i="21"/>
  <c r="Y222" i="21"/>
  <c r="AC193" i="21"/>
  <c r="AC212" i="21" s="1"/>
  <c r="Y221" i="21"/>
  <c r="Y220" i="21"/>
  <c r="W230" i="21"/>
  <c r="W232" i="21" s="1"/>
  <c r="Y229" i="21"/>
  <c r="Y228" i="21"/>
  <c r="Y223" i="21"/>
  <c r="Y224" i="21"/>
  <c r="Y230" i="21" l="1"/>
  <c r="Y232" i="21" s="1"/>
  <c r="AC220" i="21"/>
  <c r="AC230" i="21" s="1"/>
  <c r="AC223" i="21"/>
  <c r="AC205" i="21"/>
  <c r="AC227" i="21"/>
  <c r="AC221" i="21"/>
  <c r="AC228" i="21"/>
  <c r="AC229" i="21"/>
  <c r="AC225" i="21"/>
  <c r="AC226" i="21"/>
  <c r="AC210" i="21"/>
  <c r="AC196" i="21"/>
  <c r="AC204" i="21"/>
  <c r="AC203" i="21"/>
  <c r="AC198" i="21"/>
  <c r="AC197" i="21"/>
  <c r="AC201" i="21"/>
  <c r="AC208" i="21"/>
  <c r="AC209" i="21"/>
  <c r="AC194" i="21"/>
  <c r="AC195" i="21"/>
  <c r="AC211" i="21"/>
  <c r="AC207" i="21"/>
  <c r="P50" i="4"/>
  <c r="P50" i="5"/>
  <c r="P52" i="5" l="1"/>
  <c r="P75" i="5"/>
  <c r="P63" i="5"/>
  <c r="P87" i="5"/>
  <c r="Q50" i="5"/>
  <c r="P51" i="4"/>
  <c r="F11" i="3"/>
  <c r="T89" i="5" l="1"/>
  <c r="R88" i="5"/>
  <c r="S89" i="5"/>
  <c r="Q88" i="5"/>
  <c r="P88" i="5"/>
  <c r="P89" i="5"/>
  <c r="Q89" i="5"/>
  <c r="R89" i="5"/>
  <c r="T65" i="5"/>
  <c r="R64" i="5"/>
  <c r="S65" i="5"/>
  <c r="Q64" i="5"/>
  <c r="P65" i="5"/>
  <c r="R65" i="5"/>
  <c r="P64" i="5"/>
  <c r="Q65" i="5"/>
  <c r="P77" i="5"/>
  <c r="P76" i="5"/>
  <c r="P53" i="5"/>
  <c r="P68" i="5"/>
  <c r="P92" i="5"/>
  <c r="V11" i="3"/>
  <c r="W24" i="3" s="1"/>
  <c r="F33" i="3"/>
  <c r="F12" i="3"/>
  <c r="F13" i="3" s="1"/>
  <c r="P64" i="4"/>
  <c r="P53" i="4"/>
  <c r="P54" i="4" s="1"/>
  <c r="Q49" i="5"/>
  <c r="K32" i="5" s="1"/>
  <c r="R50" i="5"/>
  <c r="P88" i="4"/>
  <c r="P70" i="5" l="1"/>
  <c r="P69" i="5"/>
  <c r="P94" i="5"/>
  <c r="P93" i="5"/>
  <c r="P76" i="4"/>
  <c r="P121" i="4"/>
  <c r="P89" i="4"/>
  <c r="P90" i="4"/>
  <c r="S50" i="5"/>
  <c r="R49" i="5"/>
  <c r="K33" i="5" s="1"/>
  <c r="P66" i="4"/>
  <c r="P65" i="4"/>
  <c r="F195" i="3"/>
  <c r="Q50" i="4"/>
  <c r="P78" i="4"/>
  <c r="P77" i="4"/>
  <c r="F34" i="3"/>
  <c r="F55" i="3"/>
  <c r="Q47" i="5"/>
  <c r="H32" i="5" s="1"/>
  <c r="P69" i="4"/>
  <c r="P93" i="4"/>
  <c r="V12" i="3"/>
  <c r="V13" i="3" l="1"/>
  <c r="W25" i="3"/>
  <c r="R47" i="5"/>
  <c r="H33" i="5" s="1"/>
  <c r="P126" i="4"/>
  <c r="P131" i="4"/>
  <c r="F23" i="3"/>
  <c r="F35" i="3"/>
  <c r="F197" i="3"/>
  <c r="P71" i="4"/>
  <c r="P70" i="4"/>
  <c r="Q48" i="4"/>
  <c r="Q48" i="5"/>
  <c r="I32" i="5" s="1"/>
  <c r="T50" i="5"/>
  <c r="S49" i="5"/>
  <c r="P95" i="4"/>
  <c r="P94" i="4"/>
  <c r="F77" i="3"/>
  <c r="F56" i="3"/>
  <c r="K32" i="4"/>
  <c r="G11" i="3"/>
  <c r="R50" i="4"/>
  <c r="W192" i="3" l="1"/>
  <c r="W26" i="3"/>
  <c r="S47" i="5"/>
  <c r="H34" i="5" s="1"/>
  <c r="K34" i="5"/>
  <c r="R48" i="5"/>
  <c r="R48" i="4"/>
  <c r="H33" i="4" s="1"/>
  <c r="S48" i="4"/>
  <c r="K33" i="4"/>
  <c r="H11" i="3"/>
  <c r="L32" i="5"/>
  <c r="Q49" i="4"/>
  <c r="F227" i="3"/>
  <c r="F228" i="3" s="1"/>
  <c r="F24" i="3"/>
  <c r="W11" i="3"/>
  <c r="X24" i="3" s="1"/>
  <c r="G33" i="3"/>
  <c r="F57" i="3"/>
  <c r="F45" i="3"/>
  <c r="U50" i="5"/>
  <c r="T49" i="5"/>
  <c r="K35" i="5" s="1"/>
  <c r="H32" i="4"/>
  <c r="G9" i="3"/>
  <c r="F99" i="3"/>
  <c r="F121" i="3"/>
  <c r="F78" i="3"/>
  <c r="F198" i="3"/>
  <c r="F236" i="3"/>
  <c r="F237" i="3" s="1"/>
  <c r="F848" i="3"/>
  <c r="F219" i="3"/>
  <c r="F210" i="3"/>
  <c r="F201" i="3"/>
  <c r="S50" i="4"/>
  <c r="S48" i="5" l="1"/>
  <c r="H9" i="3"/>
  <c r="X9" i="3" s="1"/>
  <c r="Y22" i="3" s="1"/>
  <c r="S49" i="4"/>
  <c r="I34" i="4" s="1"/>
  <c r="I34" i="5"/>
  <c r="L34" i="5" s="1"/>
  <c r="R49" i="4"/>
  <c r="I33" i="5"/>
  <c r="L33" i="5" s="1"/>
  <c r="Q51" i="4"/>
  <c r="Q105" i="4"/>
  <c r="F212" i="3"/>
  <c r="F122" i="3"/>
  <c r="T50" i="4"/>
  <c r="X11" i="3"/>
  <c r="Y24" i="3" s="1"/>
  <c r="H33" i="3"/>
  <c r="H55" i="3" s="1"/>
  <c r="H77" i="3" s="1"/>
  <c r="F100" i="3"/>
  <c r="Q64" i="4"/>
  <c r="K34" i="4"/>
  <c r="I11" i="3"/>
  <c r="F221" i="3"/>
  <c r="T47" i="5"/>
  <c r="H35" i="5" s="1"/>
  <c r="G55" i="3"/>
  <c r="G10" i="3"/>
  <c r="G12" i="3" s="1"/>
  <c r="I32" i="4"/>
  <c r="L32" i="4" s="1"/>
  <c r="F203" i="3"/>
  <c r="F230" i="3"/>
  <c r="F79" i="3"/>
  <c r="F68" i="3" s="1"/>
  <c r="F67" i="3"/>
  <c r="G31" i="3"/>
  <c r="W9" i="3"/>
  <c r="X22" i="3" s="1"/>
  <c r="F46" i="3"/>
  <c r="D269" i="22"/>
  <c r="D271" i="22" s="1"/>
  <c r="D273" i="22" s="1"/>
  <c r="F850" i="3"/>
  <c r="U49" i="5"/>
  <c r="K36" i="5" s="1"/>
  <c r="V50" i="5"/>
  <c r="F239" i="3"/>
  <c r="M11" i="3"/>
  <c r="H34" i="4"/>
  <c r="I9" i="3"/>
  <c r="AC11" i="3" l="1"/>
  <c r="M9" i="3"/>
  <c r="H31" i="3"/>
  <c r="H53" i="3" s="1"/>
  <c r="S105" i="4"/>
  <c r="I10" i="3"/>
  <c r="I12" i="3" s="1"/>
  <c r="H10" i="3"/>
  <c r="M10" i="3" s="1"/>
  <c r="M12" i="3" s="1"/>
  <c r="R105" i="4"/>
  <c r="R106" i="4" s="1"/>
  <c r="I33" i="4"/>
  <c r="L33" i="4" s="1"/>
  <c r="R51" i="4"/>
  <c r="R88" i="4" s="1"/>
  <c r="S51" i="4"/>
  <c r="S88" i="4" s="1"/>
  <c r="Q88" i="4"/>
  <c r="Q89" i="4" s="1"/>
  <c r="Q107" i="4"/>
  <c r="Q106" i="4"/>
  <c r="U50" i="4"/>
  <c r="U47" i="5"/>
  <c r="H36" i="5" s="1"/>
  <c r="M33" i="3"/>
  <c r="Q65" i="4"/>
  <c r="Q66" i="4"/>
  <c r="F214" i="3"/>
  <c r="F205" i="3"/>
  <c r="G32" i="3"/>
  <c r="G34" i="3" s="1"/>
  <c r="W10" i="3"/>
  <c r="G77" i="3"/>
  <c r="M55" i="3"/>
  <c r="F852" i="3"/>
  <c r="L34" i="4"/>
  <c r="V49" i="5"/>
  <c r="K37" i="5" s="1"/>
  <c r="AC9" i="3"/>
  <c r="G53" i="3"/>
  <c r="T48" i="4"/>
  <c r="T48" i="5"/>
  <c r="Y11" i="3"/>
  <c r="Z24" i="3" s="1"/>
  <c r="I33" i="3"/>
  <c r="F89" i="3"/>
  <c r="F101" i="3"/>
  <c r="K35" i="4"/>
  <c r="J11" i="3"/>
  <c r="I31" i="3"/>
  <c r="Y9" i="3"/>
  <c r="Z22" i="3" s="1"/>
  <c r="F241" i="3"/>
  <c r="D39" i="21"/>
  <c r="F232" i="3"/>
  <c r="F223" i="3"/>
  <c r="H99" i="3"/>
  <c r="H121" i="3"/>
  <c r="F142" i="3"/>
  <c r="F111" i="3"/>
  <c r="F123" i="3"/>
  <c r="F132" i="3"/>
  <c r="W12" i="3" l="1"/>
  <c r="X25" i="3" s="1"/>
  <c r="X23" i="3"/>
  <c r="Q90" i="4"/>
  <c r="M31" i="3"/>
  <c r="S106" i="4"/>
  <c r="Y10" i="3"/>
  <c r="Z23" i="3" s="1"/>
  <c r="I32" i="3"/>
  <c r="I54" i="3" s="1"/>
  <c r="S107" i="4"/>
  <c r="H12" i="3"/>
  <c r="X10" i="3"/>
  <c r="Y23" i="3" s="1"/>
  <c r="H32" i="3"/>
  <c r="R89" i="4"/>
  <c r="S64" i="4"/>
  <c r="R107" i="4"/>
  <c r="T49" i="4"/>
  <c r="I35" i="4" s="1"/>
  <c r="I35" i="5"/>
  <c r="L35" i="5" s="1"/>
  <c r="V47" i="5"/>
  <c r="H37" i="5" s="1"/>
  <c r="R64" i="4"/>
  <c r="H35" i="4"/>
  <c r="R90" i="4"/>
  <c r="K11" i="3"/>
  <c r="AA11" i="3" s="1"/>
  <c r="AB24" i="3" s="1"/>
  <c r="K36" i="4"/>
  <c r="S90" i="4"/>
  <c r="U48" i="4"/>
  <c r="V50" i="4"/>
  <c r="U48" i="5"/>
  <c r="G23" i="3"/>
  <c r="M53" i="3"/>
  <c r="G75" i="3"/>
  <c r="F906" i="3"/>
  <c r="F854" i="3"/>
  <c r="F112" i="3"/>
  <c r="H75" i="3"/>
  <c r="G99" i="3"/>
  <c r="G121" i="3"/>
  <c r="M77" i="3"/>
  <c r="F915" i="3"/>
  <c r="F691" i="3"/>
  <c r="F216" i="3"/>
  <c r="F711" i="3"/>
  <c r="F234" i="3"/>
  <c r="Z11" i="3"/>
  <c r="AA24" i="3" s="1"/>
  <c r="J33" i="3"/>
  <c r="F90" i="3"/>
  <c r="F147" i="3"/>
  <c r="S89" i="4"/>
  <c r="N11" i="3"/>
  <c r="J9" i="3"/>
  <c r="F207" i="3"/>
  <c r="F681" i="3"/>
  <c r="F133" i="3"/>
  <c r="F721" i="3"/>
  <c r="F243" i="3"/>
  <c r="F143" i="3"/>
  <c r="F225" i="3"/>
  <c r="F701" i="3"/>
  <c r="I53" i="3"/>
  <c r="I55" i="3"/>
  <c r="G54" i="3"/>
  <c r="G56" i="3" s="1"/>
  <c r="S66" i="4" l="1"/>
  <c r="Y12" i="3"/>
  <c r="Z25" i="3" s="1"/>
  <c r="AD11" i="3"/>
  <c r="X12" i="3"/>
  <c r="Y25" i="3" s="1"/>
  <c r="S65" i="4"/>
  <c r="I34" i="3"/>
  <c r="I23" i="3" s="1"/>
  <c r="AC10" i="3"/>
  <c r="AC12" i="3" s="1"/>
  <c r="T51" i="4"/>
  <c r="T88" i="4" s="1"/>
  <c r="J10" i="3"/>
  <c r="J12" i="3" s="1"/>
  <c r="U49" i="4"/>
  <c r="I36" i="4" s="1"/>
  <c r="I36" i="5"/>
  <c r="L36" i="5" s="1"/>
  <c r="R65" i="4"/>
  <c r="R66" i="4"/>
  <c r="H54" i="3"/>
  <c r="M54" i="3" s="1"/>
  <c r="M56" i="3" s="1"/>
  <c r="H34" i="3"/>
  <c r="H23" i="3" s="1"/>
  <c r="M32" i="3"/>
  <c r="M34" i="3" s="1"/>
  <c r="T105" i="4"/>
  <c r="T106" i="4" s="1"/>
  <c r="K33" i="3"/>
  <c r="K55" i="3" s="1"/>
  <c r="K77" i="3" s="1"/>
  <c r="K99" i="3" s="1"/>
  <c r="K9" i="3"/>
  <c r="K31" i="3" s="1"/>
  <c r="H36" i="4"/>
  <c r="L11" i="3"/>
  <c r="O11" i="3" s="1"/>
  <c r="K37" i="4"/>
  <c r="I76" i="3"/>
  <c r="J55" i="3"/>
  <c r="G45" i="3"/>
  <c r="L35" i="4"/>
  <c r="F925" i="3"/>
  <c r="F763" i="3"/>
  <c r="M99" i="3"/>
  <c r="F128" i="3"/>
  <c r="F149" i="3"/>
  <c r="F783" i="3"/>
  <c r="Z10" i="3"/>
  <c r="AA23" i="3" s="1"/>
  <c r="M75" i="3"/>
  <c r="G97" i="3"/>
  <c r="G119" i="3"/>
  <c r="F773" i="3"/>
  <c r="F138" i="3"/>
  <c r="F150" i="3"/>
  <c r="Z9" i="3"/>
  <c r="AA22" i="3" s="1"/>
  <c r="J31" i="3"/>
  <c r="N9" i="3"/>
  <c r="I77" i="3"/>
  <c r="F936" i="3"/>
  <c r="G76" i="3"/>
  <c r="G78" i="3" s="1"/>
  <c r="I75" i="3"/>
  <c r="I56" i="3"/>
  <c r="F793" i="3"/>
  <c r="V48" i="4"/>
  <c r="V48" i="5"/>
  <c r="I37" i="5" s="1"/>
  <c r="L37" i="5" s="1"/>
  <c r="N33" i="3"/>
  <c r="F753" i="3"/>
  <c r="F164" i="3"/>
  <c r="M121" i="3"/>
  <c r="H97" i="3"/>
  <c r="H119" i="3"/>
  <c r="F910" i="3"/>
  <c r="N10" i="3" l="1"/>
  <c r="U51" i="4"/>
  <c r="U64" i="4" s="1"/>
  <c r="J32" i="3"/>
  <c r="J54" i="3" s="1"/>
  <c r="K10" i="3"/>
  <c r="K32" i="3" s="1"/>
  <c r="K54" i="3" s="1"/>
  <c r="K76" i="3" s="1"/>
  <c r="K120" i="3" s="1"/>
  <c r="T64" i="4"/>
  <c r="T66" i="4" s="1"/>
  <c r="U105" i="4"/>
  <c r="U106" i="4" s="1"/>
  <c r="T107" i="4"/>
  <c r="H76" i="3"/>
  <c r="H56" i="3"/>
  <c r="H45" i="3" s="1"/>
  <c r="L33" i="3"/>
  <c r="L55" i="3" s="1"/>
  <c r="L77" i="3" s="1"/>
  <c r="L121" i="3" s="1"/>
  <c r="K121" i="3"/>
  <c r="AB11" i="3"/>
  <c r="AC24" i="3" s="1"/>
  <c r="AA9" i="3"/>
  <c r="AB22" i="3" s="1"/>
  <c r="L36" i="4"/>
  <c r="L9" i="3"/>
  <c r="AB9" i="3" s="1"/>
  <c r="AC22" i="3" s="1"/>
  <c r="H37" i="4"/>
  <c r="N55" i="3"/>
  <c r="K53" i="3"/>
  <c r="AD10" i="3"/>
  <c r="J77" i="3"/>
  <c r="N77" i="3" s="1"/>
  <c r="I120" i="3"/>
  <c r="I98" i="3"/>
  <c r="V49" i="4"/>
  <c r="U88" i="4"/>
  <c r="N12" i="3"/>
  <c r="I97" i="3"/>
  <c r="I119" i="3"/>
  <c r="I78" i="3"/>
  <c r="M119" i="3"/>
  <c r="G67" i="3"/>
  <c r="G98" i="3"/>
  <c r="G100" i="3" s="1"/>
  <c r="G120" i="3"/>
  <c r="G122" i="3" s="1"/>
  <c r="I99" i="3"/>
  <c r="I121" i="3"/>
  <c r="J53" i="3"/>
  <c r="N31" i="3"/>
  <c r="M97" i="3"/>
  <c r="F166" i="3"/>
  <c r="F148" i="3"/>
  <c r="F940" i="3"/>
  <c r="F184" i="3"/>
  <c r="I45" i="3"/>
  <c r="T90" i="4"/>
  <c r="T89" i="4"/>
  <c r="Z12" i="3"/>
  <c r="AA25" i="3" s="1"/>
  <c r="AD9" i="3"/>
  <c r="F167" i="3"/>
  <c r="AA10" i="3" l="1"/>
  <c r="AB23" i="3" s="1"/>
  <c r="N32" i="3"/>
  <c r="J34" i="3"/>
  <c r="J23" i="3" s="1"/>
  <c r="T65" i="4"/>
  <c r="K34" i="3"/>
  <c r="K98" i="3"/>
  <c r="AE11" i="3"/>
  <c r="K12" i="3"/>
  <c r="U107" i="4"/>
  <c r="O33" i="3"/>
  <c r="H120" i="3"/>
  <c r="H122" i="3" s="1"/>
  <c r="H98" i="3"/>
  <c r="H100" i="3" s="1"/>
  <c r="H78" i="3"/>
  <c r="H67" i="3" s="1"/>
  <c r="M76" i="3"/>
  <c r="M78" i="3" s="1"/>
  <c r="O55" i="3"/>
  <c r="L99" i="3"/>
  <c r="AE9" i="3"/>
  <c r="I37" i="4"/>
  <c r="L31" i="3"/>
  <c r="O31" i="3" s="1"/>
  <c r="O9" i="3"/>
  <c r="U66" i="4"/>
  <c r="AD12" i="3"/>
  <c r="U89" i="4"/>
  <c r="U90" i="4"/>
  <c r="V105" i="4"/>
  <c r="L10" i="3"/>
  <c r="V51" i="4"/>
  <c r="K75" i="3"/>
  <c r="K56" i="3"/>
  <c r="J99" i="3"/>
  <c r="J121" i="3"/>
  <c r="O77" i="3"/>
  <c r="U65" i="4"/>
  <c r="I100" i="3"/>
  <c r="I89" i="3" s="1"/>
  <c r="G89" i="3"/>
  <c r="F187" i="3"/>
  <c r="F152" i="3"/>
  <c r="F165" i="3"/>
  <c r="F146" i="3"/>
  <c r="N34" i="3"/>
  <c r="J76" i="3"/>
  <c r="N54" i="3"/>
  <c r="W184" i="3"/>
  <c r="X201" i="3" s="1"/>
  <c r="F373" i="3"/>
  <c r="F363" i="3"/>
  <c r="F393" i="3"/>
  <c r="D506" i="22"/>
  <c r="F353" i="3"/>
  <c r="F344" i="3"/>
  <c r="F335" i="3"/>
  <c r="D325" i="22"/>
  <c r="F383" i="3"/>
  <c r="F9" i="18"/>
  <c r="D397" i="22"/>
  <c r="P399" i="22" s="1"/>
  <c r="F186" i="3"/>
  <c r="J56" i="3"/>
  <c r="J75" i="3"/>
  <c r="N53" i="3"/>
  <c r="I67" i="3"/>
  <c r="G142" i="3"/>
  <c r="G132" i="3"/>
  <c r="G111" i="3"/>
  <c r="I122" i="3"/>
  <c r="K23" i="3" l="1"/>
  <c r="AA12" i="3"/>
  <c r="AB25" i="3" s="1"/>
  <c r="M98" i="3"/>
  <c r="M100" i="3" s="1"/>
  <c r="M120" i="3"/>
  <c r="M122" i="3" s="1"/>
  <c r="H89" i="3"/>
  <c r="H111" i="3"/>
  <c r="H142" i="3"/>
  <c r="M142" i="3" s="1"/>
  <c r="H132" i="3"/>
  <c r="M132" i="3" s="1"/>
  <c r="L53" i="3"/>
  <c r="O53" i="3" s="1"/>
  <c r="V88" i="4"/>
  <c r="V89" i="4" s="1"/>
  <c r="V64" i="4"/>
  <c r="V66" i="4" s="1"/>
  <c r="V106" i="4"/>
  <c r="V107" i="4"/>
  <c r="K119" i="3"/>
  <c r="K122" i="3" s="1"/>
  <c r="K97" i="3"/>
  <c r="K100" i="3" s="1"/>
  <c r="K78" i="3"/>
  <c r="L75" i="3"/>
  <c r="O75" i="3" s="1"/>
  <c r="AB10" i="3"/>
  <c r="AC23" i="3" s="1"/>
  <c r="L32" i="3"/>
  <c r="O10" i="3"/>
  <c r="L12" i="3"/>
  <c r="K45" i="3"/>
  <c r="L37" i="4"/>
  <c r="O121" i="3"/>
  <c r="N121" i="3"/>
  <c r="O99" i="3"/>
  <c r="N99" i="3"/>
  <c r="N56" i="3"/>
  <c r="F385" i="3"/>
  <c r="F551" i="3"/>
  <c r="F560" i="3"/>
  <c r="F542" i="3"/>
  <c r="F600" i="3"/>
  <c r="W187" i="3"/>
  <c r="X205" i="3" s="1"/>
  <c r="F590" i="3"/>
  <c r="F570" i="3"/>
  <c r="F12" i="18"/>
  <c r="F580" i="3"/>
  <c r="J45" i="3"/>
  <c r="D405" i="22"/>
  <c r="D413" i="22" s="1"/>
  <c r="D421" i="22" s="1"/>
  <c r="D445" i="22"/>
  <c r="D453" i="22" s="1"/>
  <c r="D461" i="22" s="1"/>
  <c r="D469" i="22" s="1"/>
  <c r="F340" i="3"/>
  <c r="F395" i="3"/>
  <c r="F151" i="3"/>
  <c r="F163" i="3"/>
  <c r="I111" i="3"/>
  <c r="I142" i="3"/>
  <c r="I132" i="3"/>
  <c r="F355" i="3"/>
  <c r="J97" i="3"/>
  <c r="J119" i="3"/>
  <c r="J78" i="3"/>
  <c r="N75" i="3"/>
  <c r="F375" i="3"/>
  <c r="J98" i="3"/>
  <c r="J120" i="3"/>
  <c r="N76" i="3"/>
  <c r="D512" i="22"/>
  <c r="D340" i="22"/>
  <c r="F473" i="3"/>
  <c r="W186" i="3"/>
  <c r="X204" i="3" s="1"/>
  <c r="F501" i="3"/>
  <c r="F511" i="3"/>
  <c r="F491" i="3"/>
  <c r="F531" i="3"/>
  <c r="F521" i="3"/>
  <c r="F482" i="3"/>
  <c r="D400" i="22"/>
  <c r="P402" i="22" s="1"/>
  <c r="F11" i="18"/>
  <c r="F346" i="3"/>
  <c r="F865" i="3"/>
  <c r="F365" i="3"/>
  <c r="F185" i="3"/>
  <c r="F170" i="3"/>
  <c r="V90" i="4" l="1"/>
  <c r="V65" i="4"/>
  <c r="L54" i="3"/>
  <c r="O32" i="3"/>
  <c r="L34" i="3"/>
  <c r="K89" i="3"/>
  <c r="L119" i="3"/>
  <c r="O119" i="3" s="1"/>
  <c r="L97" i="3"/>
  <c r="O97" i="3" s="1"/>
  <c r="K67" i="3"/>
  <c r="AE10" i="3"/>
  <c r="AB12" i="3"/>
  <c r="AC25" i="3" s="1"/>
  <c r="O12" i="3"/>
  <c r="K111" i="3"/>
  <c r="K142" i="3"/>
  <c r="K132" i="3"/>
  <c r="N98" i="3"/>
  <c r="N120" i="3"/>
  <c r="N78" i="3"/>
  <c r="F867" i="3"/>
  <c r="F503" i="3"/>
  <c r="J100" i="3"/>
  <c r="N97" i="3"/>
  <c r="F183" i="3"/>
  <c r="F592" i="3"/>
  <c r="F562" i="3"/>
  <c r="F387" i="3"/>
  <c r="F367" i="3"/>
  <c r="F349" i="3"/>
  <c r="D408" i="22"/>
  <c r="D416" i="22" s="1"/>
  <c r="D424" i="22" s="1"/>
  <c r="D448" i="22"/>
  <c r="D456" i="22" s="1"/>
  <c r="D464" i="22" s="1"/>
  <c r="D472" i="22" s="1"/>
  <c r="F493" i="3"/>
  <c r="F582" i="3"/>
  <c r="F484" i="3"/>
  <c r="F881" i="3"/>
  <c r="F513" i="3"/>
  <c r="F478" i="3"/>
  <c r="J67" i="3"/>
  <c r="F342" i="3"/>
  <c r="F684" i="3"/>
  <c r="F602" i="3"/>
  <c r="F553" i="3"/>
  <c r="F889" i="3"/>
  <c r="F452" i="3"/>
  <c r="F462" i="3"/>
  <c r="F404" i="3"/>
  <c r="F413" i="3"/>
  <c r="F422" i="3"/>
  <c r="F10" i="18"/>
  <c r="F442" i="3"/>
  <c r="F96" i="24"/>
  <c r="F432" i="3"/>
  <c r="W185" i="3"/>
  <c r="X203" i="3" s="1"/>
  <c r="X202" i="3" s="1"/>
  <c r="F190" i="3"/>
  <c r="F533" i="3"/>
  <c r="F377" i="3"/>
  <c r="F397" i="3"/>
  <c r="F523" i="3"/>
  <c r="J122" i="3"/>
  <c r="N119" i="3"/>
  <c r="F357" i="3"/>
  <c r="F168" i="3"/>
  <c r="F572" i="3"/>
  <c r="F547" i="3"/>
  <c r="N122" i="3" l="1"/>
  <c r="N100" i="3"/>
  <c r="AE12" i="3"/>
  <c r="L23" i="3"/>
  <c r="O34" i="3"/>
  <c r="L76" i="3"/>
  <c r="O54" i="3"/>
  <c r="L56" i="3"/>
  <c r="F188" i="3"/>
  <c r="F918" i="3"/>
  <c r="F351" i="3"/>
  <c r="F694" i="3"/>
  <c r="F389" i="3"/>
  <c r="F505" i="3"/>
  <c r="F359" i="3"/>
  <c r="F100" i="24"/>
  <c r="F99" i="24" s="1"/>
  <c r="F424" i="3"/>
  <c r="F556" i="3"/>
  <c r="F515" i="3"/>
  <c r="F869" i="3"/>
  <c r="F549" i="3"/>
  <c r="F687" i="3"/>
  <c r="F574" i="3"/>
  <c r="J111" i="3"/>
  <c r="J142" i="3"/>
  <c r="J132" i="3"/>
  <c r="F535" i="3"/>
  <c r="W190" i="3"/>
  <c r="F444" i="3"/>
  <c r="F873" i="3"/>
  <c r="F415" i="3"/>
  <c r="F883" i="3"/>
  <c r="F584" i="3"/>
  <c r="F495" i="3"/>
  <c r="F564" i="3"/>
  <c r="F594" i="3"/>
  <c r="F160" i="3"/>
  <c r="F284" i="3"/>
  <c r="F314" i="3"/>
  <c r="F324" i="3"/>
  <c r="F266" i="3"/>
  <c r="F294" i="3"/>
  <c r="F304" i="3"/>
  <c r="D320" i="22"/>
  <c r="D504" i="22"/>
  <c r="F275" i="3"/>
  <c r="D396" i="22"/>
  <c r="P398" i="22" s="1"/>
  <c r="F8" i="18"/>
  <c r="W183" i="3"/>
  <c r="X200" i="3" s="1"/>
  <c r="X206" i="3" s="1"/>
  <c r="F434" i="3"/>
  <c r="F464" i="3"/>
  <c r="F756" i="3"/>
  <c r="F525" i="3"/>
  <c r="F399" i="3"/>
  <c r="F379" i="3"/>
  <c r="F454" i="3"/>
  <c r="F15" i="18"/>
  <c r="F31" i="18"/>
  <c r="F409" i="3"/>
  <c r="F891" i="3"/>
  <c r="F604" i="3"/>
  <c r="F480" i="3"/>
  <c r="F686" i="3"/>
  <c r="F487" i="3"/>
  <c r="F369" i="3"/>
  <c r="F169" i="3"/>
  <c r="J89" i="3"/>
  <c r="L45" i="3" l="1"/>
  <c r="O56" i="3"/>
  <c r="L98" i="3"/>
  <c r="L120" i="3"/>
  <c r="O76" i="3"/>
  <c r="L78" i="3"/>
  <c r="F685" i="3"/>
  <c r="F411" i="3"/>
  <c r="F30" i="18"/>
  <c r="F296" i="3"/>
  <c r="F596" i="3"/>
  <c r="F537" i="3"/>
  <c r="F456" i="3"/>
  <c r="F724" i="3"/>
  <c r="F381" i="3"/>
  <c r="F527" i="3"/>
  <c r="F436" i="3"/>
  <c r="F326" i="3"/>
  <c r="F566" i="3"/>
  <c r="F497" i="3"/>
  <c r="F418" i="3"/>
  <c r="F759" i="3"/>
  <c r="F517" i="3"/>
  <c r="F921" i="3"/>
  <c r="F697" i="3"/>
  <c r="F558" i="3"/>
  <c r="D335" i="22"/>
  <c r="D510" i="22"/>
  <c r="D399" i="22"/>
  <c r="P403" i="22" s="1"/>
  <c r="F620" i="3"/>
  <c r="W188" i="3"/>
  <c r="F659" i="3"/>
  <c r="F629" i="3"/>
  <c r="F669" i="3"/>
  <c r="F13" i="18"/>
  <c r="F14" i="18" s="1"/>
  <c r="F611" i="3"/>
  <c r="F639" i="3"/>
  <c r="F649" i="3"/>
  <c r="F254" i="3"/>
  <c r="F255" i="3" s="1"/>
  <c r="F245" i="3"/>
  <c r="F246" i="3" s="1"/>
  <c r="F920" i="3"/>
  <c r="F489" i="3"/>
  <c r="F696" i="3"/>
  <c r="F758" i="3"/>
  <c r="F606" i="3"/>
  <c r="F401" i="3"/>
  <c r="F744" i="3"/>
  <c r="F466" i="3"/>
  <c r="F189" i="3"/>
  <c r="F306" i="3"/>
  <c r="F316" i="3"/>
  <c r="F885" i="3"/>
  <c r="F875" i="3"/>
  <c r="F446" i="3"/>
  <c r="N132" i="3"/>
  <c r="F871" i="3"/>
  <c r="F426" i="3"/>
  <c r="F507" i="3"/>
  <c r="F928" i="3"/>
  <c r="F766" i="3"/>
  <c r="F714" i="3"/>
  <c r="F371" i="3"/>
  <c r="F41" i="18"/>
  <c r="F277" i="3"/>
  <c r="F857" i="3"/>
  <c r="N142" i="3"/>
  <c r="D330" i="22"/>
  <c r="D508" i="22"/>
  <c r="D398" i="22"/>
  <c r="P401" i="22" s="1"/>
  <c r="P400" i="22" s="1"/>
  <c r="P404" i="22" s="1"/>
  <c r="F704" i="3"/>
  <c r="F361" i="3"/>
  <c r="F893" i="3"/>
  <c r="D444" i="22"/>
  <c r="D404" i="22"/>
  <c r="F271" i="3"/>
  <c r="F586" i="3"/>
  <c r="F576" i="3"/>
  <c r="F391" i="3"/>
  <c r="F734" i="3"/>
  <c r="O98" i="3" l="1"/>
  <c r="L100" i="3"/>
  <c r="L67" i="3"/>
  <c r="O78" i="3"/>
  <c r="O120" i="3"/>
  <c r="L122" i="3"/>
  <c r="D401" i="22"/>
  <c r="D513" i="22"/>
  <c r="D73" i="21" s="1"/>
  <c r="F18" i="18"/>
  <c r="F428" i="3"/>
  <c r="F747" i="3"/>
  <c r="F608" i="3"/>
  <c r="F930" i="3"/>
  <c r="F768" i="3"/>
  <c r="F651" i="3"/>
  <c r="F328" i="3"/>
  <c r="F796" i="3"/>
  <c r="F539" i="3"/>
  <c r="F746" i="3"/>
  <c r="F717" i="3"/>
  <c r="F578" i="3"/>
  <c r="F683" i="3"/>
  <c r="F273" i="3"/>
  <c r="F895" i="3"/>
  <c r="F776" i="3"/>
  <c r="F786" i="3"/>
  <c r="F509" i="3"/>
  <c r="F716" i="3"/>
  <c r="F877" i="3"/>
  <c r="F887" i="3"/>
  <c r="F318" i="3"/>
  <c r="F7" i="19"/>
  <c r="D538" i="22"/>
  <c r="D539" i="22" s="1"/>
  <c r="F285" i="3"/>
  <c r="F286" i="3" s="1"/>
  <c r="F641" i="3"/>
  <c r="F671" i="3"/>
  <c r="F622" i="3"/>
  <c r="F897" i="3"/>
  <c r="F931" i="3"/>
  <c r="F769" i="3"/>
  <c r="F420" i="3"/>
  <c r="F695" i="3"/>
  <c r="F919" i="3"/>
  <c r="F736" i="3"/>
  <c r="F529" i="3"/>
  <c r="F40" i="18"/>
  <c r="F32" i="18"/>
  <c r="F27" i="18" s="1"/>
  <c r="F588" i="3"/>
  <c r="F727" i="3"/>
  <c r="D406" i="22"/>
  <c r="D414" i="22" s="1"/>
  <c r="D422" i="22" s="1"/>
  <c r="D446" i="22"/>
  <c r="D454" i="22" s="1"/>
  <c r="D462" i="22" s="1"/>
  <c r="D470" i="22" s="1"/>
  <c r="F859" i="3"/>
  <c r="F308" i="3"/>
  <c r="W189" i="3"/>
  <c r="F248" i="3"/>
  <c r="F616" i="3"/>
  <c r="F631" i="3"/>
  <c r="F806" i="3"/>
  <c r="D452" i="22"/>
  <c r="F280" i="3"/>
  <c r="D447" i="22"/>
  <c r="D455" i="22" s="1"/>
  <c r="D463" i="22" s="1"/>
  <c r="D471" i="22" s="1"/>
  <c r="D407" i="22"/>
  <c r="D415" i="22" s="1"/>
  <c r="D423" i="22" s="1"/>
  <c r="F458" i="3"/>
  <c r="D412" i="22"/>
  <c r="F448" i="3"/>
  <c r="F468" i="3"/>
  <c r="F816" i="3"/>
  <c r="F257" i="3"/>
  <c r="F661" i="3"/>
  <c r="F519" i="3"/>
  <c r="F726" i="3"/>
  <c r="F706" i="3"/>
  <c r="F499" i="3"/>
  <c r="F568" i="3"/>
  <c r="F707" i="3"/>
  <c r="F438" i="3"/>
  <c r="F598" i="3"/>
  <c r="F737" i="3"/>
  <c r="F298" i="3"/>
  <c r="F757" i="3"/>
  <c r="L132" i="3" l="1"/>
  <c r="L111" i="3"/>
  <c r="L142" i="3"/>
  <c r="O122" i="3"/>
  <c r="L89" i="3"/>
  <c r="O100" i="3"/>
  <c r="D409" i="22"/>
  <c r="F809" i="3"/>
  <c r="F725" i="3"/>
  <c r="F450" i="3"/>
  <c r="D457" i="22"/>
  <c r="D460" i="22"/>
  <c r="F625" i="3"/>
  <c r="F779" i="3"/>
  <c r="F798" i="3"/>
  <c r="F917" i="3"/>
  <c r="F693" i="3"/>
  <c r="F282" i="3"/>
  <c r="F633" i="3"/>
  <c r="F861" i="3"/>
  <c r="F42" i="18"/>
  <c r="F37" i="18" s="1"/>
  <c r="D79" i="21"/>
  <c r="F819" i="3"/>
  <c r="F705" i="3"/>
  <c r="F430" i="3"/>
  <c r="F300" i="3"/>
  <c r="F715" i="3"/>
  <c r="F440" i="3"/>
  <c r="F259" i="3"/>
  <c r="D417" i="22"/>
  <c r="D420" i="22"/>
  <c r="D425" i="22" s="1"/>
  <c r="F460" i="3"/>
  <c r="F735" i="3"/>
  <c r="D449" i="22"/>
  <c r="F250" i="3"/>
  <c r="F808" i="3"/>
  <c r="F767" i="3"/>
  <c r="F929" i="3"/>
  <c r="F899" i="3"/>
  <c r="F673" i="3"/>
  <c r="F470" i="3"/>
  <c r="F745" i="3"/>
  <c r="V193" i="3"/>
  <c r="F9" i="19"/>
  <c r="F320" i="3"/>
  <c r="F788" i="3"/>
  <c r="F653" i="3"/>
  <c r="F778" i="3"/>
  <c r="F663" i="3"/>
  <c r="F618" i="3"/>
  <c r="F688" i="3"/>
  <c r="F310" i="3"/>
  <c r="F799" i="3"/>
  <c r="F643" i="3"/>
  <c r="F288" i="3"/>
  <c r="W191" i="3"/>
  <c r="F879" i="3"/>
  <c r="F755" i="3"/>
  <c r="F789" i="3"/>
  <c r="F818" i="3"/>
  <c r="F330" i="3"/>
  <c r="F20" i="18"/>
  <c r="O132" i="3" l="1"/>
  <c r="O142" i="3"/>
  <c r="D523" i="22"/>
  <c r="D525" i="22" s="1"/>
  <c r="D527" i="22" s="1"/>
  <c r="F743" i="3"/>
  <c r="F332" i="3"/>
  <c r="F645" i="3"/>
  <c r="F312" i="3"/>
  <c r="F723" i="3"/>
  <c r="F655" i="3"/>
  <c r="F807" i="3"/>
  <c r="D64" i="21"/>
  <c r="F787" i="3"/>
  <c r="D171" i="21"/>
  <c r="F635" i="3"/>
  <c r="D468" i="22"/>
  <c r="D473" i="22" s="1"/>
  <c r="D465" i="22"/>
  <c r="F665" i="3"/>
  <c r="F733" i="3"/>
  <c r="F322" i="3"/>
  <c r="F817" i="3"/>
  <c r="F302" i="3"/>
  <c r="F713" i="3"/>
  <c r="F777" i="3"/>
  <c r="F863" i="3"/>
  <c r="F765" i="3"/>
  <c r="F927" i="3"/>
  <c r="F797" i="3"/>
  <c r="F290" i="3"/>
  <c r="F675" i="3"/>
  <c r="F901" i="3"/>
  <c r="F682" i="3"/>
  <c r="F698" i="3"/>
  <c r="F692" i="3" s="1"/>
  <c r="F922" i="3"/>
  <c r="F916" i="3" s="1"/>
  <c r="F627" i="3"/>
  <c r="F760" i="3"/>
  <c r="F731" i="3"/>
  <c r="F252" i="3"/>
  <c r="F261" i="3"/>
  <c r="F741" i="3"/>
  <c r="F937" i="3" l="1"/>
  <c r="F923" i="3"/>
  <c r="F699" i="3"/>
  <c r="F785" i="3"/>
  <c r="D65" i="21"/>
  <c r="D177" i="21" s="1"/>
  <c r="F932" i="3"/>
  <c r="F926" i="3" s="1"/>
  <c r="F770" i="3"/>
  <c r="F764" i="3" s="1"/>
  <c r="F748" i="3"/>
  <c r="F742" i="3" s="1"/>
  <c r="F749" i="3" s="1"/>
  <c r="F677" i="3"/>
  <c r="F703" i="3"/>
  <c r="F292" i="3"/>
  <c r="F805" i="3"/>
  <c r="F667" i="3"/>
  <c r="F738" i="3"/>
  <c r="AD171" i="21"/>
  <c r="D200" i="21" s="1"/>
  <c r="Z171" i="21"/>
  <c r="F657" i="3"/>
  <c r="F728" i="3"/>
  <c r="F722" i="3" s="1"/>
  <c r="F813" i="3"/>
  <c r="F803" i="3"/>
  <c r="F689" i="3"/>
  <c r="F903" i="3"/>
  <c r="F907" i="3"/>
  <c r="F637" i="3"/>
  <c r="F708" i="3"/>
  <c r="F647" i="3"/>
  <c r="F718" i="3"/>
  <c r="F815" i="3"/>
  <c r="F754" i="3"/>
  <c r="F795" i="3"/>
  <c r="D75" i="21"/>
  <c r="D63" i="21" l="1"/>
  <c r="D144" i="21" s="1"/>
  <c r="F729" i="3"/>
  <c r="AD177" i="21"/>
  <c r="D206" i="21" s="1"/>
  <c r="Z177" i="21"/>
  <c r="F843" i="3"/>
  <c r="D71" i="21"/>
  <c r="D145" i="21" s="1"/>
  <c r="F825" i="3"/>
  <c r="F790" i="3"/>
  <c r="F780" i="3"/>
  <c r="F908" i="3"/>
  <c r="F775" i="3"/>
  <c r="F938" i="3"/>
  <c r="F712" i="3"/>
  <c r="F702" i="3"/>
  <c r="F911" i="3"/>
  <c r="F771" i="3"/>
  <c r="F732" i="3"/>
  <c r="F761" i="3"/>
  <c r="F941" i="3"/>
  <c r="F933" i="3"/>
  <c r="F800" i="3"/>
  <c r="G200" i="21"/>
  <c r="AG200" i="21" s="1"/>
  <c r="Z200" i="21"/>
  <c r="AC200" i="21" s="1"/>
  <c r="AD200" i="21"/>
  <c r="F810" i="3"/>
  <c r="F804" i="3" s="1"/>
  <c r="F811" i="3" s="1"/>
  <c r="F820" i="3"/>
  <c r="F814" i="3" s="1"/>
  <c r="F821" i="3" s="1"/>
  <c r="F828" i="3"/>
  <c r="AD206" i="21" l="1"/>
  <c r="G206" i="21"/>
  <c r="AG206" i="21" s="1"/>
  <c r="D224" i="21"/>
  <c r="Z206" i="21"/>
  <c r="AC206" i="21" s="1"/>
  <c r="F844" i="3"/>
  <c r="F829" i="3"/>
  <c r="F841" i="3"/>
  <c r="F826" i="3"/>
  <c r="F719" i="3"/>
  <c r="F942" i="3"/>
  <c r="F739" i="3"/>
  <c r="F912" i="3"/>
  <c r="F794" i="3"/>
  <c r="F784" i="3"/>
  <c r="F709" i="3"/>
  <c r="F774" i="3"/>
  <c r="F837" i="3"/>
  <c r="F781" i="3" l="1"/>
  <c r="F834" i="3"/>
  <c r="Z224" i="21"/>
  <c r="AC224" i="21" s="1"/>
  <c r="AD224" i="21"/>
  <c r="G224" i="21"/>
  <c r="AG224" i="21" s="1"/>
  <c r="F831" i="3"/>
  <c r="D175" i="22"/>
  <c r="D208" i="22"/>
  <c r="D215" i="22"/>
  <c r="F801" i="3"/>
  <c r="F840" i="3"/>
  <c r="F791" i="3"/>
  <c r="F835" i="3" l="1"/>
  <c r="F838" i="3"/>
  <c r="D179" i="22"/>
  <c r="D178" i="22"/>
  <c r="F832" i="3"/>
  <c r="D182" i="22" l="1"/>
  <c r="D24" i="21" s="1"/>
  <c r="D206" i="22"/>
  <c r="D204" i="22"/>
  <c r="D213" i="22"/>
  <c r="D216" i="22" s="1"/>
  <c r="D28" i="21" l="1"/>
  <c r="D209" i="22"/>
  <c r="D220" i="22"/>
  <c r="D221" i="22" s="1"/>
  <c r="D27" i="21" l="1"/>
  <c r="D29" i="21"/>
  <c r="D173" i="21" l="1"/>
  <c r="D21" i="21"/>
  <c r="D139" i="21" l="1"/>
  <c r="D10" i="21"/>
  <c r="Z173" i="21"/>
  <c r="AD173" i="21"/>
  <c r="D202" i="21" s="1"/>
  <c r="G202" i="21" l="1"/>
  <c r="AG202" i="21" s="1"/>
  <c r="AD202" i="21"/>
  <c r="Z202" i="21"/>
  <c r="AC202" i="21" s="1"/>
  <c r="D137" i="21"/>
  <c r="Y10" i="21"/>
  <c r="Y137" i="21" l="1"/>
  <c r="V60" i="5" l="1"/>
  <c r="T59" i="5"/>
  <c r="S59" i="5"/>
  <c r="R60" i="5"/>
  <c r="Q59" i="5"/>
  <c r="T60" i="5"/>
  <c r="U60" i="5"/>
  <c r="S60" i="5"/>
  <c r="R59" i="5"/>
  <c r="Q60" i="5"/>
  <c r="V59" i="5"/>
  <c r="U59" i="5"/>
  <c r="Q45" i="5"/>
  <c r="Q44" i="5" l="1"/>
  <c r="Q52" i="5"/>
  <c r="R45" i="5"/>
  <c r="Q75" i="5" l="1"/>
  <c r="Q68" i="5"/>
  <c r="Q92" i="5"/>
  <c r="Q45" i="4"/>
  <c r="F32" i="5"/>
  <c r="Q42" i="5"/>
  <c r="R52" i="5"/>
  <c r="R44" i="5"/>
  <c r="R42" i="5" s="1"/>
  <c r="R43" i="5" s="1"/>
  <c r="S45" i="5"/>
  <c r="D33" i="5" l="1"/>
  <c r="R44" i="4"/>
  <c r="S44" i="5"/>
  <c r="S42" i="5" s="1"/>
  <c r="S43" i="5" s="1"/>
  <c r="T45" i="5"/>
  <c r="S52" i="5"/>
  <c r="Q93" i="5"/>
  <c r="Q94" i="5"/>
  <c r="C32" i="5"/>
  <c r="Q43" i="4"/>
  <c r="Q43" i="5"/>
  <c r="Q70" i="5"/>
  <c r="Q69" i="5"/>
  <c r="F32" i="4"/>
  <c r="G7" i="3"/>
  <c r="R68" i="5"/>
  <c r="R69" i="5" s="1"/>
  <c r="R75" i="5"/>
  <c r="C33" i="5"/>
  <c r="R109" i="5"/>
  <c r="R43" i="4"/>
  <c r="F33" i="5"/>
  <c r="R92" i="5"/>
  <c r="R45" i="4"/>
  <c r="Q77" i="5"/>
  <c r="R76" i="5"/>
  <c r="Q76" i="5"/>
  <c r="G33" i="5" l="1"/>
  <c r="M33" i="5" s="1"/>
  <c r="W7" i="3"/>
  <c r="X20" i="3" s="1"/>
  <c r="G29" i="3"/>
  <c r="Q44" i="4"/>
  <c r="D32" i="5"/>
  <c r="G32" i="5" s="1"/>
  <c r="M32" i="5" s="1"/>
  <c r="R93" i="5"/>
  <c r="S68" i="5"/>
  <c r="S75" i="5"/>
  <c r="C32" i="4"/>
  <c r="Q123" i="4"/>
  <c r="G5" i="3"/>
  <c r="T44" i="5"/>
  <c r="T42" i="5" s="1"/>
  <c r="T43" i="5" s="1"/>
  <c r="T52" i="5"/>
  <c r="U45" i="5"/>
  <c r="D33" i="4"/>
  <c r="H6" i="3"/>
  <c r="R77" i="5"/>
  <c r="R110" i="4"/>
  <c r="C33" i="4"/>
  <c r="R46" i="4"/>
  <c r="R83" i="4" s="1"/>
  <c r="R100" i="4"/>
  <c r="R123" i="4"/>
  <c r="H5" i="3"/>
  <c r="R70" i="5"/>
  <c r="Q109" i="5"/>
  <c r="C34" i="5"/>
  <c r="S109" i="5"/>
  <c r="S43" i="4"/>
  <c r="F33" i="4"/>
  <c r="H7" i="3"/>
  <c r="F34" i="5"/>
  <c r="S92" i="5"/>
  <c r="S93" i="5" s="1"/>
  <c r="S45" i="4"/>
  <c r="D34" i="5"/>
  <c r="S44" i="4"/>
  <c r="R94" i="5"/>
  <c r="Q46" i="4" l="1"/>
  <c r="Q100" i="4"/>
  <c r="Q101" i="4" s="1"/>
  <c r="Q110" i="4"/>
  <c r="R111" i="4" s="1"/>
  <c r="T68" i="5"/>
  <c r="T70" i="5" s="1"/>
  <c r="T75" i="5"/>
  <c r="S123" i="4"/>
  <c r="S110" i="4"/>
  <c r="S46" i="4"/>
  <c r="C34" i="4"/>
  <c r="S100" i="4"/>
  <c r="I5" i="3"/>
  <c r="S94" i="5"/>
  <c r="G34" i="5"/>
  <c r="M34" i="5" s="1"/>
  <c r="X5" i="3"/>
  <c r="Y18" i="3" s="1"/>
  <c r="H27" i="3"/>
  <c r="H8" i="3"/>
  <c r="H13" i="3" s="1"/>
  <c r="R53" i="4"/>
  <c r="R122" i="4"/>
  <c r="X6" i="3"/>
  <c r="Y19" i="3" s="1"/>
  <c r="H28" i="3"/>
  <c r="H50" i="3" s="1"/>
  <c r="H72" i="3" s="1"/>
  <c r="U44" i="5"/>
  <c r="U42" i="5" s="1"/>
  <c r="U43" i="5" s="1"/>
  <c r="U52" i="5"/>
  <c r="V45" i="5"/>
  <c r="O32" i="4"/>
  <c r="S69" i="5"/>
  <c r="S70" i="5"/>
  <c r="G51" i="3"/>
  <c r="F34" i="4"/>
  <c r="I7" i="3"/>
  <c r="X7" i="3"/>
  <c r="Y20" i="3" s="1"/>
  <c r="H29" i="3"/>
  <c r="H51" i="3" s="1"/>
  <c r="H73" i="3" s="1"/>
  <c r="R128" i="4"/>
  <c r="R133" i="4"/>
  <c r="N33" i="4"/>
  <c r="O33" i="4"/>
  <c r="G33" i="4"/>
  <c r="M33" i="4" s="1"/>
  <c r="M5" i="3"/>
  <c r="W5" i="3"/>
  <c r="X18" i="3" s="1"/>
  <c r="G27" i="3"/>
  <c r="D34" i="4"/>
  <c r="I6" i="3"/>
  <c r="R111" i="5"/>
  <c r="R110" i="5"/>
  <c r="Q111" i="5"/>
  <c r="S111" i="5"/>
  <c r="Q110" i="5"/>
  <c r="S110" i="5"/>
  <c r="D35" i="5"/>
  <c r="T44" i="4"/>
  <c r="T109" i="5"/>
  <c r="C35" i="5"/>
  <c r="T43" i="4"/>
  <c r="T92" i="5"/>
  <c r="T45" i="4"/>
  <c r="F35" i="5"/>
  <c r="Q128" i="4"/>
  <c r="Q133" i="4"/>
  <c r="S76" i="5"/>
  <c r="S77" i="5"/>
  <c r="D32" i="4"/>
  <c r="G32" i="4" s="1"/>
  <c r="M32" i="4" s="1"/>
  <c r="G6" i="3"/>
  <c r="G8" i="3" s="1"/>
  <c r="M7" i="3"/>
  <c r="Q122" i="4" l="1"/>
  <c r="Q59" i="4"/>
  <c r="AC7" i="3"/>
  <c r="Q53" i="4"/>
  <c r="Q54" i="4" s="1"/>
  <c r="S111" i="4"/>
  <c r="R102" i="4"/>
  <c r="S101" i="4"/>
  <c r="R101" i="4"/>
  <c r="Q112" i="4"/>
  <c r="Q102" i="4"/>
  <c r="R112" i="4"/>
  <c r="Q83" i="4"/>
  <c r="R85" i="4" s="1"/>
  <c r="R59" i="4"/>
  <c r="Q111" i="4"/>
  <c r="G35" i="5"/>
  <c r="M35" i="5" s="1"/>
  <c r="S112" i="4"/>
  <c r="S102" i="4"/>
  <c r="N32" i="4"/>
  <c r="D36" i="5"/>
  <c r="U44" i="4"/>
  <c r="G13" i="3"/>
  <c r="M8" i="3"/>
  <c r="M13" i="3" s="1"/>
  <c r="M27" i="3"/>
  <c r="G49" i="3"/>
  <c r="Y7" i="3"/>
  <c r="Z20" i="3" s="1"/>
  <c r="I29" i="3"/>
  <c r="H94" i="3"/>
  <c r="H116" i="3"/>
  <c r="F35" i="4"/>
  <c r="J7" i="3"/>
  <c r="T110" i="5"/>
  <c r="M29" i="3"/>
  <c r="H195" i="3"/>
  <c r="H197" i="3" s="1"/>
  <c r="Y5" i="3"/>
  <c r="Z18" i="3" s="1"/>
  <c r="I8" i="3"/>
  <c r="I27" i="3"/>
  <c r="S59" i="4"/>
  <c r="S53" i="4"/>
  <c r="S122" i="4"/>
  <c r="Q132" i="4"/>
  <c r="Q127" i="4"/>
  <c r="T69" i="5"/>
  <c r="T94" i="5"/>
  <c r="T111" i="5"/>
  <c r="AC5" i="3"/>
  <c r="S83" i="4"/>
  <c r="U68" i="5"/>
  <c r="U69" i="5" s="1"/>
  <c r="U75" i="5"/>
  <c r="U76" i="5" s="1"/>
  <c r="R127" i="4"/>
  <c r="R132" i="4"/>
  <c r="H30" i="3"/>
  <c r="H49" i="3"/>
  <c r="T93" i="5"/>
  <c r="I28" i="3"/>
  <c r="Y6" i="3"/>
  <c r="Z19" i="3" s="1"/>
  <c r="H117" i="3"/>
  <c r="H95" i="3"/>
  <c r="G73" i="3"/>
  <c r="M51" i="3"/>
  <c r="U109" i="5"/>
  <c r="U110" i="5" s="1"/>
  <c r="C36" i="5"/>
  <c r="U43" i="4"/>
  <c r="O34" i="4"/>
  <c r="N34" i="4"/>
  <c r="G34" i="4"/>
  <c r="M34" i="4" s="1"/>
  <c r="T76" i="5"/>
  <c r="T77" i="5"/>
  <c r="M6" i="3"/>
  <c r="W6" i="3"/>
  <c r="G28" i="3"/>
  <c r="G30" i="3" s="1"/>
  <c r="T100" i="4"/>
  <c r="C35" i="4"/>
  <c r="T123" i="4"/>
  <c r="T110" i="4"/>
  <c r="T46" i="4"/>
  <c r="T83" i="4" s="1"/>
  <c r="J5" i="3"/>
  <c r="D35" i="4"/>
  <c r="J6" i="3"/>
  <c r="V52" i="5"/>
  <c r="V44" i="5"/>
  <c r="V42" i="5" s="1"/>
  <c r="U92" i="5"/>
  <c r="F36" i="5"/>
  <c r="U45" i="4"/>
  <c r="R76" i="4"/>
  <c r="R121" i="4"/>
  <c r="R54" i="4"/>
  <c r="R93" i="4"/>
  <c r="X8" i="3"/>
  <c r="Y21" i="3" s="1"/>
  <c r="S133" i="4"/>
  <c r="S128" i="4"/>
  <c r="W8" i="3" l="1"/>
  <c r="X21" i="3" s="1"/>
  <c r="X19" i="3"/>
  <c r="Q121" i="4"/>
  <c r="Q131" i="4" s="1"/>
  <c r="Q69" i="4"/>
  <c r="Q70" i="4" s="1"/>
  <c r="R69" i="4"/>
  <c r="Q76" i="4"/>
  <c r="Q77" i="4" s="1"/>
  <c r="X13" i="3"/>
  <c r="Y26" i="3" s="1"/>
  <c r="U77" i="5"/>
  <c r="Q93" i="4"/>
  <c r="Q94" i="4" s="1"/>
  <c r="Q84" i="4"/>
  <c r="R60" i="4"/>
  <c r="Q60" i="4"/>
  <c r="R61" i="4"/>
  <c r="S60" i="4"/>
  <c r="Q85" i="4"/>
  <c r="R84" i="4"/>
  <c r="Q61" i="4"/>
  <c r="U70" i="5"/>
  <c r="W13" i="3"/>
  <c r="AC8" i="3"/>
  <c r="AC13" i="3" s="1"/>
  <c r="C37" i="5"/>
  <c r="V43" i="4"/>
  <c r="Z6" i="3"/>
  <c r="AA19" i="3" s="1"/>
  <c r="J28" i="3"/>
  <c r="J50" i="3" s="1"/>
  <c r="J72" i="3" s="1"/>
  <c r="N35" i="4"/>
  <c r="O35" i="4"/>
  <c r="G35" i="4"/>
  <c r="M35" i="4" s="1"/>
  <c r="T85" i="4"/>
  <c r="I51" i="3"/>
  <c r="M30" i="3"/>
  <c r="M35" i="3" s="1"/>
  <c r="G35" i="3"/>
  <c r="G19" i="3"/>
  <c r="F36" i="4"/>
  <c r="K7" i="3"/>
  <c r="V43" i="5"/>
  <c r="T59" i="4"/>
  <c r="T60" i="4" s="1"/>
  <c r="T122" i="4"/>
  <c r="T53" i="4"/>
  <c r="T102" i="4"/>
  <c r="T101" i="4"/>
  <c r="N6" i="3"/>
  <c r="T84" i="4"/>
  <c r="I30" i="3"/>
  <c r="I49" i="3"/>
  <c r="Z7" i="3"/>
  <c r="AA20" i="3" s="1"/>
  <c r="J29" i="3"/>
  <c r="J51" i="3" s="1"/>
  <c r="J73" i="3" s="1"/>
  <c r="S85" i="4"/>
  <c r="N7" i="3"/>
  <c r="F37" i="5"/>
  <c r="V92" i="5"/>
  <c r="V93" i="5" s="1"/>
  <c r="V45" i="4"/>
  <c r="T112" i="4"/>
  <c r="T111" i="4"/>
  <c r="U100" i="4"/>
  <c r="U101" i="4" s="1"/>
  <c r="U110" i="4"/>
  <c r="U111" i="4" s="1"/>
  <c r="U123" i="4"/>
  <c r="U46" i="4"/>
  <c r="U83" i="4" s="1"/>
  <c r="U85" i="4" s="1"/>
  <c r="C36" i="4"/>
  <c r="K5" i="3"/>
  <c r="G117" i="3"/>
  <c r="M73" i="3"/>
  <c r="G95" i="3"/>
  <c r="H52" i="3"/>
  <c r="H71" i="3"/>
  <c r="S127" i="4"/>
  <c r="S132" i="4"/>
  <c r="I13" i="3"/>
  <c r="S84" i="4"/>
  <c r="AC6" i="3"/>
  <c r="G195" i="3"/>
  <c r="S61" i="4"/>
  <c r="R131" i="4"/>
  <c r="R126" i="4"/>
  <c r="U94" i="5"/>
  <c r="U93" i="5"/>
  <c r="V75" i="5"/>
  <c r="V68" i="5"/>
  <c r="V70" i="5" s="1"/>
  <c r="J27" i="3"/>
  <c r="N27" i="3" s="1"/>
  <c r="J8" i="3"/>
  <c r="Z5" i="3"/>
  <c r="AA18" i="3" s="1"/>
  <c r="N5" i="3"/>
  <c r="T128" i="4"/>
  <c r="T133" i="4"/>
  <c r="M28" i="3"/>
  <c r="G50" i="3"/>
  <c r="G36" i="5"/>
  <c r="M36" i="5" s="1"/>
  <c r="I50" i="3"/>
  <c r="H35" i="3"/>
  <c r="H236" i="3" s="1"/>
  <c r="H237" i="3" s="1"/>
  <c r="H239" i="3" s="1"/>
  <c r="H241" i="3" s="1"/>
  <c r="H19" i="3"/>
  <c r="S54" i="4"/>
  <c r="S76" i="4"/>
  <c r="S69" i="4"/>
  <c r="S121" i="4"/>
  <c r="S93" i="4"/>
  <c r="Y8" i="3"/>
  <c r="Z21" i="3" s="1"/>
  <c r="H198" i="3"/>
  <c r="H219" i="3"/>
  <c r="H221" i="3" s="1"/>
  <c r="H223" i="3" s="1"/>
  <c r="H210" i="3"/>
  <c r="H212" i="3" s="1"/>
  <c r="H214" i="3" s="1"/>
  <c r="H848" i="3"/>
  <c r="H850" i="3" s="1"/>
  <c r="H852" i="3" s="1"/>
  <c r="H201" i="3"/>
  <c r="H203" i="3" s="1"/>
  <c r="H205" i="3" s="1"/>
  <c r="U111" i="5"/>
  <c r="M49" i="3"/>
  <c r="G71" i="3"/>
  <c r="D36" i="4"/>
  <c r="K6" i="3"/>
  <c r="X192" i="3" l="1"/>
  <c r="X26" i="3"/>
  <c r="Q126" i="4"/>
  <c r="Q71" i="4"/>
  <c r="R70" i="4"/>
  <c r="S78" i="4"/>
  <c r="R78" i="4"/>
  <c r="S71" i="4"/>
  <c r="R71" i="4"/>
  <c r="R77" i="4"/>
  <c r="Q78" i="4"/>
  <c r="AD7" i="3"/>
  <c r="AD6" i="3"/>
  <c r="Y192" i="3"/>
  <c r="AD192" i="3" s="1"/>
  <c r="Q95" i="4"/>
  <c r="R94" i="4"/>
  <c r="V69" i="5"/>
  <c r="R95" i="4"/>
  <c r="V94" i="5"/>
  <c r="N29" i="3"/>
  <c r="U102" i="4"/>
  <c r="U84" i="4"/>
  <c r="S77" i="4"/>
  <c r="H721" i="3"/>
  <c r="H243" i="3"/>
  <c r="H793" i="3" s="1"/>
  <c r="D37" i="5"/>
  <c r="G37" i="5" s="1"/>
  <c r="M37" i="5" s="1"/>
  <c r="V44" i="4"/>
  <c r="J94" i="3"/>
  <c r="J116" i="3"/>
  <c r="V109" i="5"/>
  <c r="S131" i="4"/>
  <c r="S126" i="4"/>
  <c r="S94" i="4"/>
  <c r="O36" i="4"/>
  <c r="N36" i="4"/>
  <c r="G36" i="4"/>
  <c r="M36" i="4" s="1"/>
  <c r="U112" i="4"/>
  <c r="F37" i="4"/>
  <c r="L7" i="3"/>
  <c r="O7" i="3" s="1"/>
  <c r="J95" i="3"/>
  <c r="J117" i="3"/>
  <c r="T54" i="4"/>
  <c r="T121" i="4"/>
  <c r="T76" i="4"/>
  <c r="T69" i="4"/>
  <c r="T71" i="4" s="1"/>
  <c r="T93" i="4"/>
  <c r="T94" i="4" s="1"/>
  <c r="AA7" i="3"/>
  <c r="AB20" i="3" s="1"/>
  <c r="K29" i="3"/>
  <c r="G24" i="3"/>
  <c r="M71" i="3"/>
  <c r="G93" i="3"/>
  <c r="G115" i="3"/>
  <c r="Y13" i="3"/>
  <c r="Z26" i="3" s="1"/>
  <c r="J13" i="3"/>
  <c r="N8" i="3"/>
  <c r="N13" i="3" s="1"/>
  <c r="M117" i="3"/>
  <c r="U122" i="4"/>
  <c r="U53" i="4"/>
  <c r="U59" i="4"/>
  <c r="U61" i="4" s="1"/>
  <c r="T132" i="4"/>
  <c r="T127" i="4"/>
  <c r="V123" i="4"/>
  <c r="C37" i="4"/>
  <c r="L5" i="3"/>
  <c r="O5" i="3" s="1"/>
  <c r="H906" i="3"/>
  <c r="H854" i="3"/>
  <c r="H910" i="3" s="1"/>
  <c r="H227" i="3"/>
  <c r="H228" i="3" s="1"/>
  <c r="H230" i="3" s="1"/>
  <c r="H232" i="3" s="1"/>
  <c r="H24" i="3"/>
  <c r="M50" i="3"/>
  <c r="G72" i="3"/>
  <c r="N50" i="3"/>
  <c r="H57" i="3"/>
  <c r="H41" i="3"/>
  <c r="S95" i="4"/>
  <c r="I19" i="3"/>
  <c r="I35" i="3"/>
  <c r="H915" i="3"/>
  <c r="H216" i="3"/>
  <c r="H691" i="3"/>
  <c r="I72" i="3"/>
  <c r="Z8" i="3"/>
  <c r="AA21" i="3" s="1"/>
  <c r="AD5" i="3"/>
  <c r="M195" i="3"/>
  <c r="G197" i="3"/>
  <c r="AA6" i="3"/>
  <c r="AB19" i="3" s="1"/>
  <c r="K28" i="3"/>
  <c r="G52" i="3"/>
  <c r="H681" i="3"/>
  <c r="H207" i="3"/>
  <c r="H753" i="3" s="1"/>
  <c r="H701" i="3"/>
  <c r="H225" i="3"/>
  <c r="H773" i="3" s="1"/>
  <c r="N28" i="3"/>
  <c r="J30" i="3"/>
  <c r="N30" i="3" s="1"/>
  <c r="N35" i="3" s="1"/>
  <c r="J49" i="3"/>
  <c r="V76" i="5"/>
  <c r="V77" i="5"/>
  <c r="I195" i="3"/>
  <c r="H74" i="3"/>
  <c r="H115" i="3"/>
  <c r="H118" i="3" s="1"/>
  <c r="H93" i="3"/>
  <c r="H96" i="3" s="1"/>
  <c r="M95" i="3"/>
  <c r="AA5" i="3"/>
  <c r="AB18" i="3" s="1"/>
  <c r="K27" i="3"/>
  <c r="K8" i="3"/>
  <c r="I52" i="3"/>
  <c r="I71" i="3"/>
  <c r="T61" i="4"/>
  <c r="I73" i="3"/>
  <c r="N51" i="3"/>
  <c r="S70" i="4"/>
  <c r="Z13" i="3" l="1"/>
  <c r="AA26" i="3" s="1"/>
  <c r="V110" i="4"/>
  <c r="V112" i="4" s="1"/>
  <c r="V46" i="4"/>
  <c r="V83" i="4" s="1"/>
  <c r="V84" i="4" s="1"/>
  <c r="V100" i="4"/>
  <c r="V101" i="4" s="1"/>
  <c r="AD8" i="3"/>
  <c r="AD13" i="3" s="1"/>
  <c r="I57" i="3"/>
  <c r="I41" i="3"/>
  <c r="N72" i="3"/>
  <c r="M72" i="3"/>
  <c r="G94" i="3"/>
  <c r="G116" i="3"/>
  <c r="G118" i="3" s="1"/>
  <c r="Z192" i="3"/>
  <c r="T77" i="4"/>
  <c r="H85" i="3"/>
  <c r="H101" i="3"/>
  <c r="K50" i="3"/>
  <c r="V111" i="5"/>
  <c r="V110" i="5"/>
  <c r="I95" i="3"/>
  <c r="I117" i="3"/>
  <c r="N73" i="3"/>
  <c r="K30" i="3"/>
  <c r="K49" i="3"/>
  <c r="J52" i="3"/>
  <c r="J71" i="3"/>
  <c r="N49" i="3"/>
  <c r="G198" i="3"/>
  <c r="M197" i="3"/>
  <c r="G848" i="3"/>
  <c r="G201" i="3"/>
  <c r="G210" i="3"/>
  <c r="G219" i="3"/>
  <c r="G236" i="3"/>
  <c r="G237" i="3" s="1"/>
  <c r="H763" i="3"/>
  <c r="H925" i="3"/>
  <c r="T78" i="4"/>
  <c r="I74" i="3"/>
  <c r="I115" i="3"/>
  <c r="I93" i="3"/>
  <c r="AA8" i="3"/>
  <c r="AB21" i="3" s="1"/>
  <c r="H79" i="3"/>
  <c r="H68" i="3" s="1"/>
  <c r="H63" i="3"/>
  <c r="J19" i="3"/>
  <c r="J35" i="3"/>
  <c r="I116" i="3"/>
  <c r="I94" i="3"/>
  <c r="H936" i="3"/>
  <c r="I24" i="3"/>
  <c r="H711" i="3"/>
  <c r="H234" i="3"/>
  <c r="H783" i="3" s="1"/>
  <c r="U76" i="4"/>
  <c r="U78" i="4" s="1"/>
  <c r="U54" i="4"/>
  <c r="U69" i="4"/>
  <c r="U70" i="4" s="1"/>
  <c r="U121" i="4"/>
  <c r="U93" i="4"/>
  <c r="M115" i="3"/>
  <c r="G227" i="3"/>
  <c r="G228" i="3" s="1"/>
  <c r="T70" i="4"/>
  <c r="G41" i="3"/>
  <c r="M52" i="3"/>
  <c r="M57" i="3" s="1"/>
  <c r="G57" i="3"/>
  <c r="H46" i="3"/>
  <c r="F269" i="22"/>
  <c r="F271" i="22" s="1"/>
  <c r="F273" i="22" s="1"/>
  <c r="F39" i="21" s="1"/>
  <c r="O37" i="4"/>
  <c r="M93" i="3"/>
  <c r="K51" i="3"/>
  <c r="AB7" i="3"/>
  <c r="AC20" i="3" s="1"/>
  <c r="L29" i="3"/>
  <c r="L51" i="3" s="1"/>
  <c r="L73" i="3" s="1"/>
  <c r="K13" i="3"/>
  <c r="I197" i="3"/>
  <c r="I227" i="3" s="1"/>
  <c r="V53" i="4"/>
  <c r="T126" i="4"/>
  <c r="T131" i="4"/>
  <c r="H107" i="3"/>
  <c r="H123" i="3"/>
  <c r="H141" i="3"/>
  <c r="H143" i="3" s="1"/>
  <c r="H131" i="3"/>
  <c r="H133" i="3" s="1"/>
  <c r="AB5" i="3"/>
  <c r="AC18" i="3" s="1"/>
  <c r="L27" i="3"/>
  <c r="O27" i="3" s="1"/>
  <c r="U60" i="4"/>
  <c r="J195" i="3"/>
  <c r="J197" i="3" s="1"/>
  <c r="G74" i="3"/>
  <c r="D37" i="4"/>
  <c r="G37" i="4" s="1"/>
  <c r="M37" i="4" s="1"/>
  <c r="L6" i="3"/>
  <c r="T95" i="4"/>
  <c r="AE7" i="3" l="1"/>
  <c r="AA192" i="3"/>
  <c r="AE192" i="3" s="1"/>
  <c r="U71" i="4"/>
  <c r="V111" i="4"/>
  <c r="V102" i="4"/>
  <c r="V85" i="4"/>
  <c r="V59" i="4"/>
  <c r="V60" i="4" s="1"/>
  <c r="V122" i="4"/>
  <c r="N37" i="4"/>
  <c r="M237" i="3"/>
  <c r="G239" i="3"/>
  <c r="G107" i="3"/>
  <c r="M118" i="3"/>
  <c r="M123" i="3" s="1"/>
  <c r="G141" i="3"/>
  <c r="G131" i="3"/>
  <c r="G123" i="3"/>
  <c r="J198" i="3"/>
  <c r="J210" i="3"/>
  <c r="J212" i="3" s="1"/>
  <c r="J214" i="3" s="1"/>
  <c r="J848" i="3"/>
  <c r="J850" i="3" s="1"/>
  <c r="J852" i="3" s="1"/>
  <c r="J201" i="3"/>
  <c r="J203" i="3" s="1"/>
  <c r="J205" i="3" s="1"/>
  <c r="J219" i="3"/>
  <c r="J236" i="3"/>
  <c r="J237" i="3" s="1"/>
  <c r="J239" i="3" s="1"/>
  <c r="J241" i="3" s="1"/>
  <c r="J24" i="3"/>
  <c r="J227" i="3"/>
  <c r="J228" i="3" s="1"/>
  <c r="I63" i="3"/>
  <c r="I79" i="3"/>
  <c r="H90" i="3"/>
  <c r="H147" i="3"/>
  <c r="M228" i="3"/>
  <c r="G230" i="3"/>
  <c r="N94" i="3"/>
  <c r="M94" i="3"/>
  <c r="L49" i="3"/>
  <c r="O49" i="3" s="1"/>
  <c r="H138" i="3"/>
  <c r="H150" i="3"/>
  <c r="H167" i="3" s="1"/>
  <c r="H187" i="3" s="1"/>
  <c r="I198" i="3"/>
  <c r="I219" i="3"/>
  <c r="I210" i="3"/>
  <c r="I848" i="3"/>
  <c r="I228" i="3"/>
  <c r="I201" i="3"/>
  <c r="I236" i="3"/>
  <c r="I237" i="3" s="1"/>
  <c r="G46" i="3"/>
  <c r="E269" i="22"/>
  <c r="E271" i="22" s="1"/>
  <c r="E273" i="22" s="1"/>
  <c r="U95" i="4"/>
  <c r="U94" i="4"/>
  <c r="AA13" i="3"/>
  <c r="AB26" i="3" s="1"/>
  <c r="I96" i="3"/>
  <c r="M219" i="3"/>
  <c r="G221" i="3"/>
  <c r="M201" i="3"/>
  <c r="G203" i="3"/>
  <c r="K71" i="3"/>
  <c r="K52" i="3"/>
  <c r="N95" i="3"/>
  <c r="K72" i="3"/>
  <c r="N195" i="3"/>
  <c r="AB6" i="3"/>
  <c r="AC19" i="3" s="1"/>
  <c r="L28" i="3"/>
  <c r="O6" i="3"/>
  <c r="G63" i="3"/>
  <c r="M74" i="3"/>
  <c r="M79" i="3" s="1"/>
  <c r="G79" i="3"/>
  <c r="G68" i="3" s="1"/>
  <c r="AE5" i="3"/>
  <c r="K73" i="3"/>
  <c r="O51" i="3"/>
  <c r="M848" i="3"/>
  <c r="G850" i="3"/>
  <c r="J41" i="3"/>
  <c r="J57" i="3"/>
  <c r="N117" i="3"/>
  <c r="M116" i="3"/>
  <c r="N116" i="3"/>
  <c r="L8" i="3"/>
  <c r="H128" i="3"/>
  <c r="H149" i="3"/>
  <c r="H166" i="3" s="1"/>
  <c r="H186" i="3" s="1"/>
  <c r="K195" i="3"/>
  <c r="K197" i="3" s="1"/>
  <c r="H112" i="3"/>
  <c r="V121" i="4"/>
  <c r="V69" i="4"/>
  <c r="V71" i="4" s="1"/>
  <c r="V76" i="4"/>
  <c r="V78" i="4" s="1"/>
  <c r="V54" i="4"/>
  <c r="V93" i="4"/>
  <c r="V94" i="4" s="1"/>
  <c r="L95" i="3"/>
  <c r="L117" i="3"/>
  <c r="O29" i="3"/>
  <c r="G96" i="3"/>
  <c r="N52" i="3"/>
  <c r="N57" i="3" s="1"/>
  <c r="I118" i="3"/>
  <c r="H940" i="3"/>
  <c r="M210" i="3"/>
  <c r="G212" i="3"/>
  <c r="N197" i="3"/>
  <c r="J74" i="3"/>
  <c r="N74" i="3" s="1"/>
  <c r="N79" i="3" s="1"/>
  <c r="J115" i="3"/>
  <c r="J93" i="3"/>
  <c r="N71" i="3"/>
  <c r="K35" i="3"/>
  <c r="K19" i="3"/>
  <c r="U77" i="4"/>
  <c r="I46" i="3"/>
  <c r="I220" i="3" s="1"/>
  <c r="G269" i="22"/>
  <c r="G271" i="22" s="1"/>
  <c r="AE6" i="3" l="1"/>
  <c r="G273" i="22"/>
  <c r="I28" i="40" s="1"/>
  <c r="D28" i="40"/>
  <c r="N848" i="3"/>
  <c r="V61" i="4"/>
  <c r="AB8" i="3"/>
  <c r="AC21" i="3" s="1"/>
  <c r="N210" i="3"/>
  <c r="N201" i="3"/>
  <c r="N228" i="3"/>
  <c r="V77" i="4"/>
  <c r="J721" i="3"/>
  <c r="J243" i="3"/>
  <c r="J793" i="3" s="1"/>
  <c r="I239" i="3"/>
  <c r="N239" i="3" s="1"/>
  <c r="N237" i="3"/>
  <c r="J96" i="3"/>
  <c r="N96" i="3" s="1"/>
  <c r="N101" i="3" s="1"/>
  <c r="N93" i="3"/>
  <c r="M212" i="3"/>
  <c r="G214" i="3"/>
  <c r="K94" i="3"/>
  <c r="K116" i="3"/>
  <c r="I221" i="3"/>
  <c r="H164" i="3"/>
  <c r="H184" i="3" s="1"/>
  <c r="M239" i="3"/>
  <c r="G241" i="3"/>
  <c r="J118" i="3"/>
  <c r="N115" i="3"/>
  <c r="I107" i="3"/>
  <c r="I141" i="3"/>
  <c r="I123" i="3"/>
  <c r="I131" i="3"/>
  <c r="K198" i="3"/>
  <c r="K848" i="3"/>
  <c r="K850" i="3" s="1"/>
  <c r="K852" i="3" s="1"/>
  <c r="K210" i="3"/>
  <c r="K212" i="3" s="1"/>
  <c r="K214" i="3" s="1"/>
  <c r="K201" i="3"/>
  <c r="K203" i="3" s="1"/>
  <c r="K205" i="3" s="1"/>
  <c r="K219" i="3"/>
  <c r="K236" i="3"/>
  <c r="K237" i="3" s="1"/>
  <c r="L13" i="3"/>
  <c r="O8" i="3"/>
  <c r="L50" i="3"/>
  <c r="L52" i="3" s="1"/>
  <c r="O28" i="3"/>
  <c r="K74" i="3"/>
  <c r="K93" i="3"/>
  <c r="K115" i="3"/>
  <c r="M221" i="3"/>
  <c r="G223" i="3"/>
  <c r="V70" i="4"/>
  <c r="I203" i="3"/>
  <c r="N203" i="3" s="1"/>
  <c r="J207" i="3"/>
  <c r="J753" i="3" s="1"/>
  <c r="J681" i="3"/>
  <c r="G112" i="3"/>
  <c r="I287" i="3"/>
  <c r="I425" i="3"/>
  <c r="I632" i="3"/>
  <c r="I356" i="3"/>
  <c r="I494" i="3"/>
  <c r="I229" i="3"/>
  <c r="I230" i="3" s="1"/>
  <c r="I563" i="3"/>
  <c r="K227" i="3"/>
  <c r="K228" i="3" s="1"/>
  <c r="K24" i="3"/>
  <c r="J63" i="3"/>
  <c r="J79" i="3"/>
  <c r="J68" i="3" s="1"/>
  <c r="G85" i="3"/>
  <c r="M96" i="3"/>
  <c r="M101" i="3" s="1"/>
  <c r="G101" i="3"/>
  <c r="H148" i="3"/>
  <c r="H146" i="3" s="1"/>
  <c r="M850" i="3"/>
  <c r="G852" i="3"/>
  <c r="M203" i="3"/>
  <c r="G205" i="3"/>
  <c r="AB192" i="3"/>
  <c r="L71" i="3"/>
  <c r="O71" i="3" s="1"/>
  <c r="M230" i="3"/>
  <c r="G232" i="3"/>
  <c r="J906" i="3"/>
  <c r="J854" i="3"/>
  <c r="J910" i="3" s="1"/>
  <c r="J691" i="3"/>
  <c r="J216" i="3"/>
  <c r="J915" i="3"/>
  <c r="G133" i="3"/>
  <c r="M131" i="3"/>
  <c r="J46" i="3"/>
  <c r="J220" i="3" s="1"/>
  <c r="H269" i="22"/>
  <c r="H271" i="22" s="1"/>
  <c r="K41" i="3"/>
  <c r="K57" i="3"/>
  <c r="I85" i="3"/>
  <c r="I101" i="3"/>
  <c r="H12" i="18"/>
  <c r="H542" i="3"/>
  <c r="H547" i="3" s="1"/>
  <c r="Y187" i="3"/>
  <c r="Z205" i="3" s="1"/>
  <c r="H560" i="3"/>
  <c r="H562" i="3" s="1"/>
  <c r="H564" i="3" s="1"/>
  <c r="H566" i="3" s="1"/>
  <c r="H600" i="3"/>
  <c r="H602" i="3" s="1"/>
  <c r="H604" i="3" s="1"/>
  <c r="H606" i="3" s="1"/>
  <c r="H580" i="3"/>
  <c r="H582" i="3" s="1"/>
  <c r="H584" i="3" s="1"/>
  <c r="H586" i="3" s="1"/>
  <c r="H590" i="3"/>
  <c r="H592" i="3" s="1"/>
  <c r="H594" i="3" s="1"/>
  <c r="H596" i="3" s="1"/>
  <c r="H570" i="3"/>
  <c r="H572" i="3" s="1"/>
  <c r="H574" i="3" s="1"/>
  <c r="H576" i="3" s="1"/>
  <c r="H551" i="3"/>
  <c r="I68" i="3"/>
  <c r="H11" i="18"/>
  <c r="F340" i="22"/>
  <c r="F512" i="22"/>
  <c r="H473" i="3"/>
  <c r="H478" i="3" s="1"/>
  <c r="H501" i="3"/>
  <c r="H503" i="3" s="1"/>
  <c r="H505" i="3" s="1"/>
  <c r="H507" i="3" s="1"/>
  <c r="Y186" i="3"/>
  <c r="H511" i="3"/>
  <c r="H513" i="3" s="1"/>
  <c r="H515" i="3" s="1"/>
  <c r="H517" i="3" s="1"/>
  <c r="H531" i="3"/>
  <c r="H533" i="3" s="1"/>
  <c r="H535" i="3" s="1"/>
  <c r="H537" i="3" s="1"/>
  <c r="F400" i="22"/>
  <c r="H482" i="3"/>
  <c r="H521" i="3"/>
  <c r="H523" i="3" s="1"/>
  <c r="H525" i="3" s="1"/>
  <c r="H527" i="3" s="1"/>
  <c r="H491" i="3"/>
  <c r="H493" i="3" s="1"/>
  <c r="H495" i="3" s="1"/>
  <c r="H497" i="3" s="1"/>
  <c r="K117" i="3"/>
  <c r="O117" i="3" s="1"/>
  <c r="K95" i="3"/>
  <c r="O95" i="3" s="1"/>
  <c r="O73" i="3"/>
  <c r="N219" i="3"/>
  <c r="V95" i="4"/>
  <c r="E39" i="21"/>
  <c r="G39" i="21" s="1"/>
  <c r="K273" i="22"/>
  <c r="I850" i="3"/>
  <c r="N850" i="3" s="1"/>
  <c r="I212" i="3"/>
  <c r="L30" i="3"/>
  <c r="M141" i="3"/>
  <c r="G143" i="3"/>
  <c r="H273" i="22" l="1"/>
  <c r="J28" i="40" s="1"/>
  <c r="E28" i="40"/>
  <c r="AB13" i="3"/>
  <c r="AE8" i="3"/>
  <c r="K118" i="3"/>
  <c r="K131" i="3" s="1"/>
  <c r="K133" i="3" s="1"/>
  <c r="K239" i="3"/>
  <c r="K241" i="3" s="1"/>
  <c r="F448" i="22"/>
  <c r="F456" i="22" s="1"/>
  <c r="F464" i="22" s="1"/>
  <c r="F472" i="22" s="1"/>
  <c r="F408" i="22"/>
  <c r="F416" i="22" s="1"/>
  <c r="F424" i="22" s="1"/>
  <c r="M852" i="3"/>
  <c r="G906" i="3"/>
  <c r="G854" i="3"/>
  <c r="G90" i="3"/>
  <c r="G147" i="3"/>
  <c r="K854" i="3"/>
  <c r="K910" i="3" s="1"/>
  <c r="K906" i="3"/>
  <c r="J107" i="3"/>
  <c r="J141" i="3"/>
  <c r="J123" i="3"/>
  <c r="J131" i="3"/>
  <c r="N118" i="3"/>
  <c r="N123" i="3" s="1"/>
  <c r="H746" i="3"/>
  <c r="H539" i="3"/>
  <c r="H818" i="3" s="1"/>
  <c r="J356" i="3"/>
  <c r="J563" i="3"/>
  <c r="J229" i="3"/>
  <c r="J494" i="3"/>
  <c r="J632" i="3"/>
  <c r="J287" i="3"/>
  <c r="J425" i="3"/>
  <c r="G128" i="3"/>
  <c r="M133" i="3"/>
  <c r="G149" i="3"/>
  <c r="M232" i="3"/>
  <c r="G234" i="3"/>
  <c r="G711" i="3"/>
  <c r="I852" i="3"/>
  <c r="H484" i="3"/>
  <c r="H487" i="3" s="1"/>
  <c r="H881" i="3"/>
  <c r="H883" i="3" s="1"/>
  <c r="H885" i="3" s="1"/>
  <c r="H887" i="3" s="1"/>
  <c r="H553" i="3"/>
  <c r="H556" i="3" s="1"/>
  <c r="H889" i="3"/>
  <c r="H891" i="3" s="1"/>
  <c r="H893" i="3" s="1"/>
  <c r="H895" i="3" s="1"/>
  <c r="H608" i="3"/>
  <c r="H819" i="3" s="1"/>
  <c r="H747" i="3"/>
  <c r="I269" i="22"/>
  <c r="I271" i="22" s="1"/>
  <c r="K46" i="3"/>
  <c r="K220" i="3" s="1"/>
  <c r="K221" i="3" s="1"/>
  <c r="K223" i="3" s="1"/>
  <c r="J936" i="3"/>
  <c r="I232" i="3"/>
  <c r="M205" i="3"/>
  <c r="G681" i="3"/>
  <c r="G207" i="3"/>
  <c r="H152" i="3"/>
  <c r="H165" i="3"/>
  <c r="I205" i="3"/>
  <c r="L195" i="3"/>
  <c r="O13" i="3"/>
  <c r="I112" i="3"/>
  <c r="I223" i="3"/>
  <c r="G915" i="3"/>
  <c r="G691" i="3"/>
  <c r="G216" i="3"/>
  <c r="M214" i="3"/>
  <c r="J85" i="3"/>
  <c r="J101" i="3"/>
  <c r="L19" i="3"/>
  <c r="L35" i="3"/>
  <c r="O30" i="3"/>
  <c r="H509" i="3"/>
  <c r="H788" i="3" s="1"/>
  <c r="H716" i="3"/>
  <c r="H717" i="3"/>
  <c r="H578" i="3"/>
  <c r="H789" i="3" s="1"/>
  <c r="H568" i="3"/>
  <c r="H779" i="3" s="1"/>
  <c r="H707" i="3"/>
  <c r="I90" i="3"/>
  <c r="I147" i="3"/>
  <c r="J763" i="3"/>
  <c r="J925" i="3"/>
  <c r="L41" i="3"/>
  <c r="L57" i="3"/>
  <c r="M223" i="3"/>
  <c r="G225" i="3"/>
  <c r="G701" i="3"/>
  <c r="K207" i="3"/>
  <c r="K753" i="3" s="1"/>
  <c r="K681" i="3"/>
  <c r="I143" i="3"/>
  <c r="H151" i="3"/>
  <c r="H163" i="3"/>
  <c r="I214" i="3"/>
  <c r="H706" i="3"/>
  <c r="H499" i="3"/>
  <c r="H778" i="3" s="1"/>
  <c r="H480" i="3"/>
  <c r="H758" i="3" s="1"/>
  <c r="H686" i="3"/>
  <c r="H737" i="3"/>
  <c r="H598" i="3"/>
  <c r="H809" i="3" s="1"/>
  <c r="L115" i="3"/>
  <c r="L93" i="3"/>
  <c r="K96" i="3"/>
  <c r="L72" i="3"/>
  <c r="O50" i="3"/>
  <c r="M241" i="3"/>
  <c r="G243" i="3"/>
  <c r="G721" i="3"/>
  <c r="J221" i="3"/>
  <c r="F506" i="22"/>
  <c r="F325" i="22"/>
  <c r="H363" i="3"/>
  <c r="H365" i="3" s="1"/>
  <c r="H367" i="3" s="1"/>
  <c r="H369" i="3" s="1"/>
  <c r="H9" i="18"/>
  <c r="H335" i="3"/>
  <c r="H340" i="3" s="1"/>
  <c r="Y184" i="3"/>
  <c r="F397" i="22"/>
  <c r="H393" i="3"/>
  <c r="H395" i="3" s="1"/>
  <c r="H397" i="3" s="1"/>
  <c r="H399" i="3" s="1"/>
  <c r="H353" i="3"/>
  <c r="H355" i="3" s="1"/>
  <c r="H357" i="3" s="1"/>
  <c r="H359" i="3" s="1"/>
  <c r="H373" i="3"/>
  <c r="H375" i="3" s="1"/>
  <c r="H377" i="3" s="1"/>
  <c r="H379" i="3" s="1"/>
  <c r="H344" i="3"/>
  <c r="H383" i="3"/>
  <c r="H385" i="3" s="1"/>
  <c r="H387" i="3" s="1"/>
  <c r="H389" i="3" s="1"/>
  <c r="N212" i="3"/>
  <c r="M143" i="3"/>
  <c r="G138" i="3"/>
  <c r="G150" i="3"/>
  <c r="H736" i="3"/>
  <c r="H529" i="3"/>
  <c r="H808" i="3" s="1"/>
  <c r="H726" i="3"/>
  <c r="H519" i="3"/>
  <c r="H798" i="3" s="1"/>
  <c r="H727" i="3"/>
  <c r="H588" i="3"/>
  <c r="H799" i="3" s="1"/>
  <c r="H549" i="3"/>
  <c r="H759" i="3" s="1"/>
  <c r="H687" i="3"/>
  <c r="I297" i="3"/>
  <c r="I366" i="3"/>
  <c r="I642" i="3"/>
  <c r="I573" i="3"/>
  <c r="I504" i="3"/>
  <c r="I435" i="3"/>
  <c r="K63" i="3"/>
  <c r="K79" i="3"/>
  <c r="K68" i="3" s="1"/>
  <c r="K915" i="3"/>
  <c r="K216" i="3"/>
  <c r="K691" i="3"/>
  <c r="I133" i="3"/>
  <c r="I241" i="3"/>
  <c r="N241" i="3" s="1"/>
  <c r="O52" i="3"/>
  <c r="AE13" i="3" l="1"/>
  <c r="AC26" i="3"/>
  <c r="I273" i="22"/>
  <c r="F28" i="40"/>
  <c r="AC192" i="3"/>
  <c r="AF192" i="3" s="1"/>
  <c r="K123" i="3"/>
  <c r="K128" i="3" s="1"/>
  <c r="K107" i="3"/>
  <c r="K141" i="3"/>
  <c r="K143" i="3" s="1"/>
  <c r="I128" i="3"/>
  <c r="I149" i="3"/>
  <c r="H346" i="3"/>
  <c r="H349" i="3" s="1"/>
  <c r="H865" i="3"/>
  <c r="H867" i="3" s="1"/>
  <c r="H869" i="3" s="1"/>
  <c r="H871" i="3" s="1"/>
  <c r="F405" i="22"/>
  <c r="F413" i="22" s="1"/>
  <c r="F421" i="22" s="1"/>
  <c r="F445" i="22"/>
  <c r="F453" i="22" s="1"/>
  <c r="F461" i="22" s="1"/>
  <c r="F469" i="22" s="1"/>
  <c r="H183" i="3"/>
  <c r="I711" i="3"/>
  <c r="I234" i="3"/>
  <c r="I906" i="3"/>
  <c r="I854" i="3"/>
  <c r="K925" i="3"/>
  <c r="K763" i="3"/>
  <c r="J223" i="3"/>
  <c r="N221" i="3"/>
  <c r="H371" i="3"/>
  <c r="H786" i="3" s="1"/>
  <c r="H714" i="3"/>
  <c r="L116" i="3"/>
  <c r="O116" i="3" s="1"/>
  <c r="L94" i="3"/>
  <c r="O94" i="3" s="1"/>
  <c r="O72" i="3"/>
  <c r="I915" i="3"/>
  <c r="I691" i="3"/>
  <c r="I216" i="3"/>
  <c r="N216" i="3" s="1"/>
  <c r="M225" i="3"/>
  <c r="G773" i="3"/>
  <c r="M216" i="3"/>
  <c r="G763" i="3"/>
  <c r="G925" i="3"/>
  <c r="K701" i="3"/>
  <c r="K225" i="3"/>
  <c r="K773" i="3" s="1"/>
  <c r="G753" i="3"/>
  <c r="M207" i="3"/>
  <c r="J112" i="3"/>
  <c r="M147" i="3"/>
  <c r="G164" i="3"/>
  <c r="O93" i="3"/>
  <c r="I721" i="3"/>
  <c r="N721" i="3" s="1"/>
  <c r="I243" i="3"/>
  <c r="N243" i="3" s="1"/>
  <c r="H381" i="3"/>
  <c r="H796" i="3" s="1"/>
  <c r="H724" i="3"/>
  <c r="K85" i="3"/>
  <c r="K101" i="3"/>
  <c r="H168" i="3"/>
  <c r="H188" i="3" s="1"/>
  <c r="I164" i="3"/>
  <c r="J90" i="3"/>
  <c r="J147" i="3"/>
  <c r="N147" i="3" s="1"/>
  <c r="M691" i="3"/>
  <c r="I681" i="3"/>
  <c r="N681" i="3" s="1"/>
  <c r="I207" i="3"/>
  <c r="N207" i="3" s="1"/>
  <c r="M681" i="3"/>
  <c r="K494" i="3"/>
  <c r="K229" i="3"/>
  <c r="K287" i="3"/>
  <c r="K356" i="3"/>
  <c r="K425" i="3"/>
  <c r="K632" i="3"/>
  <c r="K563" i="3"/>
  <c r="M149" i="3"/>
  <c r="G166" i="3"/>
  <c r="G148" i="3"/>
  <c r="J573" i="3"/>
  <c r="J642" i="3"/>
  <c r="J435" i="3"/>
  <c r="J366" i="3"/>
  <c r="J297" i="3"/>
  <c r="J504" i="3"/>
  <c r="J230" i="3"/>
  <c r="J143" i="3"/>
  <c r="N141" i="3"/>
  <c r="K149" i="3"/>
  <c r="K166" i="3" s="1"/>
  <c r="K186" i="3" s="1"/>
  <c r="N852" i="3"/>
  <c r="K936" i="3"/>
  <c r="H704" i="3"/>
  <c r="H361" i="3"/>
  <c r="H776" i="3" s="1"/>
  <c r="H684" i="3"/>
  <c r="H342" i="3"/>
  <c r="H756" i="3" s="1"/>
  <c r="M721" i="3"/>
  <c r="L74" i="3"/>
  <c r="I138" i="3"/>
  <c r="I150" i="3"/>
  <c r="M915" i="3"/>
  <c r="G936" i="3"/>
  <c r="L197" i="3"/>
  <c r="O195" i="3"/>
  <c r="O115" i="3"/>
  <c r="H697" i="3"/>
  <c r="H921" i="3"/>
  <c r="H558" i="3"/>
  <c r="M711" i="3"/>
  <c r="M854" i="3"/>
  <c r="G910" i="3"/>
  <c r="K721" i="3"/>
  <c r="K243" i="3"/>
  <c r="K793" i="3" s="1"/>
  <c r="M150" i="3"/>
  <c r="G167" i="3"/>
  <c r="H734" i="3"/>
  <c r="H391" i="3"/>
  <c r="H806" i="3" s="1"/>
  <c r="H401" i="3"/>
  <c r="H816" i="3" s="1"/>
  <c r="H744" i="3"/>
  <c r="M243" i="3"/>
  <c r="G793" i="3"/>
  <c r="M701" i="3"/>
  <c r="L46" i="3"/>
  <c r="L220" i="3" s="1"/>
  <c r="J269" i="22"/>
  <c r="J271" i="22" s="1"/>
  <c r="O57" i="3"/>
  <c r="J940" i="3"/>
  <c r="L24" i="3"/>
  <c r="O35" i="3"/>
  <c r="N214" i="3"/>
  <c r="I701" i="3"/>
  <c r="I225" i="3"/>
  <c r="H170" i="3"/>
  <c r="H185" i="3"/>
  <c r="N205" i="3"/>
  <c r="H696" i="3"/>
  <c r="H920" i="3"/>
  <c r="H489" i="3"/>
  <c r="M234" i="3"/>
  <c r="G783" i="3"/>
  <c r="J133" i="3"/>
  <c r="N131" i="3"/>
  <c r="M906" i="3"/>
  <c r="J273" i="22" l="1"/>
  <c r="L273" i="22" s="1"/>
  <c r="G28" i="40"/>
  <c r="K28" i="40"/>
  <c r="K112" i="3"/>
  <c r="L118" i="3"/>
  <c r="L107" i="3" s="1"/>
  <c r="K138" i="3"/>
  <c r="K150" i="3"/>
  <c r="K167" i="3" s="1"/>
  <c r="K187" i="3" s="1"/>
  <c r="K560" i="3" s="1"/>
  <c r="K562" i="3" s="1"/>
  <c r="K564" i="3" s="1"/>
  <c r="K566" i="3" s="1"/>
  <c r="M783" i="3"/>
  <c r="L494" i="3"/>
  <c r="L425" i="3"/>
  <c r="L563" i="3"/>
  <c r="L632" i="3"/>
  <c r="L229" i="3"/>
  <c r="L356" i="3"/>
  <c r="L287" i="3"/>
  <c r="J138" i="3"/>
  <c r="J150" i="3"/>
  <c r="N143" i="3"/>
  <c r="M763" i="3"/>
  <c r="M773" i="3"/>
  <c r="I910" i="3"/>
  <c r="H769" i="3"/>
  <c r="H931" i="3"/>
  <c r="J232" i="3"/>
  <c r="N230" i="3"/>
  <c r="I793" i="3"/>
  <c r="N793" i="3" s="1"/>
  <c r="I936" i="3"/>
  <c r="N936" i="3" s="1"/>
  <c r="K940" i="3"/>
  <c r="F320" i="22"/>
  <c r="Y183" i="3"/>
  <c r="H294" i="3"/>
  <c r="H296" i="3" s="1"/>
  <c r="H298" i="3" s="1"/>
  <c r="H300" i="3" s="1"/>
  <c r="H266" i="3"/>
  <c r="H271" i="3" s="1"/>
  <c r="H314" i="3"/>
  <c r="H316" i="3" s="1"/>
  <c r="H318" i="3" s="1"/>
  <c r="H320" i="3" s="1"/>
  <c r="H284" i="3"/>
  <c r="H160" i="3"/>
  <c r="H304" i="3"/>
  <c r="H306" i="3" s="1"/>
  <c r="H308" i="3" s="1"/>
  <c r="H310" i="3" s="1"/>
  <c r="H275" i="3"/>
  <c r="H8" i="18"/>
  <c r="F504" i="22"/>
  <c r="H189" i="3"/>
  <c r="H285" i="3" s="1"/>
  <c r="H324" i="3"/>
  <c r="H326" i="3" s="1"/>
  <c r="H328" i="3" s="1"/>
  <c r="H330" i="3" s="1"/>
  <c r="F396" i="22"/>
  <c r="N133" i="3"/>
  <c r="M936" i="3"/>
  <c r="L63" i="3"/>
  <c r="L79" i="3"/>
  <c r="O74" i="3"/>
  <c r="M793" i="3"/>
  <c r="M910" i="3"/>
  <c r="N915" i="3"/>
  <c r="I167" i="3"/>
  <c r="N691" i="3"/>
  <c r="I184" i="3"/>
  <c r="M164" i="3"/>
  <c r="G184" i="3"/>
  <c r="M925" i="3"/>
  <c r="G940" i="3"/>
  <c r="I763" i="3"/>
  <c r="N763" i="3" s="1"/>
  <c r="I925" i="3"/>
  <c r="L96" i="3"/>
  <c r="I783" i="3"/>
  <c r="I773" i="3"/>
  <c r="L198" i="3"/>
  <c r="O198" i="3" s="1"/>
  <c r="L848" i="3"/>
  <c r="L210" i="3"/>
  <c r="L219" i="3"/>
  <c r="L201" i="3"/>
  <c r="L236" i="3"/>
  <c r="L237" i="3" s="1"/>
  <c r="O197" i="3"/>
  <c r="G152" i="3"/>
  <c r="M148" i="3"/>
  <c r="M152" i="3" s="1"/>
  <c r="G165" i="3"/>
  <c r="K366" i="3"/>
  <c r="K573" i="3"/>
  <c r="K504" i="3"/>
  <c r="K297" i="3"/>
  <c r="K435" i="3"/>
  <c r="K642" i="3"/>
  <c r="K230" i="3"/>
  <c r="K232" i="3" s="1"/>
  <c r="J164" i="3"/>
  <c r="J184" i="3" s="1"/>
  <c r="K147" i="3"/>
  <c r="K90" i="3"/>
  <c r="H694" i="3"/>
  <c r="H351" i="3"/>
  <c r="H918" i="3"/>
  <c r="J128" i="3"/>
  <c r="J149" i="3"/>
  <c r="H768" i="3"/>
  <c r="H930" i="3"/>
  <c r="H190" i="3"/>
  <c r="H442" i="3"/>
  <c r="H444" i="3" s="1"/>
  <c r="H446" i="3" s="1"/>
  <c r="H448" i="3" s="1"/>
  <c r="H432" i="3"/>
  <c r="H434" i="3" s="1"/>
  <c r="H436" i="3" s="1"/>
  <c r="H438" i="3" s="1"/>
  <c r="Y185" i="3"/>
  <c r="Y190" i="3" s="1"/>
  <c r="H413" i="3"/>
  <c r="H452" i="3"/>
  <c r="H454" i="3" s="1"/>
  <c r="H456" i="3" s="1"/>
  <c r="H458" i="3" s="1"/>
  <c r="H96" i="24"/>
  <c r="H422" i="3"/>
  <c r="H424" i="3" s="1"/>
  <c r="H426" i="3" s="1"/>
  <c r="H428" i="3" s="1"/>
  <c r="H404" i="3"/>
  <c r="H409" i="3" s="1"/>
  <c r="H10" i="18"/>
  <c r="H462" i="3"/>
  <c r="H464" i="3" s="1"/>
  <c r="H466" i="3" s="1"/>
  <c r="H468" i="3" s="1"/>
  <c r="H245" i="3"/>
  <c r="H246" i="3" s="1"/>
  <c r="H248" i="3" s="1"/>
  <c r="H250" i="3" s="1"/>
  <c r="H254" i="3"/>
  <c r="H255" i="3" s="1"/>
  <c r="H257" i="3" s="1"/>
  <c r="H259" i="3" s="1"/>
  <c r="M167" i="3"/>
  <c r="G187" i="3"/>
  <c r="N854" i="3"/>
  <c r="K11" i="18"/>
  <c r="AB186" i="3"/>
  <c r="AA204" i="3" s="1"/>
  <c r="K473" i="3"/>
  <c r="K478" i="3" s="1"/>
  <c r="K531" i="3"/>
  <c r="K533" i="3" s="1"/>
  <c r="K535" i="3" s="1"/>
  <c r="K537" i="3" s="1"/>
  <c r="K482" i="3"/>
  <c r="K491" i="3"/>
  <c r="K493" i="3" s="1"/>
  <c r="K495" i="3" s="1"/>
  <c r="K497" i="3" s="1"/>
  <c r="K521" i="3"/>
  <c r="K523" i="3" s="1"/>
  <c r="K525" i="3" s="1"/>
  <c r="K527" i="3" s="1"/>
  <c r="K501" i="3"/>
  <c r="K503" i="3" s="1"/>
  <c r="K511" i="3"/>
  <c r="K513" i="3" s="1"/>
  <c r="K515" i="3" s="1"/>
  <c r="K517" i="3" s="1"/>
  <c r="J701" i="3"/>
  <c r="N701" i="3" s="1"/>
  <c r="J225" i="3"/>
  <c r="J773" i="3" s="1"/>
  <c r="N223" i="3"/>
  <c r="N906" i="3"/>
  <c r="L227" i="3"/>
  <c r="L228" i="3" s="1"/>
  <c r="M166" i="3"/>
  <c r="G186" i="3"/>
  <c r="I753" i="3"/>
  <c r="Y188" i="3"/>
  <c r="H611" i="3"/>
  <c r="H616" i="3" s="1"/>
  <c r="H669" i="3"/>
  <c r="H671" i="3" s="1"/>
  <c r="H673" i="3" s="1"/>
  <c r="H675" i="3" s="1"/>
  <c r="H629" i="3"/>
  <c r="H631" i="3" s="1"/>
  <c r="H633" i="3" s="1"/>
  <c r="H635" i="3" s="1"/>
  <c r="H620" i="3"/>
  <c r="H13" i="18"/>
  <c r="H639" i="3"/>
  <c r="H641" i="3" s="1"/>
  <c r="H643" i="3" s="1"/>
  <c r="H645" i="3" s="1"/>
  <c r="H659" i="3"/>
  <c r="H661" i="3" s="1"/>
  <c r="H663" i="3" s="1"/>
  <c r="H665" i="3" s="1"/>
  <c r="H649" i="3"/>
  <c r="H651" i="3" s="1"/>
  <c r="H653" i="3" s="1"/>
  <c r="H655" i="3" s="1"/>
  <c r="G146" i="3"/>
  <c r="M753" i="3"/>
  <c r="H169" i="3"/>
  <c r="I166" i="3"/>
  <c r="I148" i="3"/>
  <c r="L28" i="40" l="1"/>
  <c r="M28" i="40" s="1"/>
  <c r="L123" i="3"/>
  <c r="O123" i="3" s="1"/>
  <c r="I400" i="22"/>
  <c r="L141" i="3"/>
  <c r="L143" i="3" s="1"/>
  <c r="K580" i="3"/>
  <c r="K582" i="3" s="1"/>
  <c r="K584" i="3" s="1"/>
  <c r="K586" i="3" s="1"/>
  <c r="K727" i="3" s="1"/>
  <c r="I340" i="22"/>
  <c r="F57" i="40" s="1"/>
  <c r="K148" i="3"/>
  <c r="K146" i="3" s="1"/>
  <c r="AB187" i="3"/>
  <c r="I512" i="22"/>
  <c r="O118" i="3"/>
  <c r="L131" i="3"/>
  <c r="L133" i="3" s="1"/>
  <c r="K542" i="3"/>
  <c r="K547" i="3" s="1"/>
  <c r="K687" i="3" s="1"/>
  <c r="K600" i="3"/>
  <c r="K602" i="3" s="1"/>
  <c r="K604" i="3" s="1"/>
  <c r="K606" i="3" s="1"/>
  <c r="K608" i="3" s="1"/>
  <c r="K819" i="3" s="1"/>
  <c r="K12" i="18"/>
  <c r="K570" i="3"/>
  <c r="K572" i="3" s="1"/>
  <c r="K574" i="3" s="1"/>
  <c r="K576" i="3" s="1"/>
  <c r="K551" i="3"/>
  <c r="K553" i="3" s="1"/>
  <c r="K556" i="3" s="1"/>
  <c r="K590" i="3"/>
  <c r="K592" i="3" s="1"/>
  <c r="K594" i="3" s="1"/>
  <c r="K596" i="3" s="1"/>
  <c r="K598" i="3" s="1"/>
  <c r="K809" i="3" s="1"/>
  <c r="N225" i="3"/>
  <c r="K505" i="3"/>
  <c r="K507" i="3" s="1"/>
  <c r="K716" i="3" s="1"/>
  <c r="L230" i="3"/>
  <c r="L232" i="3" s="1"/>
  <c r="O232" i="3" s="1"/>
  <c r="O228" i="3"/>
  <c r="L239" i="3"/>
  <c r="O237" i="3"/>
  <c r="H708" i="3"/>
  <c r="H637" i="3"/>
  <c r="H780" i="3" s="1"/>
  <c r="K736" i="3"/>
  <c r="K529" i="3"/>
  <c r="K808" i="3" s="1"/>
  <c r="H261" i="3"/>
  <c r="H813" i="3" s="1"/>
  <c r="H741" i="3"/>
  <c r="H873" i="3"/>
  <c r="H875" i="3" s="1"/>
  <c r="H877" i="3" s="1"/>
  <c r="H879" i="3" s="1"/>
  <c r="H415" i="3"/>
  <c r="H418" i="3" s="1"/>
  <c r="N184" i="3"/>
  <c r="M184" i="3"/>
  <c r="X184" i="3"/>
  <c r="G9" i="18"/>
  <c r="E325" i="22"/>
  <c r="E506" i="22"/>
  <c r="G335" i="3"/>
  <c r="G353" i="3"/>
  <c r="G363" i="3"/>
  <c r="G344" i="3"/>
  <c r="G393" i="3"/>
  <c r="G373" i="3"/>
  <c r="G383" i="3"/>
  <c r="E397" i="22"/>
  <c r="C62" i="24"/>
  <c r="G325" i="22"/>
  <c r="D54" i="40" s="1"/>
  <c r="G506" i="22"/>
  <c r="I9" i="18"/>
  <c r="I344" i="3"/>
  <c r="G397" i="22"/>
  <c r="Q399" i="22" s="1"/>
  <c r="I373" i="3"/>
  <c r="I393" i="3"/>
  <c r="I335" i="3"/>
  <c r="I363" i="3"/>
  <c r="I353" i="3"/>
  <c r="Z184" i="3"/>
  <c r="I383" i="3"/>
  <c r="H713" i="3"/>
  <c r="H302" i="3"/>
  <c r="H785" i="3" s="1"/>
  <c r="K707" i="3"/>
  <c r="K568" i="3"/>
  <c r="K779" i="3" s="1"/>
  <c r="H677" i="3"/>
  <c r="H820" i="3" s="1"/>
  <c r="H748" i="3"/>
  <c r="H731" i="3"/>
  <c r="H252" i="3"/>
  <c r="H803" i="3" s="1"/>
  <c r="H325" i="22"/>
  <c r="E54" i="40" s="1"/>
  <c r="AA184" i="3"/>
  <c r="H506" i="22"/>
  <c r="J393" i="3"/>
  <c r="J395" i="3" s="1"/>
  <c r="J397" i="3" s="1"/>
  <c r="J399" i="3" s="1"/>
  <c r="J353" i="3"/>
  <c r="J355" i="3" s="1"/>
  <c r="J357" i="3" s="1"/>
  <c r="J359" i="3" s="1"/>
  <c r="J383" i="3"/>
  <c r="J385" i="3" s="1"/>
  <c r="J387" i="3" s="1"/>
  <c r="J389" i="3" s="1"/>
  <c r="J363" i="3"/>
  <c r="J365" i="3" s="1"/>
  <c r="J367" i="3" s="1"/>
  <c r="J369" i="3" s="1"/>
  <c r="J9" i="18"/>
  <c r="J335" i="3"/>
  <c r="J340" i="3" s="1"/>
  <c r="H397" i="22"/>
  <c r="R399" i="22" s="1"/>
  <c r="J373" i="3"/>
  <c r="J375" i="3" s="1"/>
  <c r="J377" i="3" s="1"/>
  <c r="J379" i="3" s="1"/>
  <c r="J344" i="3"/>
  <c r="I186" i="3"/>
  <c r="G151" i="3"/>
  <c r="G163" i="3"/>
  <c r="M146" i="3"/>
  <c r="H728" i="3"/>
  <c r="H657" i="3"/>
  <c r="H800" i="3" s="1"/>
  <c r="H622" i="3"/>
  <c r="H625" i="3" s="1"/>
  <c r="H897" i="3"/>
  <c r="H899" i="3" s="1"/>
  <c r="H901" i="3" s="1"/>
  <c r="H903" i="3" s="1"/>
  <c r="E340" i="22"/>
  <c r="M186" i="3"/>
  <c r="G531" i="3"/>
  <c r="E512" i="22"/>
  <c r="G11" i="18"/>
  <c r="X186" i="3"/>
  <c r="G473" i="3"/>
  <c r="G521" i="3"/>
  <c r="E400" i="22"/>
  <c r="G511" i="3"/>
  <c r="G491" i="3"/>
  <c r="G501" i="3"/>
  <c r="G482" i="3"/>
  <c r="K746" i="3"/>
  <c r="K539" i="3"/>
  <c r="K818" i="3" s="1"/>
  <c r="G12" i="18"/>
  <c r="M187" i="3"/>
  <c r="X187" i="3"/>
  <c r="Y205" i="3" s="1"/>
  <c r="G542" i="3"/>
  <c r="G570" i="3"/>
  <c r="G551" i="3"/>
  <c r="G600" i="3"/>
  <c r="G580" i="3"/>
  <c r="G590" i="3"/>
  <c r="G560" i="3"/>
  <c r="H15" i="18"/>
  <c r="H31" i="18"/>
  <c r="H41" i="18" s="1"/>
  <c r="H460" i="3"/>
  <c r="H807" i="3" s="1"/>
  <c r="H735" i="3"/>
  <c r="H450" i="3"/>
  <c r="H797" i="3" s="1"/>
  <c r="H725" i="3"/>
  <c r="J166" i="3"/>
  <c r="J148" i="3"/>
  <c r="N149" i="3"/>
  <c r="K164" i="3"/>
  <c r="K184" i="3" s="1"/>
  <c r="K711" i="3"/>
  <c r="K234" i="3"/>
  <c r="K783" i="3" s="1"/>
  <c r="L212" i="3"/>
  <c r="O210" i="3"/>
  <c r="L85" i="3"/>
  <c r="L101" i="3"/>
  <c r="O96" i="3"/>
  <c r="H7" i="19"/>
  <c r="H9" i="19" s="1"/>
  <c r="F538" i="22"/>
  <c r="F539" i="22" s="1"/>
  <c r="F79" i="21" s="1"/>
  <c r="F171" i="21" s="1"/>
  <c r="H723" i="3"/>
  <c r="H312" i="3"/>
  <c r="H795" i="3" s="1"/>
  <c r="H273" i="3"/>
  <c r="H755" i="3" s="1"/>
  <c r="H683" i="3"/>
  <c r="H738" i="3"/>
  <c r="H667" i="3"/>
  <c r="H810" i="3" s="1"/>
  <c r="K686" i="3"/>
  <c r="K480" i="3"/>
  <c r="K758" i="3" s="1"/>
  <c r="H411" i="3"/>
  <c r="H757" i="3" s="1"/>
  <c r="H685" i="3"/>
  <c r="L221" i="3"/>
  <c r="O219" i="3"/>
  <c r="I940" i="3"/>
  <c r="M940" i="3"/>
  <c r="J711" i="3"/>
  <c r="J234" i="3"/>
  <c r="N232" i="3"/>
  <c r="J167" i="3"/>
  <c r="N150" i="3"/>
  <c r="L366" i="3"/>
  <c r="L573" i="3"/>
  <c r="L435" i="3"/>
  <c r="L504" i="3"/>
  <c r="L297" i="3"/>
  <c r="L642" i="3"/>
  <c r="N753" i="3"/>
  <c r="H718" i="3"/>
  <c r="H647" i="3"/>
  <c r="H790" i="3" s="1"/>
  <c r="K706" i="3"/>
  <c r="K499" i="3"/>
  <c r="K778" i="3" s="1"/>
  <c r="H705" i="3"/>
  <c r="H430" i="3"/>
  <c r="H777" i="3" s="1"/>
  <c r="L850" i="3"/>
  <c r="O848" i="3"/>
  <c r="N925" i="3"/>
  <c r="N164" i="3"/>
  <c r="L68" i="3"/>
  <c r="O79" i="3"/>
  <c r="F404" i="22"/>
  <c r="F444" i="22"/>
  <c r="H14" i="18"/>
  <c r="H18" i="18" s="1"/>
  <c r="H20" i="18" s="1"/>
  <c r="F523" i="22" s="1"/>
  <c r="F525" i="22" s="1"/>
  <c r="F527" i="22" s="1"/>
  <c r="F75" i="21" s="1"/>
  <c r="H30" i="18"/>
  <c r="H286" i="3"/>
  <c r="H288" i="3" s="1"/>
  <c r="H290" i="3" s="1"/>
  <c r="Y189" i="3"/>
  <c r="X193" i="3" s="1"/>
  <c r="N773" i="3"/>
  <c r="I152" i="3"/>
  <c r="I165" i="3"/>
  <c r="I146" i="3"/>
  <c r="H618" i="3"/>
  <c r="H760" i="3" s="1"/>
  <c r="H688" i="3"/>
  <c r="K519" i="3"/>
  <c r="K798" i="3" s="1"/>
  <c r="K726" i="3"/>
  <c r="K881" i="3"/>
  <c r="K883" i="3" s="1"/>
  <c r="K885" i="3" s="1"/>
  <c r="K887" i="3" s="1"/>
  <c r="K484" i="3"/>
  <c r="K487" i="3" s="1"/>
  <c r="H745" i="3"/>
  <c r="H470" i="3"/>
  <c r="H817" i="3" s="1"/>
  <c r="H100" i="24"/>
  <c r="H99" i="24" s="1"/>
  <c r="H715" i="3"/>
  <c r="H440" i="3"/>
  <c r="H787" i="3" s="1"/>
  <c r="H928" i="3"/>
  <c r="H766" i="3"/>
  <c r="M165" i="3"/>
  <c r="M170" i="3" s="1"/>
  <c r="G170" i="3"/>
  <c r="G185" i="3"/>
  <c r="L203" i="3"/>
  <c r="O201" i="3"/>
  <c r="I187" i="3"/>
  <c r="N910" i="3"/>
  <c r="H332" i="3"/>
  <c r="H815" i="3" s="1"/>
  <c r="H743" i="3"/>
  <c r="H857" i="3"/>
  <c r="H859" i="3" s="1"/>
  <c r="H861" i="3" s="1"/>
  <c r="H277" i="3"/>
  <c r="H280" i="3" s="1"/>
  <c r="H733" i="3"/>
  <c r="H322" i="3"/>
  <c r="H805" i="3" s="1"/>
  <c r="I408" i="22" l="1"/>
  <c r="I416" i="22" s="1"/>
  <c r="I424" i="22" s="1"/>
  <c r="S402" i="22"/>
  <c r="O141" i="3"/>
  <c r="K165" i="3"/>
  <c r="K170" i="3" s="1"/>
  <c r="I448" i="22"/>
  <c r="I456" i="22" s="1"/>
  <c r="I464" i="22" s="1"/>
  <c r="I472" i="22" s="1"/>
  <c r="K152" i="3"/>
  <c r="L112" i="3"/>
  <c r="K588" i="3"/>
  <c r="K799" i="3" s="1"/>
  <c r="O131" i="3"/>
  <c r="K549" i="3"/>
  <c r="K759" i="3" s="1"/>
  <c r="K889" i="3"/>
  <c r="K891" i="3" s="1"/>
  <c r="K893" i="3" s="1"/>
  <c r="K895" i="3" s="1"/>
  <c r="K747" i="3"/>
  <c r="K737" i="3"/>
  <c r="K509" i="3"/>
  <c r="K788" i="3" s="1"/>
  <c r="O230" i="3"/>
  <c r="H722" i="3"/>
  <c r="H729" i="3" s="1"/>
  <c r="H837" i="3" s="1"/>
  <c r="H784" i="3"/>
  <c r="H791" i="3" s="1"/>
  <c r="H835" i="3" s="1"/>
  <c r="F206" i="22" s="1"/>
  <c r="H732" i="3"/>
  <c r="H739" i="3" s="1"/>
  <c r="H840" i="3" s="1"/>
  <c r="H703" i="3"/>
  <c r="H702" i="3" s="1"/>
  <c r="H709" i="3" s="1"/>
  <c r="H831" i="3" s="1"/>
  <c r="H292" i="3"/>
  <c r="H775" i="3" s="1"/>
  <c r="H774" i="3" s="1"/>
  <c r="H781" i="3" s="1"/>
  <c r="H832" i="3" s="1"/>
  <c r="F204" i="22" s="1"/>
  <c r="N711" i="3"/>
  <c r="L223" i="3"/>
  <c r="O221" i="3"/>
  <c r="K151" i="3"/>
  <c r="K163" i="3"/>
  <c r="J186" i="3"/>
  <c r="N166" i="3"/>
  <c r="M590" i="3"/>
  <c r="G592" i="3"/>
  <c r="E448" i="22"/>
  <c r="E456" i="22" s="1"/>
  <c r="E464" i="22" s="1"/>
  <c r="E472" i="22" s="1"/>
  <c r="E408" i="22"/>
  <c r="E416" i="22" s="1"/>
  <c r="E424" i="22" s="1"/>
  <c r="J744" i="3"/>
  <c r="J401" i="3"/>
  <c r="J816" i="3" s="1"/>
  <c r="I395" i="3"/>
  <c r="L241" i="3"/>
  <c r="O239" i="3"/>
  <c r="H742" i="3"/>
  <c r="H749" i="3" s="1"/>
  <c r="H843" i="3" s="1"/>
  <c r="Z187" i="3"/>
  <c r="AA205" i="3" s="1"/>
  <c r="I12" i="18"/>
  <c r="I590" i="3"/>
  <c r="I570" i="3"/>
  <c r="I551" i="3"/>
  <c r="I600" i="3"/>
  <c r="I580" i="3"/>
  <c r="I542" i="3"/>
  <c r="I560" i="3"/>
  <c r="I151" i="3"/>
  <c r="I163" i="3"/>
  <c r="AB171" i="21"/>
  <c r="AF171" i="21"/>
  <c r="I325" i="22"/>
  <c r="F54" i="40" s="1"/>
  <c r="AB184" i="3"/>
  <c r="I506" i="22"/>
  <c r="K9" i="18"/>
  <c r="K363" i="3"/>
  <c r="K365" i="3" s="1"/>
  <c r="K367" i="3" s="1"/>
  <c r="K369" i="3" s="1"/>
  <c r="K383" i="3"/>
  <c r="K385" i="3" s="1"/>
  <c r="K387" i="3" s="1"/>
  <c r="K389" i="3" s="1"/>
  <c r="K353" i="3"/>
  <c r="K355" i="3" s="1"/>
  <c r="K357" i="3" s="1"/>
  <c r="K359" i="3" s="1"/>
  <c r="K344" i="3"/>
  <c r="K393" i="3"/>
  <c r="K395" i="3" s="1"/>
  <c r="K397" i="3" s="1"/>
  <c r="K399" i="3" s="1"/>
  <c r="I397" i="22"/>
  <c r="S399" i="22" s="1"/>
  <c r="K335" i="3"/>
  <c r="K340" i="3" s="1"/>
  <c r="K373" i="3"/>
  <c r="K375" i="3" s="1"/>
  <c r="K377" i="3" s="1"/>
  <c r="K379" i="3" s="1"/>
  <c r="M580" i="3"/>
  <c r="G582" i="3"/>
  <c r="G503" i="3"/>
  <c r="M501" i="3"/>
  <c r="M521" i="3"/>
  <c r="G523" i="3"/>
  <c r="G340" i="22"/>
  <c r="D57" i="40" s="1"/>
  <c r="I11" i="18"/>
  <c r="G400" i="22"/>
  <c r="Q402" i="22" s="1"/>
  <c r="Z186" i="3"/>
  <c r="Y204" i="3" s="1"/>
  <c r="I501" i="3"/>
  <c r="I491" i="3"/>
  <c r="I511" i="3"/>
  <c r="I482" i="3"/>
  <c r="I531" i="3"/>
  <c r="G512" i="22"/>
  <c r="I521" i="3"/>
  <c r="I473" i="3"/>
  <c r="J371" i="3"/>
  <c r="J786" i="3" s="1"/>
  <c r="J714" i="3"/>
  <c r="I375" i="3"/>
  <c r="M393" i="3"/>
  <c r="N393" i="3"/>
  <c r="G395" i="3"/>
  <c r="H814" i="3"/>
  <c r="H821" i="3" s="1"/>
  <c r="H844" i="3" s="1"/>
  <c r="F215" i="22" s="1"/>
  <c r="F510" i="22"/>
  <c r="F335" i="22"/>
  <c r="F399" i="22"/>
  <c r="H693" i="3"/>
  <c r="H282" i="3"/>
  <c r="H917" i="3"/>
  <c r="F452" i="22"/>
  <c r="J783" i="3"/>
  <c r="N234" i="3"/>
  <c r="N940" i="3"/>
  <c r="H794" i="3"/>
  <c r="H801" i="3" s="1"/>
  <c r="H838" i="3" s="1"/>
  <c r="F213" i="22" s="1"/>
  <c r="Y191" i="3"/>
  <c r="L147" i="3"/>
  <c r="L90" i="3"/>
  <c r="O101" i="3"/>
  <c r="J152" i="3"/>
  <c r="J165" i="3"/>
  <c r="N148" i="3"/>
  <c r="N152" i="3" s="1"/>
  <c r="J146" i="3"/>
  <c r="M560" i="3"/>
  <c r="G562" i="3"/>
  <c r="G889" i="3"/>
  <c r="G553" i="3"/>
  <c r="M551" i="3"/>
  <c r="M511" i="3"/>
  <c r="G513" i="3"/>
  <c r="AD186" i="3"/>
  <c r="H698" i="3"/>
  <c r="H922" i="3"/>
  <c r="H627" i="3"/>
  <c r="M151" i="3"/>
  <c r="G168" i="3"/>
  <c r="J684" i="3"/>
  <c r="J342" i="3"/>
  <c r="J756" i="3" s="1"/>
  <c r="J704" i="3"/>
  <c r="J361" i="3"/>
  <c r="J776" i="3" s="1"/>
  <c r="I340" i="3"/>
  <c r="I865" i="3"/>
  <c r="I346" i="3"/>
  <c r="N383" i="3"/>
  <c r="M383" i="3"/>
  <c r="G385" i="3"/>
  <c r="N363" i="3"/>
  <c r="M363" i="3"/>
  <c r="G365" i="3"/>
  <c r="AE184" i="3"/>
  <c r="AD184" i="3"/>
  <c r="H863" i="3"/>
  <c r="H911" i="3" s="1"/>
  <c r="H912" i="3" s="1"/>
  <c r="H907" i="3"/>
  <c r="H908" i="3" s="1"/>
  <c r="L205" i="3"/>
  <c r="O203" i="3"/>
  <c r="L138" i="3"/>
  <c r="L150" i="3"/>
  <c r="O143" i="3"/>
  <c r="F412" i="22"/>
  <c r="G572" i="3"/>
  <c r="M570" i="3"/>
  <c r="M12" i="18"/>
  <c r="M482" i="3"/>
  <c r="G484" i="3"/>
  <c r="G881" i="3"/>
  <c r="M11" i="18"/>
  <c r="J346" i="3"/>
  <c r="J349" i="3" s="1"/>
  <c r="J865" i="3"/>
  <c r="J867" i="3" s="1"/>
  <c r="J869" i="3" s="1"/>
  <c r="J871" i="3" s="1"/>
  <c r="I355" i="3"/>
  <c r="N373" i="3"/>
  <c r="G375" i="3"/>
  <c r="M373" i="3"/>
  <c r="N353" i="3"/>
  <c r="G355" i="3"/>
  <c r="M353" i="3"/>
  <c r="H804" i="3"/>
  <c r="H811" i="3" s="1"/>
  <c r="H841" i="3" s="1"/>
  <c r="F208" i="22" s="1"/>
  <c r="G190" i="3"/>
  <c r="G432" i="3"/>
  <c r="G442" i="3"/>
  <c r="G10" i="18"/>
  <c r="M185" i="3"/>
  <c r="M190" i="3" s="1"/>
  <c r="X185" i="3"/>
  <c r="G404" i="3"/>
  <c r="G413" i="3"/>
  <c r="G422" i="3"/>
  <c r="G462" i="3"/>
  <c r="G452" i="3"/>
  <c r="G96" i="24"/>
  <c r="F508" i="22"/>
  <c r="F330" i="22"/>
  <c r="F398" i="22"/>
  <c r="K558" i="3"/>
  <c r="K921" i="3"/>
  <c r="K697" i="3"/>
  <c r="H32" i="18"/>
  <c r="H27" i="18" s="1"/>
  <c r="H40" i="18"/>
  <c r="H42" i="18" s="1"/>
  <c r="J187" i="3"/>
  <c r="N187" i="3" s="1"/>
  <c r="N167" i="3"/>
  <c r="K717" i="3"/>
  <c r="K578" i="3"/>
  <c r="K789" i="3" s="1"/>
  <c r="H682" i="3"/>
  <c r="H689" i="3" s="1"/>
  <c r="H825" i="3" s="1"/>
  <c r="M542" i="3"/>
  <c r="G547" i="3"/>
  <c r="J381" i="3"/>
  <c r="J796" i="3" s="1"/>
  <c r="J724" i="3"/>
  <c r="H712" i="3"/>
  <c r="H719" i="3" s="1"/>
  <c r="H834" i="3" s="1"/>
  <c r="D70" i="24"/>
  <c r="D77" i="24"/>
  <c r="D72" i="24"/>
  <c r="D73" i="24"/>
  <c r="D76" i="24"/>
  <c r="C213" i="24"/>
  <c r="D71" i="24"/>
  <c r="D66" i="24"/>
  <c r="D67" i="24"/>
  <c r="D75" i="24"/>
  <c r="D74" i="24"/>
  <c r="D69" i="24"/>
  <c r="D68" i="24"/>
  <c r="H919" i="3"/>
  <c r="H420" i="3"/>
  <c r="H695" i="3"/>
  <c r="K696" i="3"/>
  <c r="K920" i="3"/>
  <c r="K489" i="3"/>
  <c r="I170" i="3"/>
  <c r="I185" i="3"/>
  <c r="L852" i="3"/>
  <c r="O850" i="3"/>
  <c r="L128" i="3"/>
  <c r="L149" i="3"/>
  <c r="O133" i="3"/>
  <c r="H754" i="3"/>
  <c r="H761" i="3" s="1"/>
  <c r="H826" i="3" s="1"/>
  <c r="F175" i="22" s="1"/>
  <c r="L214" i="3"/>
  <c r="O212" i="3"/>
  <c r="M600" i="3"/>
  <c r="G602" i="3"/>
  <c r="AD187" i="3"/>
  <c r="M491" i="3"/>
  <c r="G493" i="3"/>
  <c r="M473" i="3"/>
  <c r="G478" i="3"/>
  <c r="M531" i="3"/>
  <c r="G533" i="3"/>
  <c r="M163" i="3"/>
  <c r="G183" i="3"/>
  <c r="H445" i="22"/>
  <c r="H453" i="22" s="1"/>
  <c r="H461" i="22" s="1"/>
  <c r="H469" i="22" s="1"/>
  <c r="H405" i="22"/>
  <c r="H413" i="22" s="1"/>
  <c r="H421" i="22" s="1"/>
  <c r="J734" i="3"/>
  <c r="J391" i="3"/>
  <c r="J806" i="3" s="1"/>
  <c r="I385" i="3"/>
  <c r="I365" i="3"/>
  <c r="G405" i="22"/>
  <c r="G413" i="22" s="1"/>
  <c r="G421" i="22" s="1"/>
  <c r="G445" i="22"/>
  <c r="G453" i="22" s="1"/>
  <c r="G461" i="22" s="1"/>
  <c r="G469" i="22" s="1"/>
  <c r="E445" i="22"/>
  <c r="E453" i="22" s="1"/>
  <c r="E461" i="22" s="1"/>
  <c r="E469" i="22" s="1"/>
  <c r="E405" i="22"/>
  <c r="E413" i="22" s="1"/>
  <c r="E421" i="22" s="1"/>
  <c r="N344" i="3"/>
  <c r="M344" i="3"/>
  <c r="G346" i="3"/>
  <c r="G865" i="3"/>
  <c r="M335" i="3"/>
  <c r="N335" i="3"/>
  <c r="G340" i="3"/>
  <c r="M9" i="18"/>
  <c r="N9" i="18"/>
  <c r="L234" i="3"/>
  <c r="L783" i="3" s="1"/>
  <c r="L711" i="3"/>
  <c r="K185" i="3" l="1"/>
  <c r="AB185" i="3" s="1"/>
  <c r="O234" i="3"/>
  <c r="F513" i="22"/>
  <c r="F73" i="21" s="1"/>
  <c r="F71" i="21" s="1"/>
  <c r="F145" i="21" s="1"/>
  <c r="L915" i="3"/>
  <c r="L691" i="3"/>
  <c r="L216" i="3"/>
  <c r="O214" i="3"/>
  <c r="D382" i="22"/>
  <c r="N375" i="3"/>
  <c r="M375" i="3"/>
  <c r="G377" i="3"/>
  <c r="F420" i="22"/>
  <c r="I349" i="3"/>
  <c r="M168" i="3"/>
  <c r="G188" i="3"/>
  <c r="G189" i="3" s="1"/>
  <c r="J170" i="3"/>
  <c r="J185" i="3"/>
  <c r="I503" i="3"/>
  <c r="K724" i="3"/>
  <c r="K381" i="3"/>
  <c r="K796" i="3" s="1"/>
  <c r="K865" i="3"/>
  <c r="K867" i="3" s="1"/>
  <c r="K869" i="3" s="1"/>
  <c r="K871" i="3" s="1"/>
  <c r="K346" i="3"/>
  <c r="K349" i="3" s="1"/>
  <c r="I183" i="3"/>
  <c r="I602" i="3"/>
  <c r="G169" i="3"/>
  <c r="M602" i="3"/>
  <c r="G604" i="3"/>
  <c r="Q68" i="24"/>
  <c r="R68" i="24"/>
  <c r="U68" i="24" s="1"/>
  <c r="X68" i="24" s="1"/>
  <c r="R76" i="24"/>
  <c r="U76" i="24" s="1"/>
  <c r="X76" i="24" s="1"/>
  <c r="Q76" i="24"/>
  <c r="K769" i="3"/>
  <c r="K931" i="3"/>
  <c r="M96" i="24"/>
  <c r="G100" i="24"/>
  <c r="G99" i="24" s="1"/>
  <c r="G15" i="18"/>
  <c r="M10" i="18"/>
  <c r="M15" i="18" s="1"/>
  <c r="G31" i="18"/>
  <c r="N355" i="3"/>
  <c r="G357" i="3"/>
  <c r="M355" i="3"/>
  <c r="M881" i="3"/>
  <c r="G883" i="3"/>
  <c r="M572" i="3"/>
  <c r="G574" i="3"/>
  <c r="I867" i="3"/>
  <c r="M889" i="3"/>
  <c r="G891" i="3"/>
  <c r="F460" i="22"/>
  <c r="H916" i="3"/>
  <c r="I377" i="3"/>
  <c r="I478" i="3"/>
  <c r="G525" i="3"/>
  <c r="M523" i="3"/>
  <c r="K704" i="3"/>
  <c r="K361" i="3"/>
  <c r="K776" i="3" s="1"/>
  <c r="I168" i="3"/>
  <c r="I562" i="3"/>
  <c r="I553" i="3"/>
  <c r="I889" i="3"/>
  <c r="M493" i="3"/>
  <c r="G495" i="3"/>
  <c r="K768" i="3"/>
  <c r="K930" i="3"/>
  <c r="R69" i="24"/>
  <c r="U69" i="24" s="1"/>
  <c r="X69" i="24" s="1"/>
  <c r="Q69" i="24"/>
  <c r="Q66" i="24"/>
  <c r="R66" i="24"/>
  <c r="U66" i="24" s="1"/>
  <c r="X66" i="24" s="1"/>
  <c r="R73" i="24"/>
  <c r="U73" i="24" s="1"/>
  <c r="X73" i="24" s="1"/>
  <c r="Q73" i="24"/>
  <c r="D78" i="24"/>
  <c r="M547" i="3"/>
  <c r="G687" i="3"/>
  <c r="G549" i="3"/>
  <c r="F446" i="22"/>
  <c r="F406" i="22"/>
  <c r="F401" i="22"/>
  <c r="M404" i="3"/>
  <c r="G409" i="3"/>
  <c r="M442" i="3"/>
  <c r="G444" i="3"/>
  <c r="G487" i="3"/>
  <c r="M484" i="3"/>
  <c r="G342" i="3"/>
  <c r="N340" i="3"/>
  <c r="M340" i="3"/>
  <c r="G684" i="3"/>
  <c r="N346" i="3"/>
  <c r="G349" i="3"/>
  <c r="M346" i="3"/>
  <c r="I367" i="3"/>
  <c r="E320" i="22"/>
  <c r="M183" i="3"/>
  <c r="G314" i="3"/>
  <c r="G304" i="3"/>
  <c r="G160" i="3"/>
  <c r="G284" i="3"/>
  <c r="E504" i="22"/>
  <c r="G324" i="3"/>
  <c r="G8" i="18"/>
  <c r="G266" i="3"/>
  <c r="G275" i="3"/>
  <c r="E396" i="22"/>
  <c r="G294" i="3"/>
  <c r="X183" i="3"/>
  <c r="M478" i="3"/>
  <c r="G686" i="3"/>
  <c r="G480" i="3"/>
  <c r="L854" i="3"/>
  <c r="L906" i="3"/>
  <c r="O852" i="3"/>
  <c r="I422" i="3"/>
  <c r="Z185" i="3"/>
  <c r="Y203" i="3" s="1"/>
  <c r="Y202" i="3" s="1"/>
  <c r="I404" i="3"/>
  <c r="I442" i="3"/>
  <c r="I10" i="18"/>
  <c r="I96" i="24"/>
  <c r="I190" i="3"/>
  <c r="I432" i="3"/>
  <c r="I413" i="3"/>
  <c r="I452" i="3"/>
  <c r="I462" i="3"/>
  <c r="R74" i="24"/>
  <c r="U74" i="24" s="1"/>
  <c r="X74" i="24" s="1"/>
  <c r="Q74" i="24"/>
  <c r="R71" i="24"/>
  <c r="U71" i="24" s="1"/>
  <c r="X71" i="24" s="1"/>
  <c r="Q71" i="24"/>
  <c r="Q72" i="24"/>
  <c r="R72" i="24"/>
  <c r="U72" i="24" s="1"/>
  <c r="X72" i="24" s="1"/>
  <c r="K190" i="3"/>
  <c r="H37" i="18"/>
  <c r="M462" i="3"/>
  <c r="G464" i="3"/>
  <c r="X190" i="3"/>
  <c r="AD185" i="3"/>
  <c r="AD190" i="3" s="1"/>
  <c r="M432" i="3"/>
  <c r="G434" i="3"/>
  <c r="I357" i="3"/>
  <c r="L167" i="3"/>
  <c r="O150" i="3"/>
  <c r="I684" i="3"/>
  <c r="I342" i="3"/>
  <c r="G515" i="3"/>
  <c r="M513" i="3"/>
  <c r="M562" i="3"/>
  <c r="G564" i="3"/>
  <c r="L164" i="3"/>
  <c r="O147" i="3"/>
  <c r="H692" i="3"/>
  <c r="H699" i="3" s="1"/>
  <c r="H828" i="3" s="1"/>
  <c r="F447" i="22"/>
  <c r="F455" i="22" s="1"/>
  <c r="F463" i="22" s="1"/>
  <c r="F471" i="22" s="1"/>
  <c r="F407" i="22"/>
  <c r="F415" i="22" s="1"/>
  <c r="F423" i="22" s="1"/>
  <c r="I493" i="3"/>
  <c r="K744" i="3"/>
  <c r="K401" i="3"/>
  <c r="K816" i="3" s="1"/>
  <c r="K714" i="3"/>
  <c r="K371" i="3"/>
  <c r="K786" i="3" s="1"/>
  <c r="I582" i="3"/>
  <c r="I592" i="3"/>
  <c r="I397" i="3"/>
  <c r="M592" i="3"/>
  <c r="G594" i="3"/>
  <c r="H512" i="22"/>
  <c r="H340" i="22"/>
  <c r="E57" i="40" s="1"/>
  <c r="J11" i="18"/>
  <c r="N11" i="18" s="1"/>
  <c r="J521" i="3"/>
  <c r="J523" i="3" s="1"/>
  <c r="J525" i="3" s="1"/>
  <c r="J527" i="3" s="1"/>
  <c r="J511" i="3"/>
  <c r="J473" i="3"/>
  <c r="J491" i="3"/>
  <c r="AA186" i="3"/>
  <c r="J482" i="3"/>
  <c r="N482" i="3" s="1"/>
  <c r="J501" i="3"/>
  <c r="J503" i="3" s="1"/>
  <c r="J505" i="3" s="1"/>
  <c r="J507" i="3" s="1"/>
  <c r="H400" i="22"/>
  <c r="R402" i="22" s="1"/>
  <c r="J531" i="3"/>
  <c r="J533" i="3" s="1"/>
  <c r="J535" i="3" s="1"/>
  <c r="J537" i="3" s="1"/>
  <c r="N186" i="3"/>
  <c r="L701" i="3"/>
  <c r="L225" i="3"/>
  <c r="O223" i="3"/>
  <c r="M533" i="3"/>
  <c r="G535" i="3"/>
  <c r="F178" i="22"/>
  <c r="F179" i="22"/>
  <c r="H929" i="3"/>
  <c r="H767" i="3"/>
  <c r="R75" i="24"/>
  <c r="U75" i="24" s="1"/>
  <c r="X75" i="24" s="1"/>
  <c r="Q75" i="24"/>
  <c r="R77" i="24"/>
  <c r="U77" i="24" s="1"/>
  <c r="X77" i="24" s="1"/>
  <c r="Q77" i="24"/>
  <c r="AA187" i="3"/>
  <c r="J12" i="18"/>
  <c r="N12" i="18" s="1"/>
  <c r="J560" i="3"/>
  <c r="J570" i="3"/>
  <c r="J551" i="3"/>
  <c r="N551" i="3" s="1"/>
  <c r="J600" i="3"/>
  <c r="J602" i="3" s="1"/>
  <c r="J604" i="3" s="1"/>
  <c r="J606" i="3" s="1"/>
  <c r="J590" i="3"/>
  <c r="J580" i="3"/>
  <c r="J542" i="3"/>
  <c r="M422" i="3"/>
  <c r="G424" i="3"/>
  <c r="L681" i="3"/>
  <c r="L207" i="3"/>
  <c r="O205" i="3"/>
  <c r="M385" i="3"/>
  <c r="N385" i="3"/>
  <c r="G387" i="3"/>
  <c r="M553" i="3"/>
  <c r="G556" i="3"/>
  <c r="I533" i="3"/>
  <c r="M582" i="3"/>
  <c r="G584" i="3"/>
  <c r="K183" i="3"/>
  <c r="I387" i="3"/>
  <c r="L166" i="3"/>
  <c r="O149" i="3"/>
  <c r="L148" i="3"/>
  <c r="R67" i="24"/>
  <c r="U67" i="24" s="1"/>
  <c r="X67" i="24" s="1"/>
  <c r="Q67" i="24"/>
  <c r="R70" i="24"/>
  <c r="U70" i="24" s="1"/>
  <c r="X70" i="24" s="1"/>
  <c r="Q70" i="24"/>
  <c r="M413" i="3"/>
  <c r="G873" i="3"/>
  <c r="G415" i="3"/>
  <c r="N365" i="3"/>
  <c r="G367" i="3"/>
  <c r="M365" i="3"/>
  <c r="I484" i="3"/>
  <c r="I881" i="3"/>
  <c r="M503" i="3"/>
  <c r="G505" i="3"/>
  <c r="K684" i="3"/>
  <c r="K342" i="3"/>
  <c r="K756" i="3" s="1"/>
  <c r="L721" i="3"/>
  <c r="L243" i="3"/>
  <c r="O241" i="3"/>
  <c r="K168" i="3"/>
  <c r="K188" i="3" s="1"/>
  <c r="N865" i="3"/>
  <c r="M865" i="3"/>
  <c r="G867" i="3"/>
  <c r="G454" i="3"/>
  <c r="M452" i="3"/>
  <c r="J694" i="3"/>
  <c r="J351" i="3"/>
  <c r="J918" i="3"/>
  <c r="H932" i="3"/>
  <c r="H770" i="3"/>
  <c r="J151" i="3"/>
  <c r="J163" i="3"/>
  <c r="N146" i="3"/>
  <c r="F216" i="22"/>
  <c r="F28" i="21" s="1"/>
  <c r="N783" i="3"/>
  <c r="O783" i="3"/>
  <c r="H765" i="3"/>
  <c r="H927" i="3"/>
  <c r="N395" i="3"/>
  <c r="G397" i="3"/>
  <c r="M395" i="3"/>
  <c r="I523" i="3"/>
  <c r="I513" i="3"/>
  <c r="G448" i="22"/>
  <c r="G456" i="22" s="1"/>
  <c r="G464" i="22" s="1"/>
  <c r="G472" i="22" s="1"/>
  <c r="G408" i="22"/>
  <c r="G416" i="22" s="1"/>
  <c r="G424" i="22" s="1"/>
  <c r="I445" i="22"/>
  <c r="I453" i="22" s="1"/>
  <c r="I461" i="22" s="1"/>
  <c r="I469" i="22" s="1"/>
  <c r="I405" i="22"/>
  <c r="I413" i="22" s="1"/>
  <c r="I421" i="22" s="1"/>
  <c r="K391" i="3"/>
  <c r="K806" i="3" s="1"/>
  <c r="K734" i="3"/>
  <c r="I547" i="3"/>
  <c r="I572" i="3"/>
  <c r="O711" i="3"/>
  <c r="F209" i="22"/>
  <c r="F27" i="21" s="1"/>
  <c r="F220" i="22"/>
  <c r="F221" i="22" s="1"/>
  <c r="F29" i="21" s="1"/>
  <c r="N165" i="3"/>
  <c r="N170" i="3" s="1"/>
  <c r="AE187" i="3" l="1"/>
  <c r="AB205" i="3"/>
  <c r="AB190" i="3"/>
  <c r="AA203" i="3"/>
  <c r="AA202" i="3" s="1"/>
  <c r="AE186" i="3"/>
  <c r="Z204" i="3"/>
  <c r="K432" i="3"/>
  <c r="K434" i="3" s="1"/>
  <c r="K436" i="3" s="1"/>
  <c r="K438" i="3" s="1"/>
  <c r="K440" i="3" s="1"/>
  <c r="K787" i="3" s="1"/>
  <c r="K96" i="24"/>
  <c r="K100" i="24" s="1"/>
  <c r="K99" i="24" s="1"/>
  <c r="K404" i="3"/>
  <c r="K409" i="3" s="1"/>
  <c r="K685" i="3" s="1"/>
  <c r="K442" i="3"/>
  <c r="K444" i="3" s="1"/>
  <c r="K446" i="3" s="1"/>
  <c r="K448" i="3" s="1"/>
  <c r="K725" i="3" s="1"/>
  <c r="K422" i="3"/>
  <c r="K424" i="3" s="1"/>
  <c r="K426" i="3" s="1"/>
  <c r="K428" i="3" s="1"/>
  <c r="K430" i="3" s="1"/>
  <c r="K777" i="3" s="1"/>
  <c r="K452" i="3"/>
  <c r="K454" i="3" s="1"/>
  <c r="K456" i="3" s="1"/>
  <c r="K458" i="3" s="1"/>
  <c r="K460" i="3" s="1"/>
  <c r="K807" i="3" s="1"/>
  <c r="K462" i="3"/>
  <c r="K464" i="3" s="1"/>
  <c r="K466" i="3" s="1"/>
  <c r="K468" i="3" s="1"/>
  <c r="K745" i="3" s="1"/>
  <c r="K10" i="18"/>
  <c r="K15" i="18" s="1"/>
  <c r="K413" i="3"/>
  <c r="K873" i="3" s="1"/>
  <c r="K875" i="3" s="1"/>
  <c r="K877" i="3" s="1"/>
  <c r="K879" i="3" s="1"/>
  <c r="H926" i="3"/>
  <c r="H941" i="3" s="1"/>
  <c r="H942" i="3" s="1"/>
  <c r="N523" i="3"/>
  <c r="N602" i="3"/>
  <c r="J168" i="3"/>
  <c r="J188" i="3" s="1"/>
  <c r="J639" i="3" s="1"/>
  <c r="J641" i="3" s="1"/>
  <c r="J643" i="3" s="1"/>
  <c r="J645" i="3" s="1"/>
  <c r="N521" i="3"/>
  <c r="N503" i="3"/>
  <c r="N533" i="3"/>
  <c r="F182" i="22"/>
  <c r="F24" i="21" s="1"/>
  <c r="F21" i="21" s="1"/>
  <c r="N397" i="3"/>
  <c r="M397" i="3"/>
  <c r="G399" i="3"/>
  <c r="N151" i="3"/>
  <c r="AB188" i="3"/>
  <c r="K13" i="18"/>
  <c r="K649" i="3"/>
  <c r="K651" i="3" s="1"/>
  <c r="K653" i="3" s="1"/>
  <c r="K655" i="3" s="1"/>
  <c r="K620" i="3"/>
  <c r="K611" i="3"/>
  <c r="K616" i="3" s="1"/>
  <c r="K659" i="3"/>
  <c r="K661" i="3" s="1"/>
  <c r="K663" i="3" s="1"/>
  <c r="K665" i="3" s="1"/>
  <c r="K639" i="3"/>
  <c r="K641" i="3" s="1"/>
  <c r="K643" i="3" s="1"/>
  <c r="K645" i="3" s="1"/>
  <c r="K669" i="3"/>
  <c r="K671" i="3" s="1"/>
  <c r="K673" i="3" s="1"/>
  <c r="K675" i="3" s="1"/>
  <c r="K629" i="3"/>
  <c r="K631" i="3" s="1"/>
  <c r="K633" i="3" s="1"/>
  <c r="K635" i="3" s="1"/>
  <c r="K254" i="3"/>
  <c r="K255" i="3" s="1"/>
  <c r="K257" i="3" s="1"/>
  <c r="K259" i="3" s="1"/>
  <c r="M367" i="3"/>
  <c r="G369" i="3"/>
  <c r="N367" i="3"/>
  <c r="S70" i="24"/>
  <c r="AC70" i="24" s="1"/>
  <c r="AD70" i="24" s="1"/>
  <c r="AE70" i="24" s="1"/>
  <c r="T70" i="24"/>
  <c r="AB183" i="3"/>
  <c r="AA200" i="3" s="1"/>
  <c r="I320" i="22"/>
  <c r="F53" i="40" s="1"/>
  <c r="K160" i="3"/>
  <c r="K304" i="3"/>
  <c r="K306" i="3" s="1"/>
  <c r="K308" i="3" s="1"/>
  <c r="K310" i="3" s="1"/>
  <c r="I504" i="22"/>
  <c r="K266" i="3"/>
  <c r="K271" i="3" s="1"/>
  <c r="K275" i="3"/>
  <c r="I396" i="22"/>
  <c r="S398" i="22" s="1"/>
  <c r="K189" i="3"/>
  <c r="K284" i="3"/>
  <c r="K314" i="3"/>
  <c r="K316" i="3" s="1"/>
  <c r="K318" i="3" s="1"/>
  <c r="K320" i="3" s="1"/>
  <c r="K324" i="3"/>
  <c r="K326" i="3" s="1"/>
  <c r="K328" i="3" s="1"/>
  <c r="K330" i="3" s="1"/>
  <c r="K294" i="3"/>
  <c r="K296" i="3" s="1"/>
  <c r="K298" i="3" s="1"/>
  <c r="K300" i="3" s="1"/>
  <c r="K8" i="18"/>
  <c r="L753" i="3"/>
  <c r="O207" i="3"/>
  <c r="J746" i="3"/>
  <c r="J539" i="3"/>
  <c r="J818" i="3" s="1"/>
  <c r="M594" i="3"/>
  <c r="G596" i="3"/>
  <c r="I584" i="3"/>
  <c r="L184" i="3"/>
  <c r="O164" i="3"/>
  <c r="I15" i="18"/>
  <c r="I31" i="18"/>
  <c r="M266" i="3"/>
  <c r="G271" i="3"/>
  <c r="M314" i="3"/>
  <c r="G316" i="3"/>
  <c r="N342" i="3"/>
  <c r="G756" i="3"/>
  <c r="M342" i="3"/>
  <c r="G759" i="3"/>
  <c r="M549" i="3"/>
  <c r="S66" i="24"/>
  <c r="AC66" i="24" s="1"/>
  <c r="AD66" i="24" s="1"/>
  <c r="T66" i="24"/>
  <c r="I564" i="3"/>
  <c r="M883" i="3"/>
  <c r="G885" i="3"/>
  <c r="N357" i="3"/>
  <c r="M357" i="3"/>
  <c r="G359" i="3"/>
  <c r="S76" i="24"/>
  <c r="AC76" i="24" s="1"/>
  <c r="AD76" i="24" s="1"/>
  <c r="AE76" i="24" s="1"/>
  <c r="T76" i="24"/>
  <c r="I694" i="3"/>
  <c r="I918" i="3"/>
  <c r="I351" i="3"/>
  <c r="N377" i="3"/>
  <c r="M377" i="3"/>
  <c r="G379" i="3"/>
  <c r="N531" i="3"/>
  <c r="M873" i="3"/>
  <c r="G875" i="3"/>
  <c r="L186" i="3"/>
  <c r="O166" i="3"/>
  <c r="I535" i="3"/>
  <c r="M556" i="3"/>
  <c r="G697" i="3"/>
  <c r="G921" i="3"/>
  <c r="G558" i="3"/>
  <c r="O681" i="3"/>
  <c r="L773" i="3"/>
  <c r="O225" i="3"/>
  <c r="H408" i="22"/>
  <c r="H416" i="22" s="1"/>
  <c r="H424" i="22" s="1"/>
  <c r="H448" i="22"/>
  <c r="H456" i="22" s="1"/>
  <c r="H464" i="22" s="1"/>
  <c r="H472" i="22" s="1"/>
  <c r="J493" i="3"/>
  <c r="J495" i="3" s="1"/>
  <c r="J497" i="3" s="1"/>
  <c r="N491" i="3"/>
  <c r="M515" i="3"/>
  <c r="G517" i="3"/>
  <c r="M464" i="3"/>
  <c r="G466" i="3"/>
  <c r="I434" i="3"/>
  <c r="M189" i="3"/>
  <c r="G7" i="19"/>
  <c r="E538" i="22"/>
  <c r="E539" i="22" s="1"/>
  <c r="T69" i="24"/>
  <c r="S69" i="24"/>
  <c r="AC69" i="24" s="1"/>
  <c r="AD69" i="24" s="1"/>
  <c r="AE69" i="24" s="1"/>
  <c r="I188" i="3"/>
  <c r="I869" i="3"/>
  <c r="I515" i="3"/>
  <c r="H764" i="3"/>
  <c r="H771" i="3" s="1"/>
  <c r="H829" i="3" s="1"/>
  <c r="G869" i="3"/>
  <c r="M867" i="3"/>
  <c r="N867" i="3"/>
  <c r="I883" i="3"/>
  <c r="S67" i="24"/>
  <c r="AC67" i="24" s="1"/>
  <c r="AD67" i="24" s="1"/>
  <c r="AE67" i="24" s="1"/>
  <c r="T67" i="24"/>
  <c r="M584" i="3"/>
  <c r="G586" i="3"/>
  <c r="J747" i="3"/>
  <c r="J608" i="3"/>
  <c r="J819" i="3" s="1"/>
  <c r="O701" i="3"/>
  <c r="I574" i="3"/>
  <c r="N501" i="3"/>
  <c r="J183" i="3"/>
  <c r="N163" i="3"/>
  <c r="J928" i="3"/>
  <c r="J766" i="3"/>
  <c r="L793" i="3"/>
  <c r="O243" i="3"/>
  <c r="M505" i="3"/>
  <c r="G507" i="3"/>
  <c r="I487" i="3"/>
  <c r="L152" i="3"/>
  <c r="O152" i="3" s="1"/>
  <c r="L165" i="3"/>
  <c r="O148" i="3"/>
  <c r="I389" i="3"/>
  <c r="K169" i="3"/>
  <c r="J547" i="3"/>
  <c r="N547" i="3" s="1"/>
  <c r="N542" i="3"/>
  <c r="J553" i="3"/>
  <c r="J889" i="3"/>
  <c r="J891" i="3" s="1"/>
  <c r="J893" i="3" s="1"/>
  <c r="J895" i="3" s="1"/>
  <c r="G537" i="3"/>
  <c r="M535" i="3"/>
  <c r="J484" i="3"/>
  <c r="J487" i="3" s="1"/>
  <c r="J881" i="3"/>
  <c r="J513" i="3"/>
  <c r="J515" i="3" s="1"/>
  <c r="J517" i="3" s="1"/>
  <c r="N511" i="3"/>
  <c r="L146" i="3"/>
  <c r="I756" i="3"/>
  <c r="G436" i="3"/>
  <c r="M434" i="3"/>
  <c r="I454" i="3"/>
  <c r="I100" i="24"/>
  <c r="Z190" i="3"/>
  <c r="L910" i="3"/>
  <c r="O854" i="3"/>
  <c r="M480" i="3"/>
  <c r="G758" i="3"/>
  <c r="G285" i="3"/>
  <c r="G286" i="3" s="1"/>
  <c r="M275" i="3"/>
  <c r="G277" i="3"/>
  <c r="G857" i="3"/>
  <c r="G306" i="3"/>
  <c r="M304" i="3"/>
  <c r="M349" i="3"/>
  <c r="N349" i="3"/>
  <c r="G918" i="3"/>
  <c r="G351" i="3"/>
  <c r="G694" i="3"/>
  <c r="M409" i="3"/>
  <c r="G685" i="3"/>
  <c r="G411" i="3"/>
  <c r="F414" i="22"/>
  <c r="F409" i="22"/>
  <c r="G527" i="3"/>
  <c r="M525" i="3"/>
  <c r="I379" i="3"/>
  <c r="H937" i="3"/>
  <c r="H938" i="3" s="1"/>
  <c r="H923" i="3"/>
  <c r="M31" i="18"/>
  <c r="G41" i="18"/>
  <c r="E510" i="22"/>
  <c r="M100" i="24"/>
  <c r="M98" i="24" s="1"/>
  <c r="E335" i="22"/>
  <c r="E399" i="22"/>
  <c r="S68" i="24"/>
  <c r="AC68" i="24" s="1"/>
  <c r="AD68" i="24" s="1"/>
  <c r="AE68" i="24" s="1"/>
  <c r="T68" i="24"/>
  <c r="I169" i="3"/>
  <c r="AA185" i="3"/>
  <c r="Z203" i="3" s="1"/>
  <c r="J10" i="18"/>
  <c r="N10" i="18" s="1"/>
  <c r="N15" i="18" s="1"/>
  <c r="J404" i="3"/>
  <c r="J432" i="3"/>
  <c r="J452" i="3"/>
  <c r="J96" i="24"/>
  <c r="J462" i="3"/>
  <c r="J190" i="3"/>
  <c r="J413" i="3"/>
  <c r="J422" i="3"/>
  <c r="J442" i="3"/>
  <c r="J444" i="3" s="1"/>
  <c r="J446" i="3" s="1"/>
  <c r="J448" i="3" s="1"/>
  <c r="N185" i="3"/>
  <c r="N190" i="3" s="1"/>
  <c r="D384" i="22"/>
  <c r="D388" i="22" s="1"/>
  <c r="D390" i="22" s="1"/>
  <c r="D391" i="22" s="1"/>
  <c r="D430" i="22"/>
  <c r="D432" i="22" s="1"/>
  <c r="D436" i="22" s="1"/>
  <c r="D438" i="22" s="1"/>
  <c r="D439" i="22" s="1"/>
  <c r="L936" i="3"/>
  <c r="O915" i="3"/>
  <c r="I525" i="3"/>
  <c r="O721" i="3"/>
  <c r="M415" i="3"/>
  <c r="G418" i="3"/>
  <c r="M387" i="3"/>
  <c r="G389" i="3"/>
  <c r="N387" i="3"/>
  <c r="J582" i="3"/>
  <c r="J584" i="3" s="1"/>
  <c r="J586" i="3" s="1"/>
  <c r="N580" i="3"/>
  <c r="J572" i="3"/>
  <c r="J574" i="3" s="1"/>
  <c r="J576" i="3" s="1"/>
  <c r="N570" i="3"/>
  <c r="S77" i="24"/>
  <c r="AC77" i="24" s="1"/>
  <c r="AD77" i="24" s="1"/>
  <c r="AE77" i="24" s="1"/>
  <c r="T77" i="24"/>
  <c r="J529" i="3"/>
  <c r="J808" i="3" s="1"/>
  <c r="J736" i="3"/>
  <c r="I399" i="3"/>
  <c r="I495" i="3"/>
  <c r="L187" i="3"/>
  <c r="O167" i="3"/>
  <c r="T74" i="24"/>
  <c r="S74" i="24"/>
  <c r="AC74" i="24" s="1"/>
  <c r="AD74" i="24" s="1"/>
  <c r="AE74" i="24" s="1"/>
  <c r="I415" i="3"/>
  <c r="I873" i="3"/>
  <c r="I424" i="3"/>
  <c r="M686" i="3"/>
  <c r="AD183" i="3"/>
  <c r="M284" i="3"/>
  <c r="I369" i="3"/>
  <c r="M444" i="3"/>
  <c r="G446" i="3"/>
  <c r="F454" i="22"/>
  <c r="F449" i="22"/>
  <c r="D79" i="24"/>
  <c r="Q78" i="24"/>
  <c r="R78" i="24"/>
  <c r="U78" i="24" s="1"/>
  <c r="X78" i="24" s="1"/>
  <c r="I891" i="3"/>
  <c r="K694" i="3"/>
  <c r="K918" i="3"/>
  <c r="K351" i="3"/>
  <c r="M424" i="3"/>
  <c r="G426" i="3"/>
  <c r="J592" i="3"/>
  <c r="J594" i="3" s="1"/>
  <c r="J596" i="3" s="1"/>
  <c r="N590" i="3"/>
  <c r="J562" i="3"/>
  <c r="J564" i="3" s="1"/>
  <c r="J566" i="3" s="1"/>
  <c r="N560" i="3"/>
  <c r="I594" i="3"/>
  <c r="G566" i="3"/>
  <c r="M564" i="3"/>
  <c r="S72" i="24"/>
  <c r="AC72" i="24" s="1"/>
  <c r="AD72" i="24" s="1"/>
  <c r="AE72" i="24" s="1"/>
  <c r="T72" i="24"/>
  <c r="I444" i="3"/>
  <c r="G296" i="3"/>
  <c r="M294" i="3"/>
  <c r="M8" i="18"/>
  <c r="G30" i="18"/>
  <c r="N684" i="3"/>
  <c r="M684" i="3"/>
  <c r="M687" i="3"/>
  <c r="T73" i="24"/>
  <c r="S73" i="24"/>
  <c r="AC73" i="24" s="1"/>
  <c r="AD73" i="24" s="1"/>
  <c r="AE73" i="24" s="1"/>
  <c r="I556" i="3"/>
  <c r="M574" i="3"/>
  <c r="G576" i="3"/>
  <c r="M169" i="3"/>
  <c r="I505" i="3"/>
  <c r="N505" i="3" s="1"/>
  <c r="G611" i="3"/>
  <c r="M188" i="3"/>
  <c r="G13" i="18"/>
  <c r="G14" i="18" s="1"/>
  <c r="G649" i="3"/>
  <c r="G669" i="3"/>
  <c r="G659" i="3"/>
  <c r="G629" i="3"/>
  <c r="G639" i="3"/>
  <c r="X188" i="3"/>
  <c r="G620" i="3"/>
  <c r="G254" i="3"/>
  <c r="G255" i="3" s="1"/>
  <c r="G245" i="3"/>
  <c r="G246" i="3" s="1"/>
  <c r="L925" i="3"/>
  <c r="L763" i="3"/>
  <c r="O216" i="3"/>
  <c r="I549" i="3"/>
  <c r="I687" i="3"/>
  <c r="K245" i="3"/>
  <c r="K246" i="3" s="1"/>
  <c r="K248" i="3" s="1"/>
  <c r="K250" i="3" s="1"/>
  <c r="G456" i="3"/>
  <c r="M454" i="3"/>
  <c r="T75" i="24"/>
  <c r="S75" i="24"/>
  <c r="AC75" i="24" s="1"/>
  <c r="AD75" i="24" s="1"/>
  <c r="AE75" i="24" s="1"/>
  <c r="J716" i="3"/>
  <c r="J509" i="3"/>
  <c r="J788" i="3" s="1"/>
  <c r="J478" i="3"/>
  <c r="N473" i="3"/>
  <c r="I359" i="3"/>
  <c r="T71" i="24"/>
  <c r="S71" i="24"/>
  <c r="AC71" i="24" s="1"/>
  <c r="AD71" i="24" s="1"/>
  <c r="AE71" i="24" s="1"/>
  <c r="I464" i="3"/>
  <c r="I409" i="3"/>
  <c r="O906" i="3"/>
  <c r="N600" i="3"/>
  <c r="E444" i="22"/>
  <c r="E404" i="22"/>
  <c r="M324" i="3"/>
  <c r="G326" i="3"/>
  <c r="M487" i="3"/>
  <c r="G920" i="3"/>
  <c r="G489" i="3"/>
  <c r="G696" i="3"/>
  <c r="M495" i="3"/>
  <c r="G497" i="3"/>
  <c r="I686" i="3"/>
  <c r="I480" i="3"/>
  <c r="F468" i="22"/>
  <c r="M891" i="3"/>
  <c r="G893" i="3"/>
  <c r="E508" i="22"/>
  <c r="E330" i="22"/>
  <c r="M99" i="24"/>
  <c r="M97" i="24" s="1"/>
  <c r="E398" i="22"/>
  <c r="G606" i="3"/>
  <c r="M604" i="3"/>
  <c r="I604" i="3"/>
  <c r="N604" i="3" s="1"/>
  <c r="I160" i="3"/>
  <c r="I266" i="3"/>
  <c r="I8" i="18"/>
  <c r="G504" i="22"/>
  <c r="I294" i="3"/>
  <c r="G320" i="22"/>
  <c r="D53" i="40" s="1"/>
  <c r="I304" i="3"/>
  <c r="Z183" i="3"/>
  <c r="Y200" i="3" s="1"/>
  <c r="I324" i="3"/>
  <c r="I314" i="3"/>
  <c r="I284" i="3"/>
  <c r="G396" i="22"/>
  <c r="Q398" i="22" s="1"/>
  <c r="I275" i="3"/>
  <c r="O691" i="3"/>
  <c r="AA206" i="3" l="1"/>
  <c r="Z202" i="3"/>
  <c r="AC205" i="3"/>
  <c r="Y206" i="3"/>
  <c r="I99" i="24"/>
  <c r="G398" i="22" s="1"/>
  <c r="Q401" i="22" s="1"/>
  <c r="K715" i="3"/>
  <c r="K411" i="3"/>
  <c r="K757" i="3" s="1"/>
  <c r="K450" i="3"/>
  <c r="K797" i="3" s="1"/>
  <c r="K705" i="3"/>
  <c r="K415" i="3"/>
  <c r="K418" i="3" s="1"/>
  <c r="K695" i="3" s="1"/>
  <c r="K735" i="3"/>
  <c r="K470" i="3"/>
  <c r="K817" i="3" s="1"/>
  <c r="K31" i="18"/>
  <c r="K41" i="18" s="1"/>
  <c r="H933" i="3"/>
  <c r="N188" i="3"/>
  <c r="E401" i="22"/>
  <c r="K401" i="22" s="1"/>
  <c r="J629" i="3"/>
  <c r="J631" i="3" s="1"/>
  <c r="J633" i="3" s="1"/>
  <c r="J635" i="3" s="1"/>
  <c r="J708" i="3" s="1"/>
  <c r="I189" i="3"/>
  <c r="I285" i="3" s="1"/>
  <c r="I286" i="3" s="1"/>
  <c r="J254" i="3"/>
  <c r="J255" i="3" s="1"/>
  <c r="J257" i="3" s="1"/>
  <c r="J259" i="3" s="1"/>
  <c r="J741" i="3" s="1"/>
  <c r="J659" i="3"/>
  <c r="J661" i="3" s="1"/>
  <c r="J663" i="3" s="1"/>
  <c r="J665" i="3" s="1"/>
  <c r="J667" i="3" s="1"/>
  <c r="J810" i="3" s="1"/>
  <c r="J611" i="3"/>
  <c r="J616" i="3" s="1"/>
  <c r="J618" i="3" s="1"/>
  <c r="J760" i="3" s="1"/>
  <c r="N572" i="3"/>
  <c r="J649" i="3"/>
  <c r="J651" i="3" s="1"/>
  <c r="J653" i="3" s="1"/>
  <c r="J655" i="3" s="1"/>
  <c r="J657" i="3" s="1"/>
  <c r="J800" i="3" s="1"/>
  <c r="J169" i="3"/>
  <c r="N169" i="3" s="1"/>
  <c r="N168" i="3"/>
  <c r="N444" i="3"/>
  <c r="J669" i="3"/>
  <c r="J671" i="3" s="1"/>
  <c r="J673" i="3" s="1"/>
  <c r="J675" i="3" s="1"/>
  <c r="J677" i="3" s="1"/>
  <c r="J820" i="3" s="1"/>
  <c r="J13" i="18"/>
  <c r="AA188" i="3"/>
  <c r="J245" i="3"/>
  <c r="J246" i="3" s="1"/>
  <c r="J248" i="3" s="1"/>
  <c r="J250" i="3" s="1"/>
  <c r="J252" i="3" s="1"/>
  <c r="J803" i="3" s="1"/>
  <c r="N484" i="3"/>
  <c r="N562" i="3"/>
  <c r="N442" i="3"/>
  <c r="J620" i="3"/>
  <c r="J897" i="3" s="1"/>
  <c r="J899" i="3" s="1"/>
  <c r="J901" i="3" s="1"/>
  <c r="J903" i="3" s="1"/>
  <c r="N564" i="3"/>
  <c r="F173" i="21"/>
  <c r="AB173" i="21" s="1"/>
  <c r="AB189" i="3"/>
  <c r="AA193" i="3" s="1"/>
  <c r="N889" i="3"/>
  <c r="N495" i="3"/>
  <c r="E513" i="22"/>
  <c r="K513" i="22" s="1"/>
  <c r="N513" i="3"/>
  <c r="N592" i="3"/>
  <c r="M286" i="3"/>
  <c r="G288" i="3"/>
  <c r="K731" i="3"/>
  <c r="K252" i="3"/>
  <c r="K803" i="3" s="1"/>
  <c r="M246" i="3"/>
  <c r="G248" i="3"/>
  <c r="M649" i="3"/>
  <c r="G651" i="3"/>
  <c r="I921" i="3"/>
  <c r="I697" i="3"/>
  <c r="I558" i="3"/>
  <c r="M14" i="18"/>
  <c r="G18" i="18"/>
  <c r="I596" i="3"/>
  <c r="N596" i="3" s="1"/>
  <c r="J737" i="3"/>
  <c r="J598" i="3"/>
  <c r="J809" i="3" s="1"/>
  <c r="I893" i="3"/>
  <c r="N893" i="3" s="1"/>
  <c r="I875" i="3"/>
  <c r="V74" i="24"/>
  <c r="W74" i="24"/>
  <c r="Y74" i="24" s="1"/>
  <c r="W77" i="24"/>
  <c r="Y77" i="24" s="1"/>
  <c r="V77" i="24"/>
  <c r="J718" i="3"/>
  <c r="J647" i="3"/>
  <c r="J790" i="3" s="1"/>
  <c r="I527" i="3"/>
  <c r="O936" i="3"/>
  <c r="J873" i="3"/>
  <c r="J875" i="3" s="1"/>
  <c r="J877" i="3" s="1"/>
  <c r="J879" i="3" s="1"/>
  <c r="J415" i="3"/>
  <c r="J418" i="3" s="1"/>
  <c r="J454" i="3"/>
  <c r="N452" i="3"/>
  <c r="AA190" i="3"/>
  <c r="AE185" i="3"/>
  <c r="AE190" i="3" s="1"/>
  <c r="V68" i="24"/>
  <c r="W68" i="24"/>
  <c r="Y68" i="24" s="1"/>
  <c r="M411" i="3"/>
  <c r="G757" i="3"/>
  <c r="G280" i="3"/>
  <c r="M277" i="3"/>
  <c r="O910" i="3"/>
  <c r="G330" i="22"/>
  <c r="D55" i="40" s="1"/>
  <c r="J696" i="3"/>
  <c r="J489" i="3"/>
  <c r="J920" i="3"/>
  <c r="J556" i="3"/>
  <c r="N556" i="3" s="1"/>
  <c r="N553" i="3"/>
  <c r="I576" i="3"/>
  <c r="N576" i="3" s="1"/>
  <c r="V67" i="24"/>
  <c r="W67" i="24"/>
  <c r="Y67" i="24" s="1"/>
  <c r="M7" i="19"/>
  <c r="G9" i="19"/>
  <c r="J499" i="3"/>
  <c r="J778" i="3" s="1"/>
  <c r="J706" i="3"/>
  <c r="M921" i="3"/>
  <c r="G877" i="3"/>
  <c r="M875" i="3"/>
  <c r="I566" i="3"/>
  <c r="N566" i="3" s="1"/>
  <c r="N756" i="3"/>
  <c r="M756" i="3"/>
  <c r="I41" i="18"/>
  <c r="I586" i="3"/>
  <c r="N586" i="3" s="1"/>
  <c r="K713" i="3"/>
  <c r="K302" i="3"/>
  <c r="K785" i="3" s="1"/>
  <c r="I538" i="22"/>
  <c r="K7" i="19"/>
  <c r="K9" i="19" s="1"/>
  <c r="V70" i="24"/>
  <c r="W70" i="24"/>
  <c r="Y70" i="24" s="1"/>
  <c r="K748" i="3"/>
  <c r="K677" i="3"/>
  <c r="K820" i="3" s="1"/>
  <c r="K622" i="3"/>
  <c r="K625" i="3" s="1"/>
  <c r="K897" i="3"/>
  <c r="K899" i="3" s="1"/>
  <c r="K901" i="3" s="1"/>
  <c r="K903" i="3" s="1"/>
  <c r="N399" i="3"/>
  <c r="G401" i="3"/>
  <c r="M399" i="3"/>
  <c r="G744" i="3"/>
  <c r="I316" i="3"/>
  <c r="I306" i="3"/>
  <c r="I30" i="18"/>
  <c r="I606" i="3"/>
  <c r="N606" i="3" s="1"/>
  <c r="M606" i="3"/>
  <c r="G747" i="3"/>
  <c r="G608" i="3"/>
  <c r="E406" i="22"/>
  <c r="E414" i="22" s="1"/>
  <c r="E422" i="22" s="1"/>
  <c r="E446" i="22"/>
  <c r="E454" i="22" s="1"/>
  <c r="E462" i="22" s="1"/>
  <c r="E470" i="22" s="1"/>
  <c r="G895" i="3"/>
  <c r="M893" i="3"/>
  <c r="V71" i="24"/>
  <c r="W71" i="24"/>
  <c r="Y71" i="24" s="1"/>
  <c r="I704" i="3"/>
  <c r="I361" i="3"/>
  <c r="O763" i="3"/>
  <c r="M255" i="3"/>
  <c r="G257" i="3"/>
  <c r="M629" i="3"/>
  <c r="G631" i="3"/>
  <c r="M13" i="18"/>
  <c r="I507" i="3"/>
  <c r="N574" i="3"/>
  <c r="G32" i="18"/>
  <c r="G27" i="18" s="1"/>
  <c r="G40" i="18"/>
  <c r="M30" i="18"/>
  <c r="M32" i="18" s="1"/>
  <c r="M296" i="3"/>
  <c r="G298" i="3"/>
  <c r="I446" i="3"/>
  <c r="N446" i="3" s="1"/>
  <c r="F462" i="22"/>
  <c r="F457" i="22"/>
  <c r="I714" i="3"/>
  <c r="I371" i="3"/>
  <c r="I401" i="3"/>
  <c r="I744" i="3"/>
  <c r="J727" i="3"/>
  <c r="J588" i="3"/>
  <c r="J799" i="3" s="1"/>
  <c r="G695" i="3"/>
  <c r="G919" i="3"/>
  <c r="M418" i="3"/>
  <c r="G420" i="3"/>
  <c r="J434" i="3"/>
  <c r="J436" i="3" s="1"/>
  <c r="J438" i="3" s="1"/>
  <c r="N432" i="3"/>
  <c r="E407" i="22"/>
  <c r="E415" i="22" s="1"/>
  <c r="E423" i="22" s="1"/>
  <c r="E447" i="22"/>
  <c r="E455" i="22" s="1"/>
  <c r="E463" i="22" s="1"/>
  <c r="E471" i="22" s="1"/>
  <c r="I724" i="3"/>
  <c r="I381" i="3"/>
  <c r="G529" i="3"/>
  <c r="M527" i="3"/>
  <c r="G736" i="3"/>
  <c r="M694" i="3"/>
  <c r="N694" i="3"/>
  <c r="I456" i="3"/>
  <c r="M436" i="3"/>
  <c r="G438" i="3"/>
  <c r="G539" i="3"/>
  <c r="G746" i="3"/>
  <c r="M537" i="3"/>
  <c r="I489" i="3"/>
  <c r="I696" i="3"/>
  <c r="I920" i="3"/>
  <c r="M586" i="3"/>
  <c r="G588" i="3"/>
  <c r="G727" i="3"/>
  <c r="N869" i="3"/>
  <c r="M869" i="3"/>
  <c r="G871" i="3"/>
  <c r="I517" i="3"/>
  <c r="I871" i="3"/>
  <c r="G726" i="3"/>
  <c r="M517" i="3"/>
  <c r="G519" i="3"/>
  <c r="M697" i="3"/>
  <c r="I537" i="3"/>
  <c r="N537" i="3" s="1"/>
  <c r="I766" i="3"/>
  <c r="I928" i="3"/>
  <c r="V76" i="24"/>
  <c r="W76" i="24"/>
  <c r="Y76" i="24" s="1"/>
  <c r="I330" i="22"/>
  <c r="F55" i="40" s="1"/>
  <c r="I508" i="22"/>
  <c r="I398" i="22"/>
  <c r="S401" i="22" s="1"/>
  <c r="S400" i="22" s="1"/>
  <c r="S404" i="22" s="1"/>
  <c r="AC184" i="3"/>
  <c r="AF184" i="3" s="1"/>
  <c r="J325" i="22"/>
  <c r="G54" i="40" s="1"/>
  <c r="J506" i="22"/>
  <c r="L9" i="18"/>
  <c r="O9" i="18" s="1"/>
  <c r="J397" i="22"/>
  <c r="T399" i="22" s="1"/>
  <c r="U399" i="22" s="1"/>
  <c r="L373" i="3"/>
  <c r="L353" i="3"/>
  <c r="L363" i="3"/>
  <c r="L383" i="3"/>
  <c r="L344" i="3"/>
  <c r="L335" i="3"/>
  <c r="L393" i="3"/>
  <c r="O184" i="3"/>
  <c r="G737" i="3"/>
  <c r="G598" i="3"/>
  <c r="M596" i="3"/>
  <c r="O753" i="3"/>
  <c r="K332" i="3"/>
  <c r="K815" i="3" s="1"/>
  <c r="K743" i="3"/>
  <c r="I404" i="22"/>
  <c r="I444" i="22"/>
  <c r="K723" i="3"/>
  <c r="K312" i="3"/>
  <c r="K795" i="3" s="1"/>
  <c r="K718" i="3"/>
  <c r="K647" i="3"/>
  <c r="K790" i="3" s="1"/>
  <c r="K728" i="3"/>
  <c r="K657" i="3"/>
  <c r="K800" i="3" s="1"/>
  <c r="I277" i="3"/>
  <c r="I857" i="3"/>
  <c r="I326" i="3"/>
  <c r="I271" i="3"/>
  <c r="G444" i="22"/>
  <c r="G404" i="22"/>
  <c r="I296" i="3"/>
  <c r="N891" i="3"/>
  <c r="G930" i="3"/>
  <c r="M489" i="3"/>
  <c r="G768" i="3"/>
  <c r="M326" i="3"/>
  <c r="G328" i="3"/>
  <c r="E452" i="22"/>
  <c r="I685" i="3"/>
  <c r="I411" i="3"/>
  <c r="I466" i="3"/>
  <c r="W75" i="24"/>
  <c r="Y75" i="24" s="1"/>
  <c r="V75" i="24"/>
  <c r="M456" i="3"/>
  <c r="G458" i="3"/>
  <c r="AD188" i="3"/>
  <c r="M669" i="3"/>
  <c r="G671" i="3"/>
  <c r="W72" i="24"/>
  <c r="Y72" i="24" s="1"/>
  <c r="V72" i="24"/>
  <c r="G707" i="3"/>
  <c r="G568" i="3"/>
  <c r="M566" i="3"/>
  <c r="R79" i="24"/>
  <c r="U79" i="24" s="1"/>
  <c r="X79" i="24" s="1"/>
  <c r="Q79" i="24"/>
  <c r="I497" i="3"/>
  <c r="N497" i="3" s="1"/>
  <c r="J717" i="3"/>
  <c r="J578" i="3"/>
  <c r="J789" i="3" s="1"/>
  <c r="N389" i="3"/>
  <c r="G734" i="3"/>
  <c r="M389" i="3"/>
  <c r="G391" i="3"/>
  <c r="J424" i="3"/>
  <c r="N422" i="3"/>
  <c r="J100" i="24"/>
  <c r="J99" i="24" s="1"/>
  <c r="J15" i="18"/>
  <c r="O15" i="18" s="1"/>
  <c r="J31" i="18"/>
  <c r="J41" i="18" s="1"/>
  <c r="N525" i="3"/>
  <c r="F422" i="22"/>
  <c r="F425" i="22" s="1"/>
  <c r="F64" i="21" s="1"/>
  <c r="F417" i="22"/>
  <c r="M918" i="3"/>
  <c r="N918" i="3"/>
  <c r="M306" i="3"/>
  <c r="G308" i="3"/>
  <c r="M758" i="3"/>
  <c r="G510" i="22"/>
  <c r="G335" i="22"/>
  <c r="D56" i="40" s="1"/>
  <c r="G399" i="22"/>
  <c r="J883" i="3"/>
  <c r="N881" i="3"/>
  <c r="N582" i="3"/>
  <c r="I734" i="3"/>
  <c r="I391" i="3"/>
  <c r="L170" i="3"/>
  <c r="O170" i="3" s="1"/>
  <c r="L185" i="3"/>
  <c r="O165" i="3"/>
  <c r="G509" i="3"/>
  <c r="M507" i="3"/>
  <c r="G716" i="3"/>
  <c r="O793" i="3"/>
  <c r="H320" i="22"/>
  <c r="E53" i="40" s="1"/>
  <c r="H504" i="22"/>
  <c r="J160" i="3"/>
  <c r="J8" i="18"/>
  <c r="N8" i="18" s="1"/>
  <c r="J304" i="3"/>
  <c r="J275" i="3"/>
  <c r="N275" i="3" s="1"/>
  <c r="J314" i="3"/>
  <c r="J294" i="3"/>
  <c r="J296" i="3" s="1"/>
  <c r="J298" i="3" s="1"/>
  <c r="J300" i="3" s="1"/>
  <c r="J284" i="3"/>
  <c r="N284" i="3" s="1"/>
  <c r="AA183" i="3"/>
  <c r="Z200" i="3" s="1"/>
  <c r="Z206" i="3" s="1"/>
  <c r="J266" i="3"/>
  <c r="J189" i="3"/>
  <c r="J324" i="3"/>
  <c r="H396" i="22"/>
  <c r="R398" i="22" s="1"/>
  <c r="N183" i="3"/>
  <c r="N584" i="3"/>
  <c r="I885" i="3"/>
  <c r="I887" i="3" s="1"/>
  <c r="Z188" i="3"/>
  <c r="Z189" i="3" s="1"/>
  <c r="I669" i="3"/>
  <c r="I649" i="3"/>
  <c r="I639" i="3"/>
  <c r="N639" i="3" s="1"/>
  <c r="I659" i="3"/>
  <c r="I611" i="3"/>
  <c r="I629" i="3"/>
  <c r="I620" i="3"/>
  <c r="I13" i="18"/>
  <c r="I254" i="3"/>
  <c r="I255" i="3" s="1"/>
  <c r="I245" i="3"/>
  <c r="K539" i="22"/>
  <c r="E79" i="21"/>
  <c r="M466" i="3"/>
  <c r="G468" i="3"/>
  <c r="N515" i="3"/>
  <c r="O773" i="3"/>
  <c r="G931" i="3"/>
  <c r="M558" i="3"/>
  <c r="G769" i="3"/>
  <c r="J340" i="22"/>
  <c r="G57" i="40" s="1"/>
  <c r="L11" i="18"/>
  <c r="O11" i="18" s="1"/>
  <c r="AC186" i="3"/>
  <c r="L491" i="3"/>
  <c r="J512" i="22"/>
  <c r="L531" i="3"/>
  <c r="L473" i="3"/>
  <c r="L482" i="3"/>
  <c r="J400" i="22"/>
  <c r="T402" i="22" s="1"/>
  <c r="U402" i="22" s="1"/>
  <c r="L501" i="3"/>
  <c r="L521" i="3"/>
  <c r="L511" i="3"/>
  <c r="O186" i="3"/>
  <c r="C172" i="24"/>
  <c r="D184" i="24" s="1"/>
  <c r="N359" i="3"/>
  <c r="G361" i="3"/>
  <c r="G704" i="3"/>
  <c r="M359" i="3"/>
  <c r="AE66" i="24"/>
  <c r="N594" i="3"/>
  <c r="K14" i="18"/>
  <c r="V15" i="18" s="1"/>
  <c r="K30" i="18"/>
  <c r="K273" i="3"/>
  <c r="K755" i="3" s="1"/>
  <c r="K683" i="3"/>
  <c r="M369" i="3"/>
  <c r="G714" i="3"/>
  <c r="G371" i="3"/>
  <c r="N369" i="3"/>
  <c r="K637" i="3"/>
  <c r="K780" i="3" s="1"/>
  <c r="K708" i="3"/>
  <c r="K688" i="3"/>
  <c r="K618" i="3"/>
  <c r="K760" i="3" s="1"/>
  <c r="M920" i="3"/>
  <c r="M639" i="3"/>
  <c r="G641" i="3"/>
  <c r="M611" i="3"/>
  <c r="G616" i="3"/>
  <c r="G578" i="3"/>
  <c r="M576" i="3"/>
  <c r="G717" i="3"/>
  <c r="I758" i="3"/>
  <c r="M497" i="3"/>
  <c r="G706" i="3"/>
  <c r="G499" i="3"/>
  <c r="M696" i="3"/>
  <c r="N487" i="3"/>
  <c r="E412" i="22"/>
  <c r="J686" i="3"/>
  <c r="N686" i="3" s="1"/>
  <c r="J480" i="3"/>
  <c r="N478" i="3"/>
  <c r="I759" i="3"/>
  <c r="L940" i="3"/>
  <c r="O925" i="3"/>
  <c r="M620" i="3"/>
  <c r="G897" i="3"/>
  <c r="G622" i="3"/>
  <c r="M659" i="3"/>
  <c r="G661" i="3"/>
  <c r="V73" i="24"/>
  <c r="W73" i="24"/>
  <c r="Y73" i="24" s="1"/>
  <c r="J707" i="3"/>
  <c r="J568" i="3"/>
  <c r="J779" i="3" s="1"/>
  <c r="M426" i="3"/>
  <c r="G428" i="3"/>
  <c r="K766" i="3"/>
  <c r="K928" i="3"/>
  <c r="T78" i="24"/>
  <c r="S78" i="24"/>
  <c r="AC78" i="24" s="1"/>
  <c r="AD78" i="24" s="1"/>
  <c r="AE78" i="24" s="1"/>
  <c r="G448" i="3"/>
  <c r="M446" i="3"/>
  <c r="X189" i="3"/>
  <c r="I426" i="3"/>
  <c r="I418" i="3"/>
  <c r="L12" i="18"/>
  <c r="O12" i="18" s="1"/>
  <c r="L551" i="3"/>
  <c r="L580" i="3"/>
  <c r="L542" i="3"/>
  <c r="L600" i="3"/>
  <c r="L570" i="3"/>
  <c r="L590" i="3"/>
  <c r="AC187" i="3"/>
  <c r="AF187" i="3" s="1"/>
  <c r="L560" i="3"/>
  <c r="O187" i="3"/>
  <c r="J725" i="3"/>
  <c r="J450" i="3"/>
  <c r="J797" i="3" s="1"/>
  <c r="J464" i="3"/>
  <c r="N462" i="3"/>
  <c r="J409" i="3"/>
  <c r="N404" i="3"/>
  <c r="M41" i="18"/>
  <c r="M685" i="3"/>
  <c r="M351" i="3"/>
  <c r="G928" i="3"/>
  <c r="N351" i="3"/>
  <c r="G766" i="3"/>
  <c r="M857" i="3"/>
  <c r="G859" i="3"/>
  <c r="L163" i="3"/>
  <c r="L151" i="3"/>
  <c r="O146" i="3"/>
  <c r="J726" i="3"/>
  <c r="J519" i="3"/>
  <c r="J798" i="3" s="1"/>
  <c r="N535" i="3"/>
  <c r="J687" i="3"/>
  <c r="N687" i="3" s="1"/>
  <c r="J549" i="3"/>
  <c r="W69" i="24"/>
  <c r="Y69" i="24" s="1"/>
  <c r="V69" i="24"/>
  <c r="I436" i="3"/>
  <c r="M379" i="3"/>
  <c r="N379" i="3"/>
  <c r="G381" i="3"/>
  <c r="G724" i="3"/>
  <c r="M885" i="3"/>
  <c r="G887" i="3"/>
  <c r="V66" i="24"/>
  <c r="W66" i="24"/>
  <c r="Y66" i="24" s="1"/>
  <c r="M759" i="3"/>
  <c r="G318" i="3"/>
  <c r="M316" i="3"/>
  <c r="M271" i="3"/>
  <c r="G273" i="3"/>
  <c r="G683" i="3"/>
  <c r="I335" i="22"/>
  <c r="F56" i="40" s="1"/>
  <c r="I399" i="22"/>
  <c r="I510" i="22"/>
  <c r="F139" i="21"/>
  <c r="F137" i="21" s="1"/>
  <c r="F10" i="21"/>
  <c r="K285" i="3"/>
  <c r="K286" i="3" s="1"/>
  <c r="K288" i="3" s="1"/>
  <c r="K290" i="3" s="1"/>
  <c r="K322" i="3"/>
  <c r="K805" i="3" s="1"/>
  <c r="K733" i="3"/>
  <c r="K857" i="3"/>
  <c r="K859" i="3" s="1"/>
  <c r="K861" i="3" s="1"/>
  <c r="K277" i="3"/>
  <c r="K280" i="3" s="1"/>
  <c r="K741" i="3"/>
  <c r="K261" i="3"/>
  <c r="K813" i="3" s="1"/>
  <c r="K667" i="3"/>
  <c r="K810" i="3" s="1"/>
  <c r="K738" i="3"/>
  <c r="N413" i="3"/>
  <c r="N493" i="3"/>
  <c r="AF186" i="3" l="1"/>
  <c r="AB204" i="3"/>
  <c r="AC204" i="3" s="1"/>
  <c r="K919" i="3"/>
  <c r="I539" i="22"/>
  <c r="K81" i="40" s="1"/>
  <c r="F81" i="40"/>
  <c r="J688" i="3"/>
  <c r="Q400" i="22"/>
  <c r="G508" i="22"/>
  <c r="G513" i="22" s="1"/>
  <c r="Q184" i="24"/>
  <c r="R184" i="24"/>
  <c r="U184" i="24" s="1"/>
  <c r="X184" i="24" s="1"/>
  <c r="K420" i="3"/>
  <c r="K929" i="3" s="1"/>
  <c r="K18" i="18"/>
  <c r="K20" i="18" s="1"/>
  <c r="I523" i="22" s="1"/>
  <c r="I525" i="22" s="1"/>
  <c r="J637" i="3"/>
  <c r="J780" i="3" s="1"/>
  <c r="AA189" i="3"/>
  <c r="Z193" i="3" s="1"/>
  <c r="N620" i="3"/>
  <c r="G538" i="22"/>
  <c r="N920" i="3"/>
  <c r="E73" i="21"/>
  <c r="G73" i="21" s="1"/>
  <c r="N611" i="3"/>
  <c r="I7" i="19"/>
  <c r="I9" i="19" s="1"/>
  <c r="J738" i="3"/>
  <c r="N659" i="3"/>
  <c r="J261" i="3"/>
  <c r="J813" i="3" s="1"/>
  <c r="J731" i="3"/>
  <c r="N649" i="3"/>
  <c r="J728" i="3"/>
  <c r="J622" i="3"/>
  <c r="J625" i="3" s="1"/>
  <c r="J698" i="3" s="1"/>
  <c r="N13" i="18"/>
  <c r="K732" i="3"/>
  <c r="K739" i="3" s="1"/>
  <c r="K840" i="3" s="1"/>
  <c r="AB191" i="3"/>
  <c r="N669" i="3"/>
  <c r="J748" i="3"/>
  <c r="N696" i="3"/>
  <c r="I401" i="22"/>
  <c r="I513" i="22"/>
  <c r="K75" i="40" s="1"/>
  <c r="K814" i="3"/>
  <c r="K821" i="3" s="1"/>
  <c r="K844" i="3" s="1"/>
  <c r="I215" i="22" s="1"/>
  <c r="AF173" i="21"/>
  <c r="N873" i="3"/>
  <c r="N875" i="3"/>
  <c r="E409" i="22"/>
  <c r="K409" i="22" s="1"/>
  <c r="K754" i="3"/>
  <c r="K761" i="3" s="1"/>
  <c r="K826" i="3" s="1"/>
  <c r="I175" i="22" s="1"/>
  <c r="N41" i="18"/>
  <c r="K794" i="3"/>
  <c r="K801" i="3" s="1"/>
  <c r="K838" i="3" s="1"/>
  <c r="I213" i="22" s="1"/>
  <c r="K742" i="3"/>
  <c r="K749" i="3" s="1"/>
  <c r="K843" i="3" s="1"/>
  <c r="K292" i="3"/>
  <c r="K775" i="3" s="1"/>
  <c r="K774" i="3" s="1"/>
  <c r="K781" i="3" s="1"/>
  <c r="K832" i="3" s="1"/>
  <c r="I204" i="22" s="1"/>
  <c r="K703" i="3"/>
  <c r="K702" i="3" s="1"/>
  <c r="K709" i="3" s="1"/>
  <c r="K831" i="3" s="1"/>
  <c r="G861" i="3"/>
  <c r="M859" i="3"/>
  <c r="L572" i="3"/>
  <c r="O570" i="3"/>
  <c r="L553" i="3"/>
  <c r="L889" i="3"/>
  <c r="O551" i="3"/>
  <c r="O940" i="3"/>
  <c r="M706" i="3"/>
  <c r="M578" i="3"/>
  <c r="G789" i="3"/>
  <c r="N371" i="3"/>
  <c r="M371" i="3"/>
  <c r="G786" i="3"/>
  <c r="K682" i="3"/>
  <c r="K689" i="3" s="1"/>
  <c r="K825" i="3" s="1"/>
  <c r="J408" i="22"/>
  <c r="J416" i="22" s="1"/>
  <c r="J424" i="22" s="1"/>
  <c r="J448" i="22"/>
  <c r="J456" i="22" s="1"/>
  <c r="J464" i="22" s="1"/>
  <c r="J472" i="22" s="1"/>
  <c r="M931" i="3"/>
  <c r="I631" i="3"/>
  <c r="N631" i="3" s="1"/>
  <c r="J7" i="19"/>
  <c r="J9" i="19" s="1"/>
  <c r="H538" i="22"/>
  <c r="N189" i="3"/>
  <c r="J30" i="18"/>
  <c r="J14" i="18"/>
  <c r="U15" i="18" s="1"/>
  <c r="M328" i="3"/>
  <c r="G330" i="3"/>
  <c r="I412" i="22"/>
  <c r="M737" i="3"/>
  <c r="L340" i="3"/>
  <c r="O335" i="3"/>
  <c r="L355" i="3"/>
  <c r="O353" i="3"/>
  <c r="I726" i="3"/>
  <c r="N726" i="3" s="1"/>
  <c r="I519" i="3"/>
  <c r="N519" i="3" s="1"/>
  <c r="I768" i="3"/>
  <c r="I930" i="3"/>
  <c r="M919" i="3"/>
  <c r="M257" i="3"/>
  <c r="G259" i="3"/>
  <c r="M895" i="3"/>
  <c r="I308" i="3"/>
  <c r="N744" i="3"/>
  <c r="M744" i="3"/>
  <c r="I769" i="3"/>
  <c r="I931" i="3"/>
  <c r="K863" i="3"/>
  <c r="K911" i="3" s="1"/>
  <c r="K912" i="3" s="1"/>
  <c r="K907" i="3"/>
  <c r="K908" i="3" s="1"/>
  <c r="L168" i="3"/>
  <c r="L169" i="3" s="1"/>
  <c r="O169" i="3" s="1"/>
  <c r="O151" i="3"/>
  <c r="M641" i="3"/>
  <c r="G643" i="3"/>
  <c r="M714" i="3"/>
  <c r="N714" i="3"/>
  <c r="N361" i="3"/>
  <c r="M361" i="3"/>
  <c r="G776" i="3"/>
  <c r="L513" i="3"/>
  <c r="O511" i="3"/>
  <c r="L493" i="3"/>
  <c r="O491" i="3"/>
  <c r="I257" i="3"/>
  <c r="J285" i="3"/>
  <c r="J286" i="3" s="1"/>
  <c r="M509" i="3"/>
  <c r="G788" i="3"/>
  <c r="J885" i="3"/>
  <c r="N883" i="3"/>
  <c r="N489" i="3"/>
  <c r="G412" i="22"/>
  <c r="I273" i="3"/>
  <c r="I683" i="3"/>
  <c r="I859" i="3"/>
  <c r="L375" i="3"/>
  <c r="O373" i="3"/>
  <c r="M529" i="3"/>
  <c r="G808" i="3"/>
  <c r="G633" i="3"/>
  <c r="M631" i="3"/>
  <c r="I776" i="3"/>
  <c r="G406" i="22"/>
  <c r="G414" i="22" s="1"/>
  <c r="G422" i="22" s="1"/>
  <c r="G446" i="22"/>
  <c r="G454" i="22" s="1"/>
  <c r="G462" i="22" s="1"/>
  <c r="G470" i="22" s="1"/>
  <c r="J456" i="3"/>
  <c r="J458" i="3" s="1"/>
  <c r="N454" i="3"/>
  <c r="N434" i="3"/>
  <c r="I407" i="22"/>
  <c r="I415" i="22" s="1"/>
  <c r="I423" i="22" s="1"/>
  <c r="I447" i="22"/>
  <c r="I455" i="22" s="1"/>
  <c r="I463" i="22" s="1"/>
  <c r="I471" i="22" s="1"/>
  <c r="M273" i="3"/>
  <c r="G755" i="3"/>
  <c r="M318" i="3"/>
  <c r="G320" i="3"/>
  <c r="M887" i="3"/>
  <c r="N724" i="3"/>
  <c r="M724" i="3"/>
  <c r="L183" i="3"/>
  <c r="O163" i="3"/>
  <c r="L547" i="3"/>
  <c r="O542" i="3"/>
  <c r="W193" i="3"/>
  <c r="AD189" i="3"/>
  <c r="X191" i="3"/>
  <c r="M428" i="3"/>
  <c r="G705" i="3"/>
  <c r="G430" i="3"/>
  <c r="E417" i="22"/>
  <c r="K417" i="22" s="1"/>
  <c r="E420" i="22"/>
  <c r="E425" i="22" s="1"/>
  <c r="L523" i="3"/>
  <c r="O521" i="3"/>
  <c r="L478" i="3"/>
  <c r="O473" i="3"/>
  <c r="H444" i="22"/>
  <c r="H404" i="22"/>
  <c r="K804" i="3"/>
  <c r="K811" i="3" s="1"/>
  <c r="K841" i="3" s="1"/>
  <c r="I208" i="22" s="1"/>
  <c r="M381" i="3"/>
  <c r="N381" i="3"/>
  <c r="G796" i="3"/>
  <c r="I438" i="3"/>
  <c r="N438" i="3" s="1"/>
  <c r="M766" i="3"/>
  <c r="N766" i="3"/>
  <c r="J466" i="3"/>
  <c r="N464" i="3"/>
  <c r="L592" i="3"/>
  <c r="O590" i="3"/>
  <c r="L582" i="3"/>
  <c r="O580" i="3"/>
  <c r="I428" i="3"/>
  <c r="V78" i="24"/>
  <c r="W78" i="24"/>
  <c r="Y78" i="24" s="1"/>
  <c r="N294" i="3"/>
  <c r="M661" i="3"/>
  <c r="G663" i="3"/>
  <c r="M897" i="3"/>
  <c r="G899" i="3"/>
  <c r="M499" i="3"/>
  <c r="G778" i="3"/>
  <c r="G688" i="3"/>
  <c r="G682" i="3" s="1"/>
  <c r="G618" i="3"/>
  <c r="M616" i="3"/>
  <c r="Y193" i="3"/>
  <c r="K32" i="18"/>
  <c r="V17" i="18" s="1"/>
  <c r="K40" i="18"/>
  <c r="K42" i="18" s="1"/>
  <c r="V19" i="18" s="1"/>
  <c r="D180" i="24"/>
  <c r="D177" i="24"/>
  <c r="D185" i="24"/>
  <c r="D179" i="24"/>
  <c r="D190" i="24"/>
  <c r="D188" i="24"/>
  <c r="D186" i="24"/>
  <c r="D191" i="24"/>
  <c r="D181" i="24"/>
  <c r="D176" i="24"/>
  <c r="D183" i="24"/>
  <c r="D182" i="24"/>
  <c r="D187" i="24"/>
  <c r="D189" i="24"/>
  <c r="D178" i="24"/>
  <c r="C216" i="24"/>
  <c r="L503" i="3"/>
  <c r="O501" i="3"/>
  <c r="L533" i="3"/>
  <c r="O531" i="3"/>
  <c r="M468" i="3"/>
  <c r="G470" i="3"/>
  <c r="G745" i="3"/>
  <c r="I897" i="3"/>
  <c r="N897" i="3" s="1"/>
  <c r="I622" i="3"/>
  <c r="J326" i="3"/>
  <c r="N324" i="3"/>
  <c r="J306" i="3"/>
  <c r="N304" i="3"/>
  <c r="M716" i="3"/>
  <c r="AC185" i="3"/>
  <c r="L452" i="3"/>
  <c r="L190" i="3"/>
  <c r="O190" i="3" s="1"/>
  <c r="L462" i="3"/>
  <c r="L96" i="24"/>
  <c r="N96" i="24" s="1"/>
  <c r="L432" i="3"/>
  <c r="L413" i="3"/>
  <c r="L422" i="3"/>
  <c r="L404" i="3"/>
  <c r="L442" i="3"/>
  <c r="L10" i="18"/>
  <c r="O185" i="3"/>
  <c r="H510" i="22"/>
  <c r="H335" i="22"/>
  <c r="E56" i="40" s="1"/>
  <c r="H399" i="22"/>
  <c r="M671" i="3"/>
  <c r="G673" i="3"/>
  <c r="AE188" i="3"/>
  <c r="I757" i="3"/>
  <c r="E449" i="22"/>
  <c r="K449" i="22" s="1"/>
  <c r="M768" i="3"/>
  <c r="I298" i="3"/>
  <c r="N298" i="3" s="1"/>
  <c r="Z191" i="3"/>
  <c r="G452" i="22"/>
  <c r="I328" i="3"/>
  <c r="I280" i="3"/>
  <c r="I452" i="22"/>
  <c r="M598" i="3"/>
  <c r="G809" i="3"/>
  <c r="L395" i="3"/>
  <c r="O393" i="3"/>
  <c r="L365" i="3"/>
  <c r="O363" i="3"/>
  <c r="I746" i="3"/>
  <c r="N746" i="3" s="1"/>
  <c r="I539" i="3"/>
  <c r="N539" i="3" s="1"/>
  <c r="M519" i="3"/>
  <c r="G798" i="3"/>
  <c r="M871" i="3"/>
  <c r="N871" i="3"/>
  <c r="M588" i="3"/>
  <c r="G799" i="3"/>
  <c r="M539" i="3"/>
  <c r="G818" i="3"/>
  <c r="M438" i="3"/>
  <c r="G715" i="3"/>
  <c r="G440" i="3"/>
  <c r="M736" i="3"/>
  <c r="N629" i="3"/>
  <c r="M608" i="3"/>
  <c r="G819" i="3"/>
  <c r="I747" i="3"/>
  <c r="N747" i="3" s="1"/>
  <c r="I608" i="3"/>
  <c r="N608" i="3" s="1"/>
  <c r="I32" i="18"/>
  <c r="T17" i="18" s="1"/>
  <c r="I40" i="18"/>
  <c r="K712" i="3"/>
  <c r="K719" i="3" s="1"/>
  <c r="K834" i="3" s="1"/>
  <c r="I568" i="3"/>
  <c r="N568" i="3" s="1"/>
  <c r="I707" i="3"/>
  <c r="N707" i="3" s="1"/>
  <c r="M9" i="19"/>
  <c r="J921" i="3"/>
  <c r="N921" i="3" s="1"/>
  <c r="J558" i="3"/>
  <c r="N558" i="3" s="1"/>
  <c r="J697" i="3"/>
  <c r="N697" i="3" s="1"/>
  <c r="M757" i="3"/>
  <c r="I877" i="3"/>
  <c r="I737" i="3"/>
  <c r="N737" i="3" s="1"/>
  <c r="I598" i="3"/>
  <c r="M288" i="3"/>
  <c r="G290" i="3"/>
  <c r="AE183" i="3"/>
  <c r="K693" i="3"/>
  <c r="K917" i="3"/>
  <c r="K282" i="3"/>
  <c r="J759" i="3"/>
  <c r="N759" i="3" s="1"/>
  <c r="N549" i="3"/>
  <c r="M448" i="3"/>
  <c r="G725" i="3"/>
  <c r="G450" i="3"/>
  <c r="M704" i="3"/>
  <c r="N704" i="3"/>
  <c r="I246" i="3"/>
  <c r="I641" i="3"/>
  <c r="J713" i="3"/>
  <c r="J302" i="3"/>
  <c r="J785" i="3" s="1"/>
  <c r="G407" i="22"/>
  <c r="G415" i="22" s="1"/>
  <c r="G423" i="22" s="1"/>
  <c r="G447" i="22"/>
  <c r="G455" i="22" s="1"/>
  <c r="G463" i="22" s="1"/>
  <c r="G471" i="22" s="1"/>
  <c r="H330" i="22"/>
  <c r="E55" i="40" s="1"/>
  <c r="H508" i="22"/>
  <c r="H398" i="22"/>
  <c r="R401" i="22" s="1"/>
  <c r="R400" i="22" s="1"/>
  <c r="R404" i="22" s="1"/>
  <c r="N391" i="3"/>
  <c r="M391" i="3"/>
  <c r="G806" i="3"/>
  <c r="M568" i="3"/>
  <c r="G779" i="3"/>
  <c r="M458" i="3"/>
  <c r="G735" i="3"/>
  <c r="G460" i="3"/>
  <c r="G300" i="3"/>
  <c r="M298" i="3"/>
  <c r="M747" i="3"/>
  <c r="I727" i="3"/>
  <c r="N727" i="3" s="1"/>
  <c r="I588" i="3"/>
  <c r="N588" i="3" s="1"/>
  <c r="M877" i="3"/>
  <c r="G879" i="3"/>
  <c r="I529" i="3"/>
  <c r="N529" i="3" s="1"/>
  <c r="I736" i="3"/>
  <c r="M248" i="3"/>
  <c r="G250" i="3"/>
  <c r="AA10" i="21"/>
  <c r="M683" i="3"/>
  <c r="M928" i="3"/>
  <c r="N928" i="3"/>
  <c r="J685" i="3"/>
  <c r="N685" i="3" s="1"/>
  <c r="J411" i="3"/>
  <c r="N409" i="3"/>
  <c r="L562" i="3"/>
  <c r="O560" i="3"/>
  <c r="L602" i="3"/>
  <c r="O600" i="3"/>
  <c r="I695" i="3"/>
  <c r="I420" i="3"/>
  <c r="I919" i="3"/>
  <c r="K767" i="3"/>
  <c r="J758" i="3"/>
  <c r="N758" i="3" s="1"/>
  <c r="N480" i="3"/>
  <c r="L881" i="3"/>
  <c r="L484" i="3"/>
  <c r="O482" i="3"/>
  <c r="M769" i="3"/>
  <c r="I616" i="3"/>
  <c r="N616" i="3" s="1"/>
  <c r="I651" i="3"/>
  <c r="N651" i="3" s="1"/>
  <c r="J271" i="3"/>
  <c r="N271" i="3" s="1"/>
  <c r="N266" i="3"/>
  <c r="J316" i="3"/>
  <c r="N314" i="3"/>
  <c r="I806" i="3"/>
  <c r="N31" i="18"/>
  <c r="T79" i="24"/>
  <c r="S79" i="24"/>
  <c r="AC79" i="24" s="1"/>
  <c r="AD79" i="24" s="1"/>
  <c r="AE79" i="24" s="1"/>
  <c r="AE80" i="24" s="1"/>
  <c r="I84" i="24" s="1"/>
  <c r="L346" i="3"/>
  <c r="L865" i="3"/>
  <c r="O344" i="3"/>
  <c r="I406" i="22"/>
  <c r="I414" i="22" s="1"/>
  <c r="I422" i="22" s="1"/>
  <c r="I446" i="22"/>
  <c r="I454" i="22" s="1"/>
  <c r="I462" i="22" s="1"/>
  <c r="I470" i="22" s="1"/>
  <c r="M726" i="3"/>
  <c r="M746" i="3"/>
  <c r="I458" i="3"/>
  <c r="J715" i="3"/>
  <c r="J440" i="3"/>
  <c r="J787" i="3" s="1"/>
  <c r="M695" i="3"/>
  <c r="I816" i="3"/>
  <c r="G42" i="18"/>
  <c r="G37" i="18" s="1"/>
  <c r="M40" i="18"/>
  <c r="M42" i="18" s="1"/>
  <c r="I509" i="3"/>
  <c r="I716" i="3"/>
  <c r="K698" i="3"/>
  <c r="K627" i="3"/>
  <c r="K922" i="3"/>
  <c r="M18" i="18"/>
  <c r="G20" i="18"/>
  <c r="M651" i="3"/>
  <c r="G653" i="3"/>
  <c r="M622" i="3"/>
  <c r="G625" i="3"/>
  <c r="M717" i="3"/>
  <c r="G79" i="21"/>
  <c r="E171" i="21"/>
  <c r="I661" i="3"/>
  <c r="I671" i="3"/>
  <c r="N671" i="3" s="1"/>
  <c r="J857" i="3"/>
  <c r="J277" i="3"/>
  <c r="N507" i="3"/>
  <c r="M308" i="3"/>
  <c r="G310" i="3"/>
  <c r="J426" i="3"/>
  <c r="N424" i="3"/>
  <c r="M734" i="3"/>
  <c r="N734" i="3"/>
  <c r="I706" i="3"/>
  <c r="I499" i="3"/>
  <c r="N499" i="3" s="1"/>
  <c r="M707" i="3"/>
  <c r="I468" i="3"/>
  <c r="E460" i="22"/>
  <c r="E457" i="22"/>
  <c r="K457" i="22" s="1"/>
  <c r="M930" i="3"/>
  <c r="G401" i="22"/>
  <c r="K722" i="3"/>
  <c r="K729" i="3" s="1"/>
  <c r="K837" i="3" s="1"/>
  <c r="L385" i="3"/>
  <c r="O383" i="3"/>
  <c r="J445" i="22"/>
  <c r="J453" i="22" s="1"/>
  <c r="J461" i="22" s="1"/>
  <c r="J469" i="22" s="1"/>
  <c r="J405" i="22"/>
  <c r="J413" i="22" s="1"/>
  <c r="J421" i="22" s="1"/>
  <c r="N517" i="3"/>
  <c r="M727" i="3"/>
  <c r="N436" i="3"/>
  <c r="N527" i="3"/>
  <c r="I796" i="3"/>
  <c r="G929" i="3"/>
  <c r="M420" i="3"/>
  <c r="G767" i="3"/>
  <c r="N418" i="3"/>
  <c r="I786" i="3"/>
  <c r="F470" i="22"/>
  <c r="F473" i="22" s="1"/>
  <c r="F65" i="21" s="1"/>
  <c r="F177" i="21" s="1"/>
  <c r="F465" i="22"/>
  <c r="I448" i="3"/>
  <c r="N296" i="3"/>
  <c r="N255" i="3"/>
  <c r="I14" i="18"/>
  <c r="T15" i="18" s="1"/>
  <c r="I318" i="3"/>
  <c r="M401" i="3"/>
  <c r="N401" i="3"/>
  <c r="G816" i="3"/>
  <c r="K784" i="3"/>
  <c r="K791" i="3" s="1"/>
  <c r="K835" i="3" s="1"/>
  <c r="I206" i="22" s="1"/>
  <c r="I717" i="3"/>
  <c r="I578" i="3"/>
  <c r="N578" i="3" s="1"/>
  <c r="J768" i="3"/>
  <c r="J930" i="3"/>
  <c r="M280" i="3"/>
  <c r="G693" i="3"/>
  <c r="G917" i="3"/>
  <c r="G282" i="3"/>
  <c r="J695" i="3"/>
  <c r="J420" i="3"/>
  <c r="J919" i="3"/>
  <c r="I895" i="3"/>
  <c r="N895" i="3" s="1"/>
  <c r="I288" i="3"/>
  <c r="N415" i="3"/>
  <c r="AC190" i="3" l="1"/>
  <c r="AB203" i="3"/>
  <c r="F25" i="40"/>
  <c r="H539" i="22"/>
  <c r="J81" i="40" s="1"/>
  <c r="J174" i="40" s="1"/>
  <c r="AR174" i="40" s="1"/>
  <c r="E81" i="40"/>
  <c r="Q404" i="22"/>
  <c r="F27" i="40"/>
  <c r="I178" i="22"/>
  <c r="F24" i="40"/>
  <c r="G539" i="22"/>
  <c r="D81" i="40"/>
  <c r="I527" i="22"/>
  <c r="K77" i="40" s="1"/>
  <c r="K73" i="40" s="1"/>
  <c r="K148" i="40" s="1"/>
  <c r="F77" i="40"/>
  <c r="I75" i="40"/>
  <c r="T184" i="24"/>
  <c r="S184" i="24"/>
  <c r="AC184" i="24" s="1"/>
  <c r="AD184" i="24" s="1"/>
  <c r="AE184" i="24" s="1"/>
  <c r="K27" i="18"/>
  <c r="V16" i="18" s="1"/>
  <c r="J18" i="18"/>
  <c r="J20" i="18" s="1"/>
  <c r="H523" i="22" s="1"/>
  <c r="H525" i="22" s="1"/>
  <c r="AE189" i="3"/>
  <c r="AD193" i="3" s="1"/>
  <c r="AA191" i="3"/>
  <c r="J922" i="3"/>
  <c r="N622" i="3"/>
  <c r="J627" i="3"/>
  <c r="J932" i="3" s="1"/>
  <c r="H513" i="22"/>
  <c r="J75" i="40" s="1"/>
  <c r="I179" i="22"/>
  <c r="K37" i="18"/>
  <c r="V18" i="18" s="1"/>
  <c r="N458" i="3"/>
  <c r="I216" i="22"/>
  <c r="K25" i="40" s="1"/>
  <c r="N768" i="3"/>
  <c r="H401" i="22"/>
  <c r="N695" i="3"/>
  <c r="N930" i="3"/>
  <c r="N919" i="3"/>
  <c r="N9" i="19"/>
  <c r="N420" i="3"/>
  <c r="J712" i="3"/>
  <c r="J719" i="3" s="1"/>
  <c r="J834" i="3" s="1"/>
  <c r="I409" i="22"/>
  <c r="N7" i="19"/>
  <c r="AF177" i="21"/>
  <c r="AB177" i="21"/>
  <c r="M767" i="3"/>
  <c r="I663" i="3"/>
  <c r="N663" i="3" s="1"/>
  <c r="K770" i="3"/>
  <c r="K932" i="3"/>
  <c r="L604" i="3"/>
  <c r="O602" i="3"/>
  <c r="M460" i="3"/>
  <c r="G807" i="3"/>
  <c r="I809" i="3"/>
  <c r="N809" i="3" s="1"/>
  <c r="N598" i="3"/>
  <c r="G449" i="22"/>
  <c r="L100" i="24"/>
  <c r="J308" i="3"/>
  <c r="N306" i="3"/>
  <c r="K382" i="22"/>
  <c r="R191" i="24"/>
  <c r="U191" i="24" s="1"/>
  <c r="X191" i="24" s="1"/>
  <c r="Q191" i="24"/>
  <c r="R179" i="24"/>
  <c r="U179" i="24" s="1"/>
  <c r="X179" i="24" s="1"/>
  <c r="Q179" i="24"/>
  <c r="M899" i="3"/>
  <c r="G901" i="3"/>
  <c r="G907" i="3" s="1"/>
  <c r="N661" i="3"/>
  <c r="I715" i="3"/>
  <c r="N715" i="3" s="1"/>
  <c r="I440" i="3"/>
  <c r="N440" i="3" s="1"/>
  <c r="L525" i="3"/>
  <c r="O523" i="3"/>
  <c r="L684" i="3"/>
  <c r="O684" i="3" s="1"/>
  <c r="L342" i="3"/>
  <c r="O340" i="3"/>
  <c r="F63" i="21"/>
  <c r="F144" i="21" s="1"/>
  <c r="N786" i="3"/>
  <c r="M786" i="3"/>
  <c r="I209" i="22"/>
  <c r="K27" i="40" s="1"/>
  <c r="I220" i="22"/>
  <c r="J859" i="3"/>
  <c r="J861" i="3" s="1"/>
  <c r="N857" i="3"/>
  <c r="I91" i="24"/>
  <c r="I89" i="24"/>
  <c r="I87" i="24"/>
  <c r="I90" i="24"/>
  <c r="I86" i="24"/>
  <c r="I88" i="24"/>
  <c r="J757" i="3"/>
  <c r="N757" i="3" s="1"/>
  <c r="N411" i="3"/>
  <c r="I808" i="3"/>
  <c r="N808" i="3" s="1"/>
  <c r="M806" i="3"/>
  <c r="N806" i="3"/>
  <c r="M450" i="3"/>
  <c r="G797" i="3"/>
  <c r="K927" i="3"/>
  <c r="K765" i="3"/>
  <c r="I879" i="3"/>
  <c r="N879" i="3" s="1"/>
  <c r="I42" i="18"/>
  <c r="T19" i="18" s="1"/>
  <c r="M715" i="3"/>
  <c r="I818" i="3"/>
  <c r="N818" i="3" s="1"/>
  <c r="G675" i="3"/>
  <c r="M673" i="3"/>
  <c r="L424" i="3"/>
  <c r="O422" i="3"/>
  <c r="J288" i="3"/>
  <c r="J290" i="3" s="1"/>
  <c r="N286" i="3"/>
  <c r="M745" i="3"/>
  <c r="L535" i="3"/>
  <c r="O533" i="3"/>
  <c r="R178" i="24"/>
  <c r="U178" i="24" s="1"/>
  <c r="X178" i="24" s="1"/>
  <c r="Q178" i="24"/>
  <c r="R183" i="24"/>
  <c r="U183" i="24" s="1"/>
  <c r="X183" i="24" s="1"/>
  <c r="Q183" i="24"/>
  <c r="Q186" i="24"/>
  <c r="R186" i="24"/>
  <c r="U186" i="24" s="1"/>
  <c r="X186" i="24" s="1"/>
  <c r="R185" i="24"/>
  <c r="U185" i="24" s="1"/>
  <c r="X185" i="24" s="1"/>
  <c r="Q185" i="24"/>
  <c r="M688" i="3"/>
  <c r="L594" i="3"/>
  <c r="O592" i="3"/>
  <c r="L549" i="3"/>
  <c r="L687" i="3"/>
  <c r="O687" i="3" s="1"/>
  <c r="O547" i="3"/>
  <c r="J320" i="22"/>
  <c r="G53" i="40" s="1"/>
  <c r="L160" i="3"/>
  <c r="AC183" i="3"/>
  <c r="AB200" i="3" s="1"/>
  <c r="L314" i="3"/>
  <c r="L284" i="3"/>
  <c r="L275" i="3"/>
  <c r="L266" i="3"/>
  <c r="L324" i="3"/>
  <c r="J396" i="22"/>
  <c r="T398" i="22" s="1"/>
  <c r="U398" i="22" s="1"/>
  <c r="L294" i="3"/>
  <c r="L8" i="18"/>
  <c r="L304" i="3"/>
  <c r="J504" i="22"/>
  <c r="C36" i="24"/>
  <c r="O183" i="3"/>
  <c r="M755" i="3"/>
  <c r="L377" i="3"/>
  <c r="O375" i="3"/>
  <c r="I861" i="3"/>
  <c r="M776" i="3"/>
  <c r="N776" i="3"/>
  <c r="M643" i="3"/>
  <c r="G645" i="3"/>
  <c r="L556" i="3"/>
  <c r="O553" i="3"/>
  <c r="G863" i="3"/>
  <c r="M861" i="3"/>
  <c r="I290" i="3"/>
  <c r="M693" i="3"/>
  <c r="M816" i="3"/>
  <c r="N816" i="3"/>
  <c r="I450" i="3"/>
  <c r="I725" i="3"/>
  <c r="E468" i="22"/>
  <c r="E473" i="22" s="1"/>
  <c r="E465" i="22"/>
  <c r="K465" i="22" s="1"/>
  <c r="J428" i="3"/>
  <c r="N426" i="3"/>
  <c r="G723" i="3"/>
  <c r="M310" i="3"/>
  <c r="G312" i="3"/>
  <c r="I788" i="3"/>
  <c r="I618" i="3"/>
  <c r="N618" i="3" s="1"/>
  <c r="I688" i="3"/>
  <c r="N688" i="3" s="1"/>
  <c r="L564" i="3"/>
  <c r="O562" i="3"/>
  <c r="N877" i="3"/>
  <c r="M735" i="3"/>
  <c r="J784" i="3"/>
  <c r="J791" i="3" s="1"/>
  <c r="J835" i="3" s="1"/>
  <c r="H206" i="22" s="1"/>
  <c r="I248" i="3"/>
  <c r="N246" i="3"/>
  <c r="M725" i="3"/>
  <c r="K916" i="3"/>
  <c r="G703" i="3"/>
  <c r="M290" i="3"/>
  <c r="G292" i="3"/>
  <c r="J769" i="3"/>
  <c r="N769" i="3" s="1"/>
  <c r="J931" i="3"/>
  <c r="I27" i="18"/>
  <c r="T16" i="18" s="1"/>
  <c r="M819" i="3"/>
  <c r="M798" i="3"/>
  <c r="L397" i="3"/>
  <c r="O395" i="3"/>
  <c r="I449" i="22"/>
  <c r="I330" i="3"/>
  <c r="L31" i="18"/>
  <c r="O10" i="18"/>
  <c r="L415" i="3"/>
  <c r="L873" i="3"/>
  <c r="O413" i="3"/>
  <c r="N716" i="3"/>
  <c r="I625" i="3"/>
  <c r="N625" i="3" s="1"/>
  <c r="G817" i="3"/>
  <c r="M470" i="3"/>
  <c r="Q189" i="24"/>
  <c r="R189" i="24"/>
  <c r="U189" i="24" s="1"/>
  <c r="X189" i="24" s="1"/>
  <c r="Q176" i="24"/>
  <c r="R176" i="24"/>
  <c r="U176" i="24" s="1"/>
  <c r="X176" i="24" s="1"/>
  <c r="Q188" i="24"/>
  <c r="R188" i="24"/>
  <c r="U188" i="24" s="1"/>
  <c r="X188" i="24" s="1"/>
  <c r="R177" i="24"/>
  <c r="U177" i="24" s="1"/>
  <c r="X177" i="24" s="1"/>
  <c r="Q177" i="24"/>
  <c r="M796" i="3"/>
  <c r="N796" i="3"/>
  <c r="H412" i="22"/>
  <c r="L480" i="3"/>
  <c r="L686" i="3"/>
  <c r="O686" i="3" s="1"/>
  <c r="O478" i="3"/>
  <c r="AD80" i="24"/>
  <c r="H84" i="24" s="1"/>
  <c r="G777" i="3"/>
  <c r="M430" i="3"/>
  <c r="AC193" i="3"/>
  <c r="AD191" i="3"/>
  <c r="G322" i="3"/>
  <c r="G733" i="3"/>
  <c r="M320" i="3"/>
  <c r="J735" i="3"/>
  <c r="J460" i="3"/>
  <c r="J807" i="3" s="1"/>
  <c r="M808" i="3"/>
  <c r="G409" i="22"/>
  <c r="M788" i="3"/>
  <c r="L495" i="3"/>
  <c r="O493" i="3"/>
  <c r="I310" i="3"/>
  <c r="M259" i="3"/>
  <c r="G741" i="3"/>
  <c r="G261" i="3"/>
  <c r="I798" i="3"/>
  <c r="N798" i="3" s="1"/>
  <c r="L357" i="3"/>
  <c r="O355" i="3"/>
  <c r="M330" i="3"/>
  <c r="G332" i="3"/>
  <c r="G743" i="3"/>
  <c r="J40" i="18"/>
  <c r="J32" i="18"/>
  <c r="U17" i="18" s="1"/>
  <c r="N30" i="18"/>
  <c r="N32" i="18" s="1"/>
  <c r="I633" i="3"/>
  <c r="N633" i="3" s="1"/>
  <c r="N456" i="3"/>
  <c r="J280" i="3"/>
  <c r="N277" i="3"/>
  <c r="L349" i="3"/>
  <c r="O346" i="3"/>
  <c r="V79" i="24"/>
  <c r="V80" i="24" s="1"/>
  <c r="D84" i="24" s="1"/>
  <c r="W79" i="24"/>
  <c r="Y79" i="24" s="1"/>
  <c r="Y80" i="24" s="1"/>
  <c r="E84" i="24" s="1"/>
  <c r="L883" i="3"/>
  <c r="O881" i="3"/>
  <c r="I929" i="3"/>
  <c r="I767" i="3"/>
  <c r="AA137" i="21"/>
  <c r="G713" i="3"/>
  <c r="G302" i="3"/>
  <c r="M300" i="3"/>
  <c r="H446" i="22"/>
  <c r="H454" i="22" s="1"/>
  <c r="H462" i="22" s="1"/>
  <c r="H470" i="22" s="1"/>
  <c r="H406" i="22"/>
  <c r="H414" i="22" s="1"/>
  <c r="H422" i="22" s="1"/>
  <c r="I643" i="3"/>
  <c r="I645" i="3" s="1"/>
  <c r="I779" i="3"/>
  <c r="N779" i="3" s="1"/>
  <c r="I819" i="3"/>
  <c r="L367" i="3"/>
  <c r="O365" i="3"/>
  <c r="I693" i="3"/>
  <c r="I282" i="3"/>
  <c r="I917" i="3"/>
  <c r="L409" i="3"/>
  <c r="O404" i="3"/>
  <c r="AF190" i="3"/>
  <c r="AF185" i="3"/>
  <c r="R182" i="24"/>
  <c r="U182" i="24" s="1"/>
  <c r="X182" i="24" s="1"/>
  <c r="Q182" i="24"/>
  <c r="I705" i="3"/>
  <c r="I430" i="3"/>
  <c r="K425" i="22"/>
  <c r="E64" i="21"/>
  <c r="I755" i="3"/>
  <c r="L515" i="3"/>
  <c r="O513" i="3"/>
  <c r="M789" i="3"/>
  <c r="L891" i="3"/>
  <c r="O889" i="3"/>
  <c r="M917" i="3"/>
  <c r="I320" i="3"/>
  <c r="J318" i="3"/>
  <c r="J320" i="3" s="1"/>
  <c r="N316" i="3"/>
  <c r="I653" i="3"/>
  <c r="N653" i="3" s="1"/>
  <c r="M682" i="3"/>
  <c r="G689" i="3"/>
  <c r="I799" i="3"/>
  <c r="N799" i="3" s="1"/>
  <c r="M779" i="3"/>
  <c r="N736" i="3"/>
  <c r="G457" i="22"/>
  <c r="G460" i="22"/>
  <c r="L464" i="3"/>
  <c r="O462" i="3"/>
  <c r="J929" i="3"/>
  <c r="J767" i="3"/>
  <c r="M282" i="3"/>
  <c r="G765" i="3"/>
  <c r="G927" i="3"/>
  <c r="I789" i="3"/>
  <c r="I18" i="18"/>
  <c r="N14" i="18"/>
  <c r="M929" i="3"/>
  <c r="L387" i="3"/>
  <c r="O385" i="3"/>
  <c r="I745" i="3"/>
  <c r="I470" i="3"/>
  <c r="I778" i="3"/>
  <c r="I673" i="3"/>
  <c r="N673" i="3" s="1"/>
  <c r="AA171" i="21"/>
  <c r="AC171" i="21" s="1"/>
  <c r="AE171" i="21"/>
  <c r="G171" i="21"/>
  <c r="AG171" i="21" s="1"/>
  <c r="N717" i="3"/>
  <c r="M625" i="3"/>
  <c r="G922" i="3"/>
  <c r="G916" i="3" s="1"/>
  <c r="G698" i="3"/>
  <c r="G627" i="3"/>
  <c r="M653" i="3"/>
  <c r="G655" i="3"/>
  <c r="E523" i="22"/>
  <c r="E525" i="22" s="1"/>
  <c r="E527" i="22" s="1"/>
  <c r="M20" i="18"/>
  <c r="M19" i="18" s="1"/>
  <c r="I735" i="3"/>
  <c r="I460" i="3"/>
  <c r="L867" i="3"/>
  <c r="O865" i="3"/>
  <c r="J683" i="3"/>
  <c r="J273" i="3"/>
  <c r="J755" i="3" s="1"/>
  <c r="L487" i="3"/>
  <c r="O484" i="3"/>
  <c r="M250" i="3"/>
  <c r="G731" i="3"/>
  <c r="G252" i="3"/>
  <c r="M879" i="3"/>
  <c r="N448" i="3"/>
  <c r="K692" i="3"/>
  <c r="K699" i="3" s="1"/>
  <c r="K828" i="3" s="1"/>
  <c r="M440" i="3"/>
  <c r="G787" i="3"/>
  <c r="M818" i="3"/>
  <c r="M799" i="3"/>
  <c r="M809" i="3"/>
  <c r="I457" i="22"/>
  <c r="I460" i="22"/>
  <c r="I300" i="3"/>
  <c r="N300" i="3" s="1"/>
  <c r="H407" i="22"/>
  <c r="H415" i="22" s="1"/>
  <c r="H423" i="22" s="1"/>
  <c r="H447" i="22"/>
  <c r="H455" i="22" s="1"/>
  <c r="H463" i="22" s="1"/>
  <c r="H471" i="22" s="1"/>
  <c r="L444" i="3"/>
  <c r="O442" i="3"/>
  <c r="L434" i="3"/>
  <c r="O432" i="3"/>
  <c r="L454" i="3"/>
  <c r="O452" i="3"/>
  <c r="J328" i="3"/>
  <c r="N326" i="3"/>
  <c r="I899" i="3"/>
  <c r="N899" i="3" s="1"/>
  <c r="L505" i="3"/>
  <c r="O503" i="3"/>
  <c r="R187" i="24"/>
  <c r="U187" i="24" s="1"/>
  <c r="X187" i="24" s="1"/>
  <c r="Q187" i="24"/>
  <c r="R181" i="24"/>
  <c r="U181" i="24" s="1"/>
  <c r="X181" i="24" s="1"/>
  <c r="Q181" i="24"/>
  <c r="R190" i="24"/>
  <c r="U190" i="24" s="1"/>
  <c r="X190" i="24" s="1"/>
  <c r="Q190" i="24"/>
  <c r="Q180" i="24"/>
  <c r="R180" i="24"/>
  <c r="U180" i="24" s="1"/>
  <c r="X180" i="24" s="1"/>
  <c r="M618" i="3"/>
  <c r="G760" i="3"/>
  <c r="G754" i="3" s="1"/>
  <c r="M778" i="3"/>
  <c r="M663" i="3"/>
  <c r="G665" i="3"/>
  <c r="L584" i="3"/>
  <c r="O582" i="3"/>
  <c r="J468" i="3"/>
  <c r="N466" i="3"/>
  <c r="H452" i="22"/>
  <c r="M705" i="3"/>
  <c r="M633" i="3"/>
  <c r="G635" i="3"/>
  <c r="G417" i="22"/>
  <c r="G420" i="22"/>
  <c r="G425" i="22" s="1"/>
  <c r="J887" i="3"/>
  <c r="N885" i="3"/>
  <c r="N509" i="3"/>
  <c r="I259" i="3"/>
  <c r="N259" i="3" s="1"/>
  <c r="N641" i="3"/>
  <c r="L188" i="3"/>
  <c r="O168" i="3"/>
  <c r="N257" i="3"/>
  <c r="I417" i="22"/>
  <c r="I420" i="22"/>
  <c r="I425" i="22" s="1"/>
  <c r="K66" i="40" s="1"/>
  <c r="N706" i="3"/>
  <c r="L574" i="3"/>
  <c r="O572" i="3"/>
  <c r="AB202" i="3" l="1"/>
  <c r="AC202" i="3" s="1"/>
  <c r="AC203" i="3"/>
  <c r="AB206" i="3"/>
  <c r="AC200" i="3"/>
  <c r="AN174" i="40"/>
  <c r="I182" i="22"/>
  <c r="K24" i="40" s="1"/>
  <c r="I221" i="22"/>
  <c r="K26" i="40" s="1"/>
  <c r="F26" i="40"/>
  <c r="H527" i="22"/>
  <c r="J77" i="40" s="1"/>
  <c r="J73" i="40" s="1"/>
  <c r="J148" i="40" s="1"/>
  <c r="E77" i="40"/>
  <c r="I81" i="40"/>
  <c r="I174" i="40" s="1"/>
  <c r="AL174" i="40" s="1"/>
  <c r="W184" i="24"/>
  <c r="Y184" i="24" s="1"/>
  <c r="V184" i="24"/>
  <c r="L99" i="24"/>
  <c r="N99" i="24" s="1"/>
  <c r="N97" i="24" s="1"/>
  <c r="N100" i="24"/>
  <c r="N98" i="24" s="1"/>
  <c r="J27" i="18"/>
  <c r="U16" i="18" s="1"/>
  <c r="AE191" i="3"/>
  <c r="N290" i="3"/>
  <c r="J770" i="3"/>
  <c r="N859" i="3"/>
  <c r="N318" i="3"/>
  <c r="K764" i="3"/>
  <c r="K771" i="3" s="1"/>
  <c r="K829" i="3" s="1"/>
  <c r="N273" i="3"/>
  <c r="N755" i="3"/>
  <c r="N929" i="3"/>
  <c r="I682" i="3"/>
  <c r="I689" i="3" s="1"/>
  <c r="H449" i="22"/>
  <c r="N288" i="3"/>
  <c r="J754" i="3"/>
  <c r="J761" i="3" s="1"/>
  <c r="J826" i="3" s="1"/>
  <c r="H175" i="22" s="1"/>
  <c r="K926" i="3"/>
  <c r="K933" i="3" s="1"/>
  <c r="H457" i="22"/>
  <c r="H460" i="22"/>
  <c r="L456" i="3"/>
  <c r="O454" i="3"/>
  <c r="L446" i="3"/>
  <c r="O444" i="3"/>
  <c r="M698" i="3"/>
  <c r="G468" i="22"/>
  <c r="G473" i="22" s="1"/>
  <c r="G465" i="22"/>
  <c r="M916" i="3"/>
  <c r="G937" i="3"/>
  <c r="G923" i="3"/>
  <c r="G64" i="21"/>
  <c r="I647" i="3"/>
  <c r="I790" i="3" s="1"/>
  <c r="I718" i="3"/>
  <c r="M332" i="3"/>
  <c r="G815" i="3"/>
  <c r="M741" i="3"/>
  <c r="M754" i="3"/>
  <c r="G761" i="3"/>
  <c r="L306" i="3"/>
  <c r="O304" i="3"/>
  <c r="T178" i="24"/>
  <c r="S178" i="24"/>
  <c r="AC178" i="24" s="1"/>
  <c r="AD178" i="24" s="1"/>
  <c r="AE178" i="24" s="1"/>
  <c r="J907" i="3"/>
  <c r="J908" i="3" s="1"/>
  <c r="J863" i="3"/>
  <c r="J911" i="3" s="1"/>
  <c r="J912" i="3" s="1"/>
  <c r="T191" i="24"/>
  <c r="S191" i="24"/>
  <c r="AC191" i="24" s="1"/>
  <c r="AD191" i="24" s="1"/>
  <c r="AE191" i="24" s="1"/>
  <c r="M807" i="3"/>
  <c r="I665" i="3"/>
  <c r="N931" i="3"/>
  <c r="AC188" i="3"/>
  <c r="AF188" i="3" s="1"/>
  <c r="L649" i="3"/>
  <c r="L659" i="3"/>
  <c r="L629" i="3"/>
  <c r="L639" i="3"/>
  <c r="L669" i="3"/>
  <c r="L13" i="18"/>
  <c r="O13" i="18" s="1"/>
  <c r="L611" i="3"/>
  <c r="L620" i="3"/>
  <c r="O188" i="3"/>
  <c r="L245" i="3"/>
  <c r="L254" i="3"/>
  <c r="L255" i="3" s="1"/>
  <c r="J745" i="3"/>
  <c r="N745" i="3" s="1"/>
  <c r="J470" i="3"/>
  <c r="J817" i="3" s="1"/>
  <c r="M760" i="3"/>
  <c r="T180" i="24"/>
  <c r="S180" i="24"/>
  <c r="AC180" i="24" s="1"/>
  <c r="AD180" i="24" s="1"/>
  <c r="AE180" i="24" s="1"/>
  <c r="L507" i="3"/>
  <c r="O505" i="3"/>
  <c r="L869" i="3"/>
  <c r="O867" i="3"/>
  <c r="M922" i="3"/>
  <c r="M927" i="3"/>
  <c r="I655" i="3"/>
  <c r="N655" i="3" s="1"/>
  <c r="M733" i="3"/>
  <c r="H420" i="22"/>
  <c r="H425" i="22" s="1"/>
  <c r="J66" i="40" s="1"/>
  <c r="H417" i="22"/>
  <c r="M817" i="3"/>
  <c r="L41" i="18"/>
  <c r="O41" i="18" s="1"/>
  <c r="O31" i="18"/>
  <c r="I332" i="3"/>
  <c r="I743" i="3"/>
  <c r="N725" i="3"/>
  <c r="I250" i="3"/>
  <c r="N248" i="3"/>
  <c r="L566" i="3"/>
  <c r="O564" i="3"/>
  <c r="G795" i="3"/>
  <c r="M312" i="3"/>
  <c r="I797" i="3"/>
  <c r="N797" i="3" s="1"/>
  <c r="N861" i="3"/>
  <c r="N643" i="3"/>
  <c r="L379" i="3"/>
  <c r="O377" i="3"/>
  <c r="D42" i="24"/>
  <c r="D44" i="24"/>
  <c r="D41" i="24"/>
  <c r="C212" i="24"/>
  <c r="D43" i="24"/>
  <c r="D40" i="24"/>
  <c r="L30" i="18"/>
  <c r="O8" i="18"/>
  <c r="L189" i="3"/>
  <c r="L316" i="3"/>
  <c r="O314" i="3"/>
  <c r="T186" i="24"/>
  <c r="S186" i="24"/>
  <c r="AC186" i="24" s="1"/>
  <c r="AD186" i="24" s="1"/>
  <c r="AE186" i="24" s="1"/>
  <c r="L426" i="3"/>
  <c r="O424" i="3"/>
  <c r="I37" i="18"/>
  <c r="T18" i="18" s="1"/>
  <c r="I85" i="24"/>
  <c r="L756" i="3"/>
  <c r="O756" i="3" s="1"/>
  <c r="O342" i="3"/>
  <c r="J310" i="3"/>
  <c r="N308" i="3"/>
  <c r="L606" i="3"/>
  <c r="O604" i="3"/>
  <c r="M665" i="3"/>
  <c r="G667" i="3"/>
  <c r="G738" i="3"/>
  <c r="S190" i="24"/>
  <c r="AC190" i="24" s="1"/>
  <c r="AD190" i="24" s="1"/>
  <c r="AE190" i="24" s="1"/>
  <c r="T190" i="24"/>
  <c r="S187" i="24"/>
  <c r="AC187" i="24" s="1"/>
  <c r="AD187" i="24" s="1"/>
  <c r="AE187" i="24" s="1"/>
  <c r="T187" i="24"/>
  <c r="N468" i="3"/>
  <c r="J330" i="3"/>
  <c r="N330" i="3" s="1"/>
  <c r="N328" i="3"/>
  <c r="L436" i="3"/>
  <c r="O434" i="3"/>
  <c r="M731" i="3"/>
  <c r="I807" i="3"/>
  <c r="K527" i="22"/>
  <c r="E75" i="21"/>
  <c r="I675" i="3"/>
  <c r="N675" i="3" s="1"/>
  <c r="L389" i="3"/>
  <c r="O387" i="3"/>
  <c r="L466" i="3"/>
  <c r="O464" i="3"/>
  <c r="I322" i="3"/>
  <c r="I733" i="3"/>
  <c r="L893" i="3"/>
  <c r="O891" i="3"/>
  <c r="N789" i="3"/>
  <c r="I777" i="3"/>
  <c r="L685" i="3"/>
  <c r="O685" i="3" s="1"/>
  <c r="L411" i="3"/>
  <c r="O409" i="3"/>
  <c r="L885" i="3"/>
  <c r="L887" i="3" s="1"/>
  <c r="O887" i="3" s="1"/>
  <c r="O883" i="3"/>
  <c r="L694" i="3"/>
  <c r="O694" i="3" s="1"/>
  <c r="L351" i="3"/>
  <c r="L918" i="3"/>
  <c r="O918" i="3" s="1"/>
  <c r="O349" i="3"/>
  <c r="I635" i="3"/>
  <c r="N635" i="3" s="1"/>
  <c r="J42" i="18"/>
  <c r="N40" i="18"/>
  <c r="N42" i="18" s="1"/>
  <c r="M743" i="3"/>
  <c r="L497" i="3"/>
  <c r="O495" i="3"/>
  <c r="M322" i="3"/>
  <c r="G805" i="3"/>
  <c r="M777" i="3"/>
  <c r="H409" i="22"/>
  <c r="T188" i="24"/>
  <c r="S188" i="24"/>
  <c r="AC188" i="24" s="1"/>
  <c r="AD188" i="24" s="1"/>
  <c r="AE188" i="24" s="1"/>
  <c r="T189" i="24"/>
  <c r="S189" i="24"/>
  <c r="AC189" i="24" s="1"/>
  <c r="AD189" i="24" s="1"/>
  <c r="AE189" i="24" s="1"/>
  <c r="I698" i="3"/>
  <c r="I692" i="3" s="1"/>
  <c r="I922" i="3"/>
  <c r="I916" i="3" s="1"/>
  <c r="I627" i="3"/>
  <c r="N627" i="3" s="1"/>
  <c r="L875" i="3"/>
  <c r="O873" i="3"/>
  <c r="M703" i="3"/>
  <c r="I703" i="3"/>
  <c r="I292" i="3"/>
  <c r="M907" i="3"/>
  <c r="G908" i="3"/>
  <c r="L558" i="3"/>
  <c r="L697" i="3"/>
  <c r="O697" i="3" s="1"/>
  <c r="L921" i="3"/>
  <c r="O921" i="3" s="1"/>
  <c r="O556" i="3"/>
  <c r="N645" i="3"/>
  <c r="M645" i="3"/>
  <c r="G718" i="3"/>
  <c r="G712" i="3" s="1"/>
  <c r="G647" i="3"/>
  <c r="I863" i="3"/>
  <c r="L296" i="3"/>
  <c r="O294" i="3"/>
  <c r="L271" i="3"/>
  <c r="O266" i="3"/>
  <c r="AF183" i="3"/>
  <c r="L759" i="3"/>
  <c r="O759" i="3" s="1"/>
  <c r="O549" i="3"/>
  <c r="S185" i="24"/>
  <c r="AC185" i="24" s="1"/>
  <c r="AD185" i="24" s="1"/>
  <c r="AE185" i="24" s="1"/>
  <c r="T185" i="24"/>
  <c r="S183" i="24"/>
  <c r="AC183" i="24" s="1"/>
  <c r="AD183" i="24" s="1"/>
  <c r="AE183" i="24" s="1"/>
  <c r="T183" i="24"/>
  <c r="N450" i="3"/>
  <c r="S179" i="24"/>
  <c r="AC179" i="24" s="1"/>
  <c r="AD179" i="24" s="1"/>
  <c r="AE179" i="24" s="1"/>
  <c r="T179" i="24"/>
  <c r="K384" i="22"/>
  <c r="K388" i="22" s="1"/>
  <c r="K390" i="22" s="1"/>
  <c r="K391" i="22" s="1"/>
  <c r="K430" i="22"/>
  <c r="K432" i="22" s="1"/>
  <c r="K436" i="22" s="1"/>
  <c r="K438" i="22" s="1"/>
  <c r="K439" i="22" s="1"/>
  <c r="N767" i="3"/>
  <c r="M635" i="3"/>
  <c r="G637" i="3"/>
  <c r="G708" i="3"/>
  <c r="G702" i="3" s="1"/>
  <c r="T181" i="24"/>
  <c r="S181" i="24"/>
  <c r="AC181" i="24" s="1"/>
  <c r="AD181" i="24" s="1"/>
  <c r="AE181" i="24" s="1"/>
  <c r="M787" i="3"/>
  <c r="J733" i="3"/>
  <c r="J732" i="3" s="1"/>
  <c r="J739" i="3" s="1"/>
  <c r="J840" i="3" s="1"/>
  <c r="J322" i="3"/>
  <c r="J805" i="3" s="1"/>
  <c r="J804" i="3" s="1"/>
  <c r="J811" i="3" s="1"/>
  <c r="J841" i="3" s="1"/>
  <c r="H208" i="22" s="1"/>
  <c r="D90" i="24"/>
  <c r="D89" i="24"/>
  <c r="D88" i="24"/>
  <c r="D87" i="24"/>
  <c r="D91" i="24"/>
  <c r="D86" i="24"/>
  <c r="J693" i="3"/>
  <c r="J917" i="3"/>
  <c r="J282" i="3"/>
  <c r="N282" i="3" s="1"/>
  <c r="N280" i="3"/>
  <c r="L758" i="3"/>
  <c r="O758" i="3" s="1"/>
  <c r="O480" i="3"/>
  <c r="T176" i="24"/>
  <c r="S176" i="24"/>
  <c r="AC176" i="24" s="1"/>
  <c r="AD176" i="24" s="1"/>
  <c r="M292" i="3"/>
  <c r="G775" i="3"/>
  <c r="I760" i="3"/>
  <c r="I754" i="3" s="1"/>
  <c r="M863" i="3"/>
  <c r="L326" i="3"/>
  <c r="O324" i="3"/>
  <c r="O284" i="3"/>
  <c r="I787" i="3"/>
  <c r="N787" i="3" s="1"/>
  <c r="L576" i="3"/>
  <c r="O574" i="3"/>
  <c r="I468" i="22"/>
  <c r="I473" i="22" s="1"/>
  <c r="K67" i="40" s="1"/>
  <c r="K65" i="40" s="1"/>
  <c r="K147" i="40" s="1"/>
  <c r="I465" i="22"/>
  <c r="M252" i="3"/>
  <c r="G803" i="3"/>
  <c r="L489" i="3"/>
  <c r="L696" i="3"/>
  <c r="O696" i="3" s="1"/>
  <c r="L920" i="3"/>
  <c r="O920" i="3" s="1"/>
  <c r="O487" i="3"/>
  <c r="I817" i="3"/>
  <c r="T182" i="24"/>
  <c r="S182" i="24"/>
  <c r="AC182" i="24" s="1"/>
  <c r="AD182" i="24" s="1"/>
  <c r="AE182" i="24" s="1"/>
  <c r="M302" i="3"/>
  <c r="G785" i="3"/>
  <c r="H87" i="24"/>
  <c r="H89" i="24"/>
  <c r="H91" i="24"/>
  <c r="H88" i="24"/>
  <c r="H86" i="24"/>
  <c r="H90" i="24"/>
  <c r="L399" i="3"/>
  <c r="O397" i="3"/>
  <c r="I261" i="3"/>
  <c r="N261" i="3" s="1"/>
  <c r="I741" i="3"/>
  <c r="N887" i="3"/>
  <c r="I66" i="40"/>
  <c r="L586" i="3"/>
  <c r="O584" i="3"/>
  <c r="N778" i="3"/>
  <c r="I901" i="3"/>
  <c r="N901" i="3" s="1"/>
  <c r="I302" i="3"/>
  <c r="N302" i="3" s="1"/>
  <c r="I713" i="3"/>
  <c r="N713" i="3" s="1"/>
  <c r="J682" i="3"/>
  <c r="J689" i="3" s="1"/>
  <c r="J825" i="3" s="1"/>
  <c r="N683" i="3"/>
  <c r="G728" i="3"/>
  <c r="G722" i="3" s="1"/>
  <c r="M655" i="3"/>
  <c r="G657" i="3"/>
  <c r="M627" i="3"/>
  <c r="G770" i="3"/>
  <c r="G932" i="3"/>
  <c r="G926" i="3" s="1"/>
  <c r="I20" i="18"/>
  <c r="N18" i="18"/>
  <c r="M765" i="3"/>
  <c r="M689" i="3"/>
  <c r="G825" i="3"/>
  <c r="L517" i="3"/>
  <c r="O515" i="3"/>
  <c r="I927" i="3"/>
  <c r="I765" i="3"/>
  <c r="L369" i="3"/>
  <c r="O367" i="3"/>
  <c r="M713" i="3"/>
  <c r="E89" i="24"/>
  <c r="E90" i="24"/>
  <c r="E91" i="24"/>
  <c r="E87" i="24"/>
  <c r="E88" i="24"/>
  <c r="E86" i="24"/>
  <c r="L359" i="3"/>
  <c r="O357" i="3"/>
  <c r="M261" i="3"/>
  <c r="G813" i="3"/>
  <c r="I312" i="3"/>
  <c r="I723" i="3"/>
  <c r="N788" i="3"/>
  <c r="N320" i="3"/>
  <c r="T177" i="24"/>
  <c r="S177" i="24"/>
  <c r="AC177" i="24" s="1"/>
  <c r="AD177" i="24" s="1"/>
  <c r="AE177" i="24" s="1"/>
  <c r="L418" i="3"/>
  <c r="O415" i="3"/>
  <c r="N819" i="3"/>
  <c r="K937" i="3"/>
  <c r="K938" i="3" s="1"/>
  <c r="K923" i="3"/>
  <c r="N735" i="3"/>
  <c r="M723" i="3"/>
  <c r="J705" i="3"/>
  <c r="J430" i="3"/>
  <c r="E65" i="21"/>
  <c r="G65" i="21" s="1"/>
  <c r="K473" i="22"/>
  <c r="G692" i="3"/>
  <c r="J444" i="22"/>
  <c r="J404" i="22"/>
  <c r="L277" i="3"/>
  <c r="L857" i="3"/>
  <c r="O275" i="3"/>
  <c r="L596" i="3"/>
  <c r="O594" i="3"/>
  <c r="L537" i="3"/>
  <c r="O535" i="3"/>
  <c r="J703" i="3"/>
  <c r="J292" i="3"/>
  <c r="J775" i="3" s="1"/>
  <c r="M675" i="3"/>
  <c r="G748" i="3"/>
  <c r="G677" i="3"/>
  <c r="M797" i="3"/>
  <c r="L527" i="3"/>
  <c r="O525" i="3"/>
  <c r="M901" i="3"/>
  <c r="G903" i="3"/>
  <c r="J335" i="22"/>
  <c r="G56" i="40" s="1"/>
  <c r="J510" i="22"/>
  <c r="J399" i="22"/>
  <c r="C140" i="24"/>
  <c r="D151" i="24" s="1"/>
  <c r="N460" i="3"/>
  <c r="N428" i="3"/>
  <c r="AQ174" i="40" l="1"/>
  <c r="S105" i="22"/>
  <c r="S110" i="22" s="1"/>
  <c r="W10" i="40" s="1"/>
  <c r="W140" i="40" s="1"/>
  <c r="J508" i="22"/>
  <c r="J513" i="22" s="1"/>
  <c r="L513" i="22" s="1"/>
  <c r="K21" i="40"/>
  <c r="K142" i="40" s="1"/>
  <c r="K140" i="40" s="1"/>
  <c r="H179" i="22"/>
  <c r="E24" i="40"/>
  <c r="J37" i="18"/>
  <c r="U18" i="18" s="1"/>
  <c r="U19" i="18"/>
  <c r="J398" i="22"/>
  <c r="R151" i="24"/>
  <c r="Q151" i="24"/>
  <c r="T151" i="24" s="1"/>
  <c r="C105" i="24"/>
  <c r="D119" i="24" s="1"/>
  <c r="J330" i="22"/>
  <c r="G55" i="40" s="1"/>
  <c r="N863" i="3"/>
  <c r="H178" i="22"/>
  <c r="K941" i="3"/>
  <c r="K942" i="3" s="1"/>
  <c r="N689" i="3"/>
  <c r="N760" i="3"/>
  <c r="L14" i="18"/>
  <c r="W15" i="18" s="1"/>
  <c r="X15" i="18" s="1"/>
  <c r="N470" i="3"/>
  <c r="N922" i="3"/>
  <c r="AC189" i="3"/>
  <c r="AB193" i="3" s="1"/>
  <c r="N292" i="3"/>
  <c r="E63" i="21"/>
  <c r="E144" i="21" s="1"/>
  <c r="G144" i="21" s="1"/>
  <c r="AC144" i="21" s="1"/>
  <c r="I699" i="3"/>
  <c r="I937" i="3"/>
  <c r="I923" i="3"/>
  <c r="L539" i="3"/>
  <c r="L746" i="3"/>
  <c r="O746" i="3" s="1"/>
  <c r="O537" i="3"/>
  <c r="J452" i="22"/>
  <c r="M770" i="3"/>
  <c r="N705" i="3"/>
  <c r="M775" i="3"/>
  <c r="J916" i="3"/>
  <c r="N916" i="3" s="1"/>
  <c r="N917" i="3"/>
  <c r="I761" i="3"/>
  <c r="N761" i="3" s="1"/>
  <c r="L877" i="3"/>
  <c r="O875" i="3"/>
  <c r="W188" i="24"/>
  <c r="Y188" i="24" s="1"/>
  <c r="V188" i="24"/>
  <c r="M805" i="3"/>
  <c r="I637" i="3"/>
  <c r="I708" i="3"/>
  <c r="I702" i="3" s="1"/>
  <c r="G810" i="3"/>
  <c r="M667" i="3"/>
  <c r="V186" i="24"/>
  <c r="W186" i="24"/>
  <c r="Y186" i="24" s="1"/>
  <c r="W180" i="24"/>
  <c r="Y180" i="24" s="1"/>
  <c r="V180" i="24"/>
  <c r="I738" i="3"/>
  <c r="I732" i="3" s="1"/>
  <c r="I667" i="3"/>
  <c r="N667" i="3" s="1"/>
  <c r="M937" i="3"/>
  <c r="G938" i="3"/>
  <c r="D147" i="24"/>
  <c r="D145" i="24"/>
  <c r="D148" i="24"/>
  <c r="D150" i="24"/>
  <c r="D153" i="24"/>
  <c r="D146" i="24"/>
  <c r="D144" i="24"/>
  <c r="D152" i="24"/>
  <c r="C215" i="24"/>
  <c r="D149" i="24"/>
  <c r="M903" i="3"/>
  <c r="L280" i="3"/>
  <c r="O277" i="3"/>
  <c r="I903" i="3"/>
  <c r="M803" i="3"/>
  <c r="I825" i="3"/>
  <c r="N825" i="3" s="1"/>
  <c r="V181" i="24"/>
  <c r="W181" i="24"/>
  <c r="Y181" i="24" s="1"/>
  <c r="M708" i="3"/>
  <c r="V185" i="24"/>
  <c r="W185" i="24"/>
  <c r="Y185" i="24" s="1"/>
  <c r="I770" i="3"/>
  <c r="N770" i="3" s="1"/>
  <c r="I932" i="3"/>
  <c r="N932" i="3" s="1"/>
  <c r="L757" i="3"/>
  <c r="O757" i="3" s="1"/>
  <c r="O411" i="3"/>
  <c r="I805" i="3"/>
  <c r="N805" i="3" s="1"/>
  <c r="L468" i="3"/>
  <c r="O466" i="3"/>
  <c r="J743" i="3"/>
  <c r="J332" i="3"/>
  <c r="V190" i="24"/>
  <c r="W190" i="24"/>
  <c r="Y190" i="24" s="1"/>
  <c r="N665" i="3"/>
  <c r="L318" i="3"/>
  <c r="O316" i="3"/>
  <c r="L32" i="18"/>
  <c r="W17" i="18" s="1"/>
  <c r="X17" i="18" s="1"/>
  <c r="L40" i="18"/>
  <c r="O30" i="18"/>
  <c r="Q41" i="24"/>
  <c r="R41" i="24"/>
  <c r="U41" i="24" s="1"/>
  <c r="X41" i="24" s="1"/>
  <c r="I731" i="3"/>
  <c r="I252" i="3"/>
  <c r="N250" i="3"/>
  <c r="M926" i="3"/>
  <c r="G941" i="3"/>
  <c r="G933" i="3"/>
  <c r="L671" i="3"/>
  <c r="O669" i="3"/>
  <c r="L651" i="3"/>
  <c r="O649" i="3"/>
  <c r="M761" i="3"/>
  <c r="G826" i="3"/>
  <c r="M815" i="3"/>
  <c r="G63" i="21"/>
  <c r="L448" i="3"/>
  <c r="O446" i="3"/>
  <c r="J407" i="22"/>
  <c r="J415" i="22" s="1"/>
  <c r="J423" i="22" s="1"/>
  <c r="J447" i="22"/>
  <c r="J455" i="22" s="1"/>
  <c r="J463" i="22" s="1"/>
  <c r="J471" i="22" s="1"/>
  <c r="L736" i="3"/>
  <c r="O736" i="3" s="1"/>
  <c r="L529" i="3"/>
  <c r="O527" i="3"/>
  <c r="M677" i="3"/>
  <c r="G820" i="3"/>
  <c r="G814" i="3" s="1"/>
  <c r="J702" i="3"/>
  <c r="J709" i="3" s="1"/>
  <c r="J831" i="3" s="1"/>
  <c r="L737" i="3"/>
  <c r="O737" i="3" s="1"/>
  <c r="L598" i="3"/>
  <c r="O596" i="3"/>
  <c r="J412" i="22"/>
  <c r="M722" i="3"/>
  <c r="G729" i="3"/>
  <c r="L695" i="3"/>
  <c r="O695" i="3" s="1"/>
  <c r="L420" i="3"/>
  <c r="L919" i="3"/>
  <c r="O919" i="3" s="1"/>
  <c r="O418" i="3"/>
  <c r="I795" i="3"/>
  <c r="E85" i="24"/>
  <c r="L726" i="3"/>
  <c r="O726" i="3" s="1"/>
  <c r="L519" i="3"/>
  <c r="O517" i="3"/>
  <c r="M825" i="3"/>
  <c r="G764" i="3"/>
  <c r="M728" i="3"/>
  <c r="I712" i="3"/>
  <c r="N712" i="3" s="1"/>
  <c r="L744" i="3"/>
  <c r="O744" i="3" s="1"/>
  <c r="L401" i="3"/>
  <c r="O399" i="3"/>
  <c r="M785" i="3"/>
  <c r="N682" i="3"/>
  <c r="L328" i="3"/>
  <c r="O326" i="3"/>
  <c r="V176" i="24"/>
  <c r="W176" i="24"/>
  <c r="Y176" i="24" s="1"/>
  <c r="D85" i="24"/>
  <c r="D92" i="24" s="1"/>
  <c r="D213" i="24" s="1"/>
  <c r="M637" i="3"/>
  <c r="G780" i="3"/>
  <c r="W179" i="24"/>
  <c r="Y179" i="24" s="1"/>
  <c r="V179" i="24"/>
  <c r="L298" i="3"/>
  <c r="O296" i="3"/>
  <c r="N647" i="3"/>
  <c r="G790" i="3"/>
  <c r="M647" i="3"/>
  <c r="V189" i="24"/>
  <c r="W189" i="24"/>
  <c r="Y189" i="24" s="1"/>
  <c r="N322" i="3"/>
  <c r="L706" i="3"/>
  <c r="O706" i="3" s="1"/>
  <c r="L499" i="3"/>
  <c r="O497" i="3"/>
  <c r="L766" i="3"/>
  <c r="O766" i="3" s="1"/>
  <c r="L928" i="3"/>
  <c r="O928" i="3" s="1"/>
  <c r="O351" i="3"/>
  <c r="L391" i="3"/>
  <c r="L734" i="3"/>
  <c r="O734" i="3" s="1"/>
  <c r="O389" i="3"/>
  <c r="G75" i="21"/>
  <c r="G71" i="21" s="1"/>
  <c r="E71" i="21"/>
  <c r="E145" i="21" s="1"/>
  <c r="G145" i="21" s="1"/>
  <c r="AC145" i="21" s="1"/>
  <c r="L608" i="3"/>
  <c r="L747" i="3"/>
  <c r="O747" i="3" s="1"/>
  <c r="O606" i="3"/>
  <c r="I92" i="24"/>
  <c r="L428" i="3"/>
  <c r="O426" i="3"/>
  <c r="L7" i="19"/>
  <c r="J538" i="22"/>
  <c r="O189" i="3"/>
  <c r="L285" i="3"/>
  <c r="L286" i="3" s="1"/>
  <c r="R40" i="24"/>
  <c r="U40" i="24" s="1"/>
  <c r="X40" i="24" s="1"/>
  <c r="Q40" i="24"/>
  <c r="R44" i="24"/>
  <c r="U44" i="24" s="1"/>
  <c r="X44" i="24" s="1"/>
  <c r="Q44" i="24"/>
  <c r="M795" i="3"/>
  <c r="L707" i="3"/>
  <c r="O707" i="3" s="1"/>
  <c r="L568" i="3"/>
  <c r="O566" i="3"/>
  <c r="I657" i="3"/>
  <c r="N657" i="3" s="1"/>
  <c r="I728" i="3"/>
  <c r="N728" i="3" s="1"/>
  <c r="L716" i="3"/>
  <c r="O716" i="3" s="1"/>
  <c r="L509" i="3"/>
  <c r="O507" i="3"/>
  <c r="L897" i="3"/>
  <c r="L622" i="3"/>
  <c r="O620" i="3"/>
  <c r="L641" i="3"/>
  <c r="O639" i="3"/>
  <c r="N807" i="3"/>
  <c r="V191" i="24"/>
  <c r="W191" i="24"/>
  <c r="Y191" i="24" s="1"/>
  <c r="W178" i="24"/>
  <c r="Y178" i="24" s="1"/>
  <c r="V178" i="24"/>
  <c r="N741" i="3"/>
  <c r="E177" i="21"/>
  <c r="I67" i="40"/>
  <c r="H465" i="22"/>
  <c r="H468" i="22"/>
  <c r="H473" i="22" s="1"/>
  <c r="J67" i="40" s="1"/>
  <c r="J180" i="40" s="1"/>
  <c r="L859" i="3"/>
  <c r="O857" i="3"/>
  <c r="L704" i="3"/>
  <c r="O704" i="3" s="1"/>
  <c r="L361" i="3"/>
  <c r="O359" i="3"/>
  <c r="L714" i="3"/>
  <c r="O714" i="3" s="1"/>
  <c r="L371" i="3"/>
  <c r="O369" i="3"/>
  <c r="I813" i="3"/>
  <c r="N813" i="3" s="1"/>
  <c r="V182" i="24"/>
  <c r="W182" i="24"/>
  <c r="Y182" i="24" s="1"/>
  <c r="L930" i="3"/>
  <c r="O930" i="3" s="1"/>
  <c r="L768" i="3"/>
  <c r="O768" i="3" s="1"/>
  <c r="O489" i="3"/>
  <c r="L273" i="3"/>
  <c r="L683" i="3"/>
  <c r="O271" i="3"/>
  <c r="M908" i="3"/>
  <c r="M702" i="3"/>
  <c r="G709" i="3"/>
  <c r="I677" i="3"/>
  <c r="N677" i="3" s="1"/>
  <c r="I748" i="3"/>
  <c r="I742" i="3" s="1"/>
  <c r="J312" i="3"/>
  <c r="J723" i="3"/>
  <c r="J722" i="3" s="1"/>
  <c r="J729" i="3" s="1"/>
  <c r="J837" i="3" s="1"/>
  <c r="N310" i="3"/>
  <c r="C382" i="22"/>
  <c r="N733" i="3"/>
  <c r="L871" i="3"/>
  <c r="O871" i="3" s="1"/>
  <c r="O869" i="3"/>
  <c r="L246" i="3"/>
  <c r="O245" i="3"/>
  <c r="L661" i="3"/>
  <c r="O659" i="3"/>
  <c r="L308" i="3"/>
  <c r="O306" i="3"/>
  <c r="M692" i="3"/>
  <c r="G699" i="3"/>
  <c r="V177" i="24"/>
  <c r="W177" i="24"/>
  <c r="Y177" i="24" s="1"/>
  <c r="M813" i="3"/>
  <c r="M712" i="3"/>
  <c r="G719" i="3"/>
  <c r="G523" i="22"/>
  <c r="G525" i="22" s="1"/>
  <c r="N20" i="18"/>
  <c r="N19" i="18" s="1"/>
  <c r="L588" i="3"/>
  <c r="L727" i="3"/>
  <c r="O727" i="3" s="1"/>
  <c r="L578" i="3"/>
  <c r="L717" i="3"/>
  <c r="O717" i="3" s="1"/>
  <c r="O576" i="3"/>
  <c r="AD192" i="24"/>
  <c r="H196" i="24" s="1"/>
  <c r="AE176" i="24"/>
  <c r="AE192" i="24" s="1"/>
  <c r="I196" i="24" s="1"/>
  <c r="J692" i="3"/>
  <c r="J699" i="3" s="1"/>
  <c r="J828" i="3" s="1"/>
  <c r="N693" i="3"/>
  <c r="I907" i="3"/>
  <c r="N703" i="3"/>
  <c r="M748" i="3"/>
  <c r="J777" i="3"/>
  <c r="N777" i="3" s="1"/>
  <c r="N430" i="3"/>
  <c r="M932" i="3"/>
  <c r="M657" i="3"/>
  <c r="G800" i="3"/>
  <c r="G794" i="3" s="1"/>
  <c r="I785" i="3"/>
  <c r="N785" i="3" s="1"/>
  <c r="H85" i="24"/>
  <c r="H92" i="24" s="1"/>
  <c r="F213" i="24" s="1"/>
  <c r="G911" i="3"/>
  <c r="J765" i="3"/>
  <c r="J927" i="3"/>
  <c r="J926" i="3" s="1"/>
  <c r="V183" i="24"/>
  <c r="W183" i="24"/>
  <c r="Y183" i="24" s="1"/>
  <c r="M718" i="3"/>
  <c r="N718" i="3"/>
  <c r="L931" i="3"/>
  <c r="O931" i="3" s="1"/>
  <c r="L769" i="3"/>
  <c r="O769" i="3" s="1"/>
  <c r="O558" i="3"/>
  <c r="I775" i="3"/>
  <c r="N775" i="3" s="1"/>
  <c r="G742" i="3"/>
  <c r="L895" i="3"/>
  <c r="O895" i="3" s="1"/>
  <c r="O893" i="3"/>
  <c r="L438" i="3"/>
  <c r="O436" i="3"/>
  <c r="V187" i="24"/>
  <c r="W187" i="24"/>
  <c r="Y187" i="24" s="1"/>
  <c r="M738" i="3"/>
  <c r="Q43" i="24"/>
  <c r="R43" i="24"/>
  <c r="U43" i="24" s="1"/>
  <c r="X43" i="24" s="1"/>
  <c r="Q42" i="24"/>
  <c r="R42" i="24"/>
  <c r="U42" i="24" s="1"/>
  <c r="X42" i="24" s="1"/>
  <c r="L724" i="3"/>
  <c r="O724" i="3" s="1"/>
  <c r="L381" i="3"/>
  <c r="O379" i="3"/>
  <c r="I815" i="3"/>
  <c r="N817" i="3"/>
  <c r="G732" i="3"/>
  <c r="L257" i="3"/>
  <c r="O255" i="3"/>
  <c r="L616" i="3"/>
  <c r="O611" i="3"/>
  <c r="L631" i="3"/>
  <c r="O629" i="3"/>
  <c r="N754" i="3"/>
  <c r="M923" i="3"/>
  <c r="N698" i="3"/>
  <c r="L458" i="3"/>
  <c r="O456" i="3"/>
  <c r="AG10" i="40" l="1"/>
  <c r="AG140" i="40" s="1"/>
  <c r="H182" i="22"/>
  <c r="J24" i="40" s="1"/>
  <c r="D111" i="24"/>
  <c r="Q111" i="24" s="1"/>
  <c r="D109" i="24"/>
  <c r="R109" i="24" s="1"/>
  <c r="U109" i="24" s="1"/>
  <c r="X109" i="24" s="1"/>
  <c r="D114" i="24"/>
  <c r="R114" i="24" s="1"/>
  <c r="U114" i="24" s="1"/>
  <c r="X114" i="24" s="1"/>
  <c r="K10" i="40"/>
  <c r="D115" i="24"/>
  <c r="Q115" i="24" s="1"/>
  <c r="D116" i="24"/>
  <c r="Q116" i="24" s="1"/>
  <c r="J539" i="22"/>
  <c r="L539" i="22" s="1"/>
  <c r="G81" i="40"/>
  <c r="R119" i="24"/>
  <c r="U119" i="24" s="1"/>
  <c r="X119" i="24" s="1"/>
  <c r="Q119" i="24"/>
  <c r="D117" i="24"/>
  <c r="Q117" i="24" s="1"/>
  <c r="D113" i="24"/>
  <c r="Q113" i="24" s="1"/>
  <c r="D121" i="24"/>
  <c r="Q121" i="24" s="1"/>
  <c r="D110" i="24"/>
  <c r="Q110" i="24" s="1"/>
  <c r="G527" i="22"/>
  <c r="D77" i="40"/>
  <c r="J446" i="22"/>
  <c r="J454" i="22" s="1"/>
  <c r="J462" i="22" s="1"/>
  <c r="J470" i="22" s="1"/>
  <c r="T401" i="22"/>
  <c r="J401" i="22"/>
  <c r="J406" i="22"/>
  <c r="J414" i="22" s="1"/>
  <c r="J422" i="22" s="1"/>
  <c r="D120" i="24"/>
  <c r="R120" i="24" s="1"/>
  <c r="U120" i="24" s="1"/>
  <c r="X120" i="24" s="1"/>
  <c r="D118" i="24"/>
  <c r="D112" i="24"/>
  <c r="C214" i="24"/>
  <c r="C217" i="24" s="1"/>
  <c r="I217" i="24" s="1"/>
  <c r="W151" i="24"/>
  <c r="S151" i="24"/>
  <c r="AC151" i="24" s="1"/>
  <c r="AD151" i="24" s="1"/>
  <c r="AE151" i="24" s="1"/>
  <c r="U151" i="24"/>
  <c r="X151" i="24" s="1"/>
  <c r="O14" i="18"/>
  <c r="N708" i="3"/>
  <c r="I926" i="3"/>
  <c r="I933" i="3" s="1"/>
  <c r="L75" i="40"/>
  <c r="M75" i="40" s="1"/>
  <c r="L18" i="18"/>
  <c r="O18" i="18" s="1"/>
  <c r="AF189" i="3"/>
  <c r="N927" i="3"/>
  <c r="AC191" i="3"/>
  <c r="AF191" i="3" s="1"/>
  <c r="J774" i="3"/>
  <c r="J781" i="3" s="1"/>
  <c r="J832" i="3" s="1"/>
  <c r="H204" i="22" s="1"/>
  <c r="I764" i="3"/>
  <c r="I771" i="3" s="1"/>
  <c r="J65" i="40"/>
  <c r="J147" i="40" s="1"/>
  <c r="N738" i="3"/>
  <c r="N723" i="3"/>
  <c r="N748" i="3"/>
  <c r="M794" i="3"/>
  <c r="G801" i="3"/>
  <c r="I749" i="3"/>
  <c r="AN180" i="40"/>
  <c r="AR180" i="40"/>
  <c r="I709" i="3"/>
  <c r="N709" i="3" s="1"/>
  <c r="N702" i="3"/>
  <c r="L688" i="3"/>
  <c r="O688" i="3" s="1"/>
  <c r="L618" i="3"/>
  <c r="O616" i="3"/>
  <c r="L799" i="3"/>
  <c r="O799" i="3" s="1"/>
  <c r="O588" i="3"/>
  <c r="M699" i="3"/>
  <c r="N699" i="3"/>
  <c r="G828" i="3"/>
  <c r="J795" i="3"/>
  <c r="N312" i="3"/>
  <c r="T44" i="24"/>
  <c r="S44" i="24"/>
  <c r="AC44" i="24" s="1"/>
  <c r="AD44" i="24" s="1"/>
  <c r="AE44" i="24" s="1"/>
  <c r="L9" i="19"/>
  <c r="O9" i="19" s="1"/>
  <c r="O7" i="19"/>
  <c r="L819" i="3"/>
  <c r="O819" i="3" s="1"/>
  <c r="O608" i="3"/>
  <c r="I803" i="3"/>
  <c r="N252" i="3"/>
  <c r="R146" i="24"/>
  <c r="U146" i="24" s="1"/>
  <c r="X146" i="24" s="1"/>
  <c r="Q146" i="24"/>
  <c r="J460" i="22"/>
  <c r="N732" i="3"/>
  <c r="M732" i="3"/>
  <c r="G739" i="3"/>
  <c r="S42" i="24"/>
  <c r="AC42" i="24" s="1"/>
  <c r="AD42" i="24" s="1"/>
  <c r="AE42" i="24" s="1"/>
  <c r="T42" i="24"/>
  <c r="M742" i="3"/>
  <c r="G749" i="3"/>
  <c r="H199" i="24"/>
  <c r="H202" i="24"/>
  <c r="H203" i="24"/>
  <c r="H201" i="24"/>
  <c r="H200" i="24"/>
  <c r="H198" i="24"/>
  <c r="L663" i="3"/>
  <c r="O661" i="3"/>
  <c r="I820" i="3"/>
  <c r="N820" i="3" s="1"/>
  <c r="L643" i="3"/>
  <c r="L645" i="3" s="1"/>
  <c r="O641" i="3"/>
  <c r="M780" i="3"/>
  <c r="I180" i="40"/>
  <c r="I719" i="3"/>
  <c r="N719" i="3" s="1"/>
  <c r="L809" i="3"/>
  <c r="O809" i="3" s="1"/>
  <c r="O598" i="3"/>
  <c r="M820" i="3"/>
  <c r="M826" i="3"/>
  <c r="E175" i="22"/>
  <c r="M933" i="3"/>
  <c r="L27" i="18"/>
  <c r="W16" i="18" s="1"/>
  <c r="O32" i="18"/>
  <c r="J815" i="3"/>
  <c r="J814" i="3" s="1"/>
  <c r="J821" i="3" s="1"/>
  <c r="J844" i="3" s="1"/>
  <c r="H215" i="22" s="1"/>
  <c r="N332" i="3"/>
  <c r="L917" i="3"/>
  <c r="L282" i="3"/>
  <c r="L693" i="3"/>
  <c r="O280" i="3"/>
  <c r="F382" i="22"/>
  <c r="R153" i="24"/>
  <c r="U153" i="24" s="1"/>
  <c r="X153" i="24" s="1"/>
  <c r="Q153" i="24"/>
  <c r="R147" i="24"/>
  <c r="U147" i="24" s="1"/>
  <c r="X147" i="24" s="1"/>
  <c r="Q147" i="24"/>
  <c r="I780" i="3"/>
  <c r="I774" i="3" s="1"/>
  <c r="I828" i="3"/>
  <c r="L735" i="3"/>
  <c r="O735" i="3" s="1"/>
  <c r="L460" i="3"/>
  <c r="O458" i="3"/>
  <c r="L633" i="3"/>
  <c r="O631" i="3"/>
  <c r="L259" i="3"/>
  <c r="O257" i="3"/>
  <c r="L796" i="3"/>
  <c r="O796" i="3" s="1"/>
  <c r="O381" i="3"/>
  <c r="J764" i="3"/>
  <c r="J771" i="3" s="1"/>
  <c r="J829" i="3" s="1"/>
  <c r="N765" i="3"/>
  <c r="I908" i="3"/>
  <c r="N907" i="3"/>
  <c r="N692" i="3"/>
  <c r="O683" i="3"/>
  <c r="L776" i="3"/>
  <c r="O776" i="3" s="1"/>
  <c r="O361" i="3"/>
  <c r="L861" i="3"/>
  <c r="O859" i="3"/>
  <c r="G177" i="21"/>
  <c r="AG177" i="21" s="1"/>
  <c r="AE177" i="21"/>
  <c r="AA177" i="21"/>
  <c r="AC177" i="21" s="1"/>
  <c r="I800" i="3"/>
  <c r="N800" i="3" s="1"/>
  <c r="T40" i="24"/>
  <c r="S40" i="24"/>
  <c r="AC40" i="24" s="1"/>
  <c r="AD40" i="24" s="1"/>
  <c r="L705" i="3"/>
  <c r="O705" i="3" s="1"/>
  <c r="L430" i="3"/>
  <c r="O428" i="3"/>
  <c r="L806" i="3"/>
  <c r="O806" i="3" s="1"/>
  <c r="O391" i="3"/>
  <c r="L300" i="3"/>
  <c r="O298" i="3"/>
  <c r="N637" i="3"/>
  <c r="Y192" i="24"/>
  <c r="E196" i="24" s="1"/>
  <c r="L330" i="3"/>
  <c r="O328" i="3"/>
  <c r="L816" i="3"/>
  <c r="O816" i="3" s="1"/>
  <c r="O401" i="3"/>
  <c r="M764" i="3"/>
  <c r="G771" i="3"/>
  <c r="L798" i="3"/>
  <c r="O798" i="3" s="1"/>
  <c r="O519" i="3"/>
  <c r="E92" i="24"/>
  <c r="L84" i="24" s="1"/>
  <c r="L725" i="3"/>
  <c r="O725" i="3" s="1"/>
  <c r="L450" i="3"/>
  <c r="O448" i="3"/>
  <c r="L673" i="3"/>
  <c r="O671" i="3"/>
  <c r="I739" i="3"/>
  <c r="N731" i="3"/>
  <c r="S41" i="24"/>
  <c r="AC41" i="24" s="1"/>
  <c r="AD41" i="24" s="1"/>
  <c r="AE41" i="24" s="1"/>
  <c r="T41" i="24"/>
  <c r="J742" i="3"/>
  <c r="J749" i="3" s="1"/>
  <c r="J843" i="3" s="1"/>
  <c r="N743" i="3"/>
  <c r="N903" i="3"/>
  <c r="Q152" i="24"/>
  <c r="R152" i="24"/>
  <c r="U152" i="24" s="1"/>
  <c r="X152" i="24" s="1"/>
  <c r="R150" i="24"/>
  <c r="U150" i="24" s="1"/>
  <c r="X150" i="24" s="1"/>
  <c r="Q150" i="24"/>
  <c r="I810" i="3"/>
  <c r="N810" i="3" s="1"/>
  <c r="M810" i="3"/>
  <c r="G804" i="3"/>
  <c r="J937" i="3"/>
  <c r="J923" i="3"/>
  <c r="N923" i="3" s="1"/>
  <c r="M800" i="3"/>
  <c r="I199" i="24"/>
  <c r="I202" i="24"/>
  <c r="I203" i="24"/>
  <c r="I198" i="24"/>
  <c r="I200" i="24"/>
  <c r="I201" i="24"/>
  <c r="L789" i="3"/>
  <c r="O789" i="3" s="1"/>
  <c r="O578" i="3"/>
  <c r="G834" i="3"/>
  <c r="M719" i="3"/>
  <c r="M709" i="3"/>
  <c r="G831" i="3"/>
  <c r="L899" i="3"/>
  <c r="O897" i="3"/>
  <c r="L288" i="3"/>
  <c r="O286" i="3"/>
  <c r="I93" i="24"/>
  <c r="M83" i="24"/>
  <c r="I65" i="40"/>
  <c r="I147" i="40" s="1"/>
  <c r="L767" i="3"/>
  <c r="O767" i="3" s="1"/>
  <c r="L929" i="3"/>
  <c r="O929" i="3" s="1"/>
  <c r="O420" i="3"/>
  <c r="L808" i="3"/>
  <c r="O808" i="3" s="1"/>
  <c r="O529" i="3"/>
  <c r="M814" i="3"/>
  <c r="L653" i="3"/>
  <c r="O651" i="3"/>
  <c r="L42" i="18"/>
  <c r="W19" i="18" s="1"/>
  <c r="X19" i="18" s="1"/>
  <c r="O40" i="18"/>
  <c r="R149" i="24"/>
  <c r="U149" i="24" s="1"/>
  <c r="X149" i="24" s="1"/>
  <c r="Q149" i="24"/>
  <c r="R145" i="24"/>
  <c r="U145" i="24" s="1"/>
  <c r="X145" i="24" s="1"/>
  <c r="Q145" i="24"/>
  <c r="L879" i="3"/>
  <c r="O879" i="3" s="1"/>
  <c r="O877" i="3"/>
  <c r="J941" i="3"/>
  <c r="J942" i="3" s="1"/>
  <c r="J933" i="3"/>
  <c r="M911" i="3"/>
  <c r="G912" i="3"/>
  <c r="L779" i="3"/>
  <c r="O779" i="3" s="1"/>
  <c r="O568" i="3"/>
  <c r="M84" i="24"/>
  <c r="T43" i="24"/>
  <c r="S43" i="24"/>
  <c r="AC43" i="24" s="1"/>
  <c r="AD43" i="24" s="1"/>
  <c r="AE43" i="24" s="1"/>
  <c r="L715" i="3"/>
  <c r="O715" i="3" s="1"/>
  <c r="L440" i="3"/>
  <c r="O438" i="3"/>
  <c r="I911" i="3"/>
  <c r="N911" i="3" s="1"/>
  <c r="I784" i="3"/>
  <c r="G821" i="3"/>
  <c r="L310" i="3"/>
  <c r="O308" i="3"/>
  <c r="L248" i="3"/>
  <c r="O246" i="3"/>
  <c r="C384" i="22"/>
  <c r="C388" i="22" s="1"/>
  <c r="C390" i="22" s="1"/>
  <c r="C391" i="22" s="1"/>
  <c r="C430" i="22"/>
  <c r="C432" i="22" s="1"/>
  <c r="C436" i="22" s="1"/>
  <c r="C438" i="22" s="1"/>
  <c r="C439" i="22" s="1"/>
  <c r="L755" i="3"/>
  <c r="O273" i="3"/>
  <c r="L786" i="3"/>
  <c r="O786" i="3" s="1"/>
  <c r="O371" i="3"/>
  <c r="L625" i="3"/>
  <c r="O622" i="3"/>
  <c r="L788" i="3"/>
  <c r="O788" i="3" s="1"/>
  <c r="O509" i="3"/>
  <c r="L778" i="3"/>
  <c r="O778" i="3" s="1"/>
  <c r="O499" i="3"/>
  <c r="M790" i="3"/>
  <c r="N790" i="3"/>
  <c r="V192" i="24"/>
  <c r="D196" i="24" s="1"/>
  <c r="G784" i="3"/>
  <c r="G837" i="3"/>
  <c r="M729" i="3"/>
  <c r="J420" i="22"/>
  <c r="M941" i="3"/>
  <c r="G942" i="3"/>
  <c r="L320" i="3"/>
  <c r="O318" i="3"/>
  <c r="L745" i="3"/>
  <c r="O745" i="3" s="1"/>
  <c r="L470" i="3"/>
  <c r="O468" i="3"/>
  <c r="I722" i="3"/>
  <c r="Q144" i="24"/>
  <c r="R144" i="24"/>
  <c r="U144" i="24" s="1"/>
  <c r="X144" i="24" s="1"/>
  <c r="R148" i="24"/>
  <c r="U148" i="24" s="1"/>
  <c r="X148" i="24" s="1"/>
  <c r="Q148" i="24"/>
  <c r="M938" i="3"/>
  <c r="I826" i="3"/>
  <c r="G774" i="3"/>
  <c r="L818" i="3"/>
  <c r="O818" i="3" s="1"/>
  <c r="O539" i="3"/>
  <c r="I938" i="3"/>
  <c r="AL10" i="40" l="1"/>
  <c r="AL140" i="40" s="1"/>
  <c r="Q114" i="24"/>
  <c r="S114" i="24" s="1"/>
  <c r="AC114" i="24" s="1"/>
  <c r="AD114" i="24" s="1"/>
  <c r="AE114" i="24" s="1"/>
  <c r="R116" i="24"/>
  <c r="U116" i="24" s="1"/>
  <c r="X116" i="24" s="1"/>
  <c r="Q109" i="24"/>
  <c r="T109" i="24" s="1"/>
  <c r="Q120" i="24"/>
  <c r="T120" i="24" s="1"/>
  <c r="R111" i="24"/>
  <c r="U111" i="24" s="1"/>
  <c r="X111" i="24" s="1"/>
  <c r="L81" i="40"/>
  <c r="L174" i="40" s="1"/>
  <c r="R110" i="24"/>
  <c r="U110" i="24" s="1"/>
  <c r="X110" i="24" s="1"/>
  <c r="R121" i="24"/>
  <c r="U121" i="24" s="1"/>
  <c r="X121" i="24" s="1"/>
  <c r="R115" i="24"/>
  <c r="U115" i="24" s="1"/>
  <c r="X115" i="24" s="1"/>
  <c r="J457" i="22"/>
  <c r="J449" i="22"/>
  <c r="C218" i="24"/>
  <c r="I218" i="24" s="1"/>
  <c r="T400" i="22"/>
  <c r="U401" i="22"/>
  <c r="R117" i="24"/>
  <c r="U117" i="24" s="1"/>
  <c r="X117" i="24" s="1"/>
  <c r="T119" i="24"/>
  <c r="S119" i="24"/>
  <c r="AC119" i="24" s="1"/>
  <c r="AD119" i="24" s="1"/>
  <c r="AE119" i="24" s="1"/>
  <c r="H209" i="22"/>
  <c r="J27" i="40" s="1"/>
  <c r="E27" i="40"/>
  <c r="R113" i="24"/>
  <c r="U113" i="24" s="1"/>
  <c r="X113" i="24" s="1"/>
  <c r="I77" i="40"/>
  <c r="I73" i="40" s="1"/>
  <c r="I148" i="40" s="1"/>
  <c r="J417" i="22"/>
  <c r="J409" i="22"/>
  <c r="J425" i="22"/>
  <c r="L425" i="22" s="1"/>
  <c r="Q118" i="24"/>
  <c r="T118" i="24" s="1"/>
  <c r="R118" i="24"/>
  <c r="R112" i="24"/>
  <c r="U112" i="24" s="1"/>
  <c r="X112" i="24" s="1"/>
  <c r="Q112" i="24"/>
  <c r="E382" i="22"/>
  <c r="E430" i="22" s="1"/>
  <c r="E432" i="22" s="1"/>
  <c r="E436" i="22" s="1"/>
  <c r="E438" i="22" s="1"/>
  <c r="E439" i="22" s="1"/>
  <c r="V151" i="24"/>
  <c r="Y151" i="24"/>
  <c r="I941" i="3"/>
  <c r="I942" i="3" s="1"/>
  <c r="N942" i="3" s="1"/>
  <c r="N926" i="3"/>
  <c r="I215" i="24"/>
  <c r="I212" i="24"/>
  <c r="N941" i="3"/>
  <c r="I216" i="24"/>
  <c r="L20" i="18"/>
  <c r="O20" i="18" s="1"/>
  <c r="O19" i="18" s="1"/>
  <c r="I214" i="24"/>
  <c r="I213" i="24"/>
  <c r="H220" i="22"/>
  <c r="I794" i="3"/>
  <c r="I814" i="3"/>
  <c r="I197" i="24"/>
  <c r="I204" i="24" s="1"/>
  <c r="I205" i="24" s="1"/>
  <c r="I781" i="3"/>
  <c r="I801" i="3"/>
  <c r="M834" i="3"/>
  <c r="I840" i="3"/>
  <c r="L743" i="3"/>
  <c r="L332" i="3"/>
  <c r="O330" i="3"/>
  <c r="V40" i="24"/>
  <c r="W40" i="24"/>
  <c r="Y40" i="24" s="1"/>
  <c r="L741" i="3"/>
  <c r="L261" i="3"/>
  <c r="O259" i="3"/>
  <c r="O917" i="3"/>
  <c r="AL180" i="40"/>
  <c r="AQ180" i="40"/>
  <c r="M749" i="3"/>
  <c r="G843" i="3"/>
  <c r="N749" i="3"/>
  <c r="J794" i="3"/>
  <c r="J801" i="3" s="1"/>
  <c r="J838" i="3" s="1"/>
  <c r="H213" i="22" s="1"/>
  <c r="N795" i="3"/>
  <c r="N828" i="3"/>
  <c r="M828" i="3"/>
  <c r="L760" i="3"/>
  <c r="O760" i="3" s="1"/>
  <c r="O618" i="3"/>
  <c r="T148" i="24"/>
  <c r="S148" i="24"/>
  <c r="AC148" i="24" s="1"/>
  <c r="AD148" i="24" s="1"/>
  <c r="AE148" i="24" s="1"/>
  <c r="N815" i="3"/>
  <c r="M837" i="3"/>
  <c r="M821" i="3"/>
  <c r="G844" i="3"/>
  <c r="I791" i="3"/>
  <c r="L290" i="3"/>
  <c r="O288" i="3"/>
  <c r="M831" i="3"/>
  <c r="S110" i="24"/>
  <c r="AC110" i="24" s="1"/>
  <c r="AD110" i="24" s="1"/>
  <c r="AE110" i="24" s="1"/>
  <c r="T110" i="24"/>
  <c r="J938" i="3"/>
  <c r="N938" i="3" s="1"/>
  <c r="N937" i="3"/>
  <c r="W41" i="24"/>
  <c r="Y41" i="24" s="1"/>
  <c r="V41" i="24"/>
  <c r="E200" i="24"/>
  <c r="E199" i="24"/>
  <c r="E202" i="24"/>
  <c r="E201" i="24"/>
  <c r="E203" i="24"/>
  <c r="E198" i="24"/>
  <c r="L863" i="3"/>
  <c r="O861" i="3"/>
  <c r="T153" i="24"/>
  <c r="S153" i="24"/>
  <c r="AC153" i="24" s="1"/>
  <c r="AD153" i="24" s="1"/>
  <c r="AE153" i="24" s="1"/>
  <c r="E179" i="22"/>
  <c r="E178" i="22"/>
  <c r="L647" i="3"/>
  <c r="L790" i="3" s="1"/>
  <c r="O790" i="3" s="1"/>
  <c r="L718" i="3"/>
  <c r="O718" i="3" s="1"/>
  <c r="O645" i="3"/>
  <c r="N742" i="3"/>
  <c r="V42" i="24"/>
  <c r="W42" i="24"/>
  <c r="Y42" i="24" s="1"/>
  <c r="J465" i="22"/>
  <c r="J468" i="22"/>
  <c r="J473" i="22" s="1"/>
  <c r="L473" i="22" s="1"/>
  <c r="N803" i="3"/>
  <c r="S116" i="24"/>
  <c r="AC116" i="24" s="1"/>
  <c r="AD116" i="24" s="1"/>
  <c r="AE116" i="24" s="1"/>
  <c r="T116" i="24"/>
  <c r="M801" i="3"/>
  <c r="G838" i="3"/>
  <c r="L817" i="3"/>
  <c r="O817" i="3" s="1"/>
  <c r="O470" i="3"/>
  <c r="L733" i="3"/>
  <c r="L322" i="3"/>
  <c r="O320" i="3"/>
  <c r="L698" i="3"/>
  <c r="O698" i="3" s="1"/>
  <c r="L922" i="3"/>
  <c r="O922" i="3" s="1"/>
  <c r="L627" i="3"/>
  <c r="O625" i="3"/>
  <c r="O755" i="3"/>
  <c r="I912" i="3"/>
  <c r="N912" i="3" s="1"/>
  <c r="L787" i="3"/>
  <c r="O787" i="3" s="1"/>
  <c r="O440" i="3"/>
  <c r="M912" i="3"/>
  <c r="T149" i="24"/>
  <c r="S149" i="24"/>
  <c r="AC149" i="24" s="1"/>
  <c r="AD149" i="24" s="1"/>
  <c r="AE149" i="24" s="1"/>
  <c r="M804" i="3"/>
  <c r="G811" i="3"/>
  <c r="S152" i="24"/>
  <c r="AC152" i="24" s="1"/>
  <c r="AD152" i="24" s="1"/>
  <c r="AE152" i="24" s="1"/>
  <c r="T152" i="24"/>
  <c r="E93" i="24"/>
  <c r="E213" i="24" s="1"/>
  <c r="L83" i="24"/>
  <c r="N771" i="3"/>
  <c r="M771" i="3"/>
  <c r="G829" i="3"/>
  <c r="L635" i="3"/>
  <c r="O633" i="3"/>
  <c r="O693" i="3"/>
  <c r="N933" i="3"/>
  <c r="I834" i="3"/>
  <c r="N834" i="3" s="1"/>
  <c r="L665" i="3"/>
  <c r="O663" i="3"/>
  <c r="H197" i="24"/>
  <c r="H204" i="24" s="1"/>
  <c r="F216" i="24" s="1"/>
  <c r="T146" i="24"/>
  <c r="S146" i="24"/>
  <c r="AC146" i="24" s="1"/>
  <c r="AD146" i="24" s="1"/>
  <c r="AE146" i="24" s="1"/>
  <c r="G175" i="22"/>
  <c r="D24" i="40" s="1"/>
  <c r="S144" i="24"/>
  <c r="AC144" i="24" s="1"/>
  <c r="AD144" i="24" s="1"/>
  <c r="T144" i="24"/>
  <c r="T121" i="24"/>
  <c r="T145" i="24"/>
  <c r="S145" i="24"/>
  <c r="AC145" i="24" s="1"/>
  <c r="AD145" i="24" s="1"/>
  <c r="AE145" i="24" s="1"/>
  <c r="L675" i="3"/>
  <c r="O673" i="3"/>
  <c r="L713" i="3"/>
  <c r="L302" i="3"/>
  <c r="O300" i="3"/>
  <c r="N908" i="3"/>
  <c r="L807" i="3"/>
  <c r="O807" i="3" s="1"/>
  <c r="O460" i="3"/>
  <c r="T117" i="24"/>
  <c r="I829" i="3"/>
  <c r="I729" i="3"/>
  <c r="N722" i="3"/>
  <c r="M942" i="3"/>
  <c r="N784" i="3"/>
  <c r="M784" i="3"/>
  <c r="G791" i="3"/>
  <c r="L723" i="3"/>
  <c r="L312" i="3"/>
  <c r="O310" i="3"/>
  <c r="W43" i="24"/>
  <c r="Y43" i="24" s="1"/>
  <c r="V43" i="24"/>
  <c r="T113" i="24"/>
  <c r="L655" i="3"/>
  <c r="O653" i="3"/>
  <c r="L797" i="3"/>
  <c r="O797" i="3" s="1"/>
  <c r="O450" i="3"/>
  <c r="N774" i="3"/>
  <c r="M774" i="3"/>
  <c r="G781" i="3"/>
  <c r="D199" i="24"/>
  <c r="D201" i="24"/>
  <c r="D203" i="24"/>
  <c r="D198" i="24"/>
  <c r="D200" i="24"/>
  <c r="D202" i="24"/>
  <c r="L250" i="3"/>
  <c r="O248" i="3"/>
  <c r="T111" i="24"/>
  <c r="L37" i="18"/>
  <c r="W18" i="18" s="1"/>
  <c r="O42" i="18"/>
  <c r="G213" i="24"/>
  <c r="C52" i="22"/>
  <c r="C324" i="22" s="1"/>
  <c r="D324" i="22" s="1"/>
  <c r="L901" i="3"/>
  <c r="L907" i="3" s="1"/>
  <c r="O899" i="3"/>
  <c r="T150" i="24"/>
  <c r="S150" i="24"/>
  <c r="AC150" i="24" s="1"/>
  <c r="AD150" i="24" s="1"/>
  <c r="AE150" i="24" s="1"/>
  <c r="I804" i="3"/>
  <c r="N804" i="3" s="1"/>
  <c r="N764" i="3"/>
  <c r="L777" i="3"/>
  <c r="O777" i="3" s="1"/>
  <c r="O430" i="3"/>
  <c r="AD45" i="24"/>
  <c r="H49" i="24" s="1"/>
  <c r="AE40" i="24"/>
  <c r="AE45" i="24" s="1"/>
  <c r="I49" i="24" s="1"/>
  <c r="L682" i="3"/>
  <c r="T115" i="24"/>
  <c r="S147" i="24"/>
  <c r="AC147" i="24" s="1"/>
  <c r="AD147" i="24" s="1"/>
  <c r="AE147" i="24" s="1"/>
  <c r="T147" i="24"/>
  <c r="F384" i="22"/>
  <c r="F388" i="22" s="1"/>
  <c r="F390" i="22" s="1"/>
  <c r="F391" i="22" s="1"/>
  <c r="F430" i="22"/>
  <c r="F432" i="22" s="1"/>
  <c r="F436" i="22" s="1"/>
  <c r="F438" i="22" s="1"/>
  <c r="F439" i="22" s="1"/>
  <c r="L765" i="3"/>
  <c r="L927" i="3"/>
  <c r="O282" i="3"/>
  <c r="N826" i="3"/>
  <c r="N780" i="3"/>
  <c r="N739" i="3"/>
  <c r="M739" i="3"/>
  <c r="G840" i="3"/>
  <c r="V44" i="24"/>
  <c r="W44" i="24"/>
  <c r="Y44" i="24" s="1"/>
  <c r="T114" i="24"/>
  <c r="I831" i="3"/>
  <c r="N831" i="3" s="1"/>
  <c r="I843" i="3"/>
  <c r="S109" i="24" l="1"/>
  <c r="AC109" i="24" s="1"/>
  <c r="AD109" i="24" s="1"/>
  <c r="AE109" i="24" s="1"/>
  <c r="S120" i="24"/>
  <c r="AC120" i="24" s="1"/>
  <c r="AD120" i="24" s="1"/>
  <c r="AE120" i="24" s="1"/>
  <c r="S115" i="24"/>
  <c r="AC115" i="24" s="1"/>
  <c r="AD115" i="24" s="1"/>
  <c r="AE115" i="24" s="1"/>
  <c r="S111" i="24"/>
  <c r="AC111" i="24" s="1"/>
  <c r="AD111" i="24" s="1"/>
  <c r="AE111" i="24" s="1"/>
  <c r="M81" i="40"/>
  <c r="S121" i="24"/>
  <c r="AC121" i="24" s="1"/>
  <c r="AD121" i="24" s="1"/>
  <c r="AE121" i="24" s="1"/>
  <c r="S113" i="24"/>
  <c r="AC113" i="24" s="1"/>
  <c r="AD113" i="24" s="1"/>
  <c r="AE113" i="24" s="1"/>
  <c r="L66" i="40"/>
  <c r="M66" i="40" s="1"/>
  <c r="S117" i="24"/>
  <c r="AC117" i="24" s="1"/>
  <c r="AD117" i="24" s="1"/>
  <c r="AE117" i="24" s="1"/>
  <c r="L377" i="22"/>
  <c r="H221" i="22"/>
  <c r="J26" i="40" s="1"/>
  <c r="E26" i="40"/>
  <c r="H216" i="22"/>
  <c r="J25" i="40" s="1"/>
  <c r="E25" i="40"/>
  <c r="T404" i="22"/>
  <c r="U404" i="22" s="1"/>
  <c r="U400" i="22"/>
  <c r="V119" i="24"/>
  <c r="W119" i="24"/>
  <c r="Y119" i="24" s="1"/>
  <c r="E384" i="22"/>
  <c r="E388" i="22" s="1"/>
  <c r="E390" i="22" s="1"/>
  <c r="E391" i="22" s="1"/>
  <c r="S118" i="24"/>
  <c r="AC118" i="24" s="1"/>
  <c r="AD118" i="24" s="1"/>
  <c r="AE118" i="24" s="1"/>
  <c r="U118" i="24"/>
  <c r="X118" i="24" s="1"/>
  <c r="W118" i="24"/>
  <c r="T112" i="24"/>
  <c r="S112" i="24"/>
  <c r="AC112" i="24" s="1"/>
  <c r="AD112" i="24" s="1"/>
  <c r="AE112" i="24" s="1"/>
  <c r="J523" i="22"/>
  <c r="J525" i="22" s="1"/>
  <c r="N794" i="3"/>
  <c r="H213" i="24"/>
  <c r="L692" i="3"/>
  <c r="L699" i="3" s="1"/>
  <c r="E182" i="22"/>
  <c r="E24" i="21" s="1"/>
  <c r="E197" i="24"/>
  <c r="E204" i="24" s="1"/>
  <c r="L196" i="24" s="1"/>
  <c r="M195" i="24"/>
  <c r="N814" i="3"/>
  <c r="I821" i="3"/>
  <c r="M196" i="24"/>
  <c r="L916" i="3"/>
  <c r="L937" i="3" s="1"/>
  <c r="D326" i="22"/>
  <c r="E324" i="22"/>
  <c r="M791" i="3"/>
  <c r="G835" i="3"/>
  <c r="N791" i="3"/>
  <c r="V117" i="24"/>
  <c r="W117" i="24"/>
  <c r="Y117" i="24" s="1"/>
  <c r="G179" i="22"/>
  <c r="G178" i="22"/>
  <c r="W146" i="24"/>
  <c r="Y146" i="24" s="1"/>
  <c r="V146" i="24"/>
  <c r="W153" i="24"/>
  <c r="Y153" i="24" s="1"/>
  <c r="V153" i="24"/>
  <c r="O863" i="3"/>
  <c r="V148" i="24"/>
  <c r="W148" i="24"/>
  <c r="Y148" i="24" s="1"/>
  <c r="Y45" i="24"/>
  <c r="E49" i="24" s="1"/>
  <c r="O927" i="3"/>
  <c r="L785" i="3"/>
  <c r="O302" i="3"/>
  <c r="L708" i="3"/>
  <c r="O708" i="3" s="1"/>
  <c r="L637" i="3"/>
  <c r="AS174" i="40"/>
  <c r="AO174" i="40"/>
  <c r="AP174" i="40" s="1"/>
  <c r="M174" i="40"/>
  <c r="AT174" i="40" s="1"/>
  <c r="W152" i="24"/>
  <c r="Y152" i="24" s="1"/>
  <c r="V152" i="24"/>
  <c r="V149" i="24"/>
  <c r="W149" i="24"/>
  <c r="Y149" i="24" s="1"/>
  <c r="I811" i="3"/>
  <c r="N811" i="3" s="1"/>
  <c r="L908" i="3"/>
  <c r="O908" i="3" s="1"/>
  <c r="O907" i="3"/>
  <c r="I832" i="3"/>
  <c r="V114" i="24"/>
  <c r="W114" i="24"/>
  <c r="Y114" i="24" s="1"/>
  <c r="H55" i="24"/>
  <c r="H56" i="24"/>
  <c r="H53" i="24"/>
  <c r="H54" i="24"/>
  <c r="H51" i="24"/>
  <c r="H52" i="24"/>
  <c r="V120" i="24"/>
  <c r="W120" i="24"/>
  <c r="Y120" i="24" s="1"/>
  <c r="V113" i="24"/>
  <c r="W113" i="24"/>
  <c r="Y113" i="24" s="1"/>
  <c r="L795" i="3"/>
  <c r="O312" i="3"/>
  <c r="I837" i="3"/>
  <c r="N729" i="3"/>
  <c r="L712" i="3"/>
  <c r="O713" i="3"/>
  <c r="L748" i="3"/>
  <c r="O748" i="3" s="1"/>
  <c r="L677" i="3"/>
  <c r="O675" i="3"/>
  <c r="V144" i="24"/>
  <c r="W144" i="24"/>
  <c r="Y144" i="24" s="1"/>
  <c r="M840" i="3"/>
  <c r="N840" i="3"/>
  <c r="L689" i="3"/>
  <c r="O682" i="3"/>
  <c r="V150" i="24"/>
  <c r="W150" i="24"/>
  <c r="Y150" i="24" s="1"/>
  <c r="L903" i="3"/>
  <c r="O903" i="3" s="1"/>
  <c r="O901" i="3"/>
  <c r="W111" i="24"/>
  <c r="Y111" i="24" s="1"/>
  <c r="V111" i="24"/>
  <c r="L252" i="3"/>
  <c r="L731" i="3"/>
  <c r="O250" i="3"/>
  <c r="D197" i="24"/>
  <c r="D204" i="24" s="1"/>
  <c r="D216" i="24" s="1"/>
  <c r="M781" i="3"/>
  <c r="N781" i="3"/>
  <c r="G832" i="3"/>
  <c r="O723" i="3"/>
  <c r="V121" i="24"/>
  <c r="W121" i="24"/>
  <c r="Y121" i="24" s="1"/>
  <c r="AD154" i="24"/>
  <c r="H158" i="24" s="1"/>
  <c r="AE144" i="24"/>
  <c r="AE154" i="24" s="1"/>
  <c r="I158" i="24" s="1"/>
  <c r="M811" i="3"/>
  <c r="G841" i="3"/>
  <c r="L754" i="3"/>
  <c r="L805" i="3"/>
  <c r="O322" i="3"/>
  <c r="N801" i="3"/>
  <c r="L67" i="40"/>
  <c r="M67" i="40" s="1"/>
  <c r="I835" i="3"/>
  <c r="N843" i="3"/>
  <c r="M843" i="3"/>
  <c r="O741" i="3"/>
  <c r="I838" i="3"/>
  <c r="G216" i="24"/>
  <c r="C55" i="22"/>
  <c r="C339" i="22" s="1"/>
  <c r="D339" i="22" s="1"/>
  <c r="V115" i="24"/>
  <c r="W115" i="24"/>
  <c r="Y115" i="24" s="1"/>
  <c r="L728" i="3"/>
  <c r="O728" i="3" s="1"/>
  <c r="L657" i="3"/>
  <c r="O733" i="3"/>
  <c r="L292" i="3"/>
  <c r="L703" i="3"/>
  <c r="O290" i="3"/>
  <c r="V147" i="24"/>
  <c r="W147" i="24"/>
  <c r="Y147" i="24" s="1"/>
  <c r="W109" i="24"/>
  <c r="Y109" i="24" s="1"/>
  <c r="V109" i="24"/>
  <c r="I56" i="24"/>
  <c r="I55" i="24"/>
  <c r="I52" i="24"/>
  <c r="I54" i="24"/>
  <c r="I53" i="24"/>
  <c r="I51" i="24"/>
  <c r="V145" i="24"/>
  <c r="W145" i="24"/>
  <c r="Y145" i="24" s="1"/>
  <c r="L738" i="3"/>
  <c r="O738" i="3" s="1"/>
  <c r="L667" i="3"/>
  <c r="O665" i="3"/>
  <c r="L770" i="3"/>
  <c r="O770" i="3" s="1"/>
  <c r="L932" i="3"/>
  <c r="O932" i="3" s="1"/>
  <c r="O627" i="3"/>
  <c r="W116" i="24"/>
  <c r="Y116" i="24" s="1"/>
  <c r="V116" i="24"/>
  <c r="V110" i="24"/>
  <c r="W110" i="24"/>
  <c r="Y110" i="24" s="1"/>
  <c r="E215" i="22"/>
  <c r="M844" i="3"/>
  <c r="V45" i="24"/>
  <c r="D49" i="24" s="1"/>
  <c r="L815" i="3"/>
  <c r="O332" i="3"/>
  <c r="O765" i="3"/>
  <c r="M829" i="3"/>
  <c r="N829" i="3"/>
  <c r="E213" i="22"/>
  <c r="M838" i="3"/>
  <c r="L813" i="3"/>
  <c r="O261" i="3"/>
  <c r="O743" i="3"/>
  <c r="R105" i="22" l="1"/>
  <c r="R110" i="22" s="1"/>
  <c r="V10" i="40" s="1"/>
  <c r="AF10" i="40" s="1"/>
  <c r="V118" i="24"/>
  <c r="AD122" i="24"/>
  <c r="H126" i="24" s="1"/>
  <c r="H128" i="24" s="1"/>
  <c r="J176" i="40"/>
  <c r="AN176" i="40" s="1"/>
  <c r="J527" i="22"/>
  <c r="G77" i="40"/>
  <c r="J21" i="40"/>
  <c r="J142" i="40" s="1"/>
  <c r="J140" i="40" s="1"/>
  <c r="M65" i="40"/>
  <c r="Y118" i="24"/>
  <c r="AE122" i="24"/>
  <c r="I126" i="24" s="1"/>
  <c r="I129" i="24" s="1"/>
  <c r="W112" i="24"/>
  <c r="Y112" i="24" s="1"/>
  <c r="V112" i="24"/>
  <c r="K182" i="22"/>
  <c r="O692" i="3"/>
  <c r="O916" i="3"/>
  <c r="L722" i="3"/>
  <c r="L729" i="3" s="1"/>
  <c r="L923" i="3"/>
  <c r="O923" i="3" s="1"/>
  <c r="L764" i="3"/>
  <c r="L771" i="3" s="1"/>
  <c r="L180" i="40"/>
  <c r="AS180" i="40" s="1"/>
  <c r="L926" i="3"/>
  <c r="O926" i="3" s="1"/>
  <c r="L732" i="3"/>
  <c r="O732" i="3" s="1"/>
  <c r="I844" i="3"/>
  <c r="N821" i="3"/>
  <c r="D52" i="24"/>
  <c r="D54" i="24"/>
  <c r="D56" i="24"/>
  <c r="D55" i="24"/>
  <c r="D53" i="24"/>
  <c r="D51" i="24"/>
  <c r="G24" i="21"/>
  <c r="L761" i="3"/>
  <c r="O754" i="3"/>
  <c r="L820" i="3"/>
  <c r="O820" i="3" s="1"/>
  <c r="O677" i="3"/>
  <c r="N837" i="3"/>
  <c r="M835" i="3"/>
  <c r="N835" i="3"/>
  <c r="E206" i="22"/>
  <c r="L800" i="3"/>
  <c r="O800" i="3" s="1"/>
  <c r="O657" i="3"/>
  <c r="E204" i="22"/>
  <c r="N832" i="3"/>
  <c r="M832" i="3"/>
  <c r="L780" i="3"/>
  <c r="O780" i="3" s="1"/>
  <c r="O637" i="3"/>
  <c r="L742" i="3"/>
  <c r="E216" i="22"/>
  <c r="L810" i="3"/>
  <c r="O810" i="3" s="1"/>
  <c r="O667" i="3"/>
  <c r="I50" i="24"/>
  <c r="L702" i="3"/>
  <c r="O703" i="3"/>
  <c r="G213" i="22"/>
  <c r="N838" i="3"/>
  <c r="O815" i="3"/>
  <c r="E205" i="24"/>
  <c r="E216" i="24" s="1"/>
  <c r="H216" i="24" s="1"/>
  <c r="L195" i="24"/>
  <c r="L775" i="3"/>
  <c r="O292" i="3"/>
  <c r="E339" i="22"/>
  <c r="D341" i="22"/>
  <c r="O805" i="3"/>
  <c r="H163" i="24"/>
  <c r="H162" i="24"/>
  <c r="H165" i="24"/>
  <c r="H164" i="24"/>
  <c r="H161" i="24"/>
  <c r="H160" i="24"/>
  <c r="L803" i="3"/>
  <c r="O252" i="3"/>
  <c r="Y154" i="24"/>
  <c r="E158" i="24" s="1"/>
  <c r="L719" i="3"/>
  <c r="O712" i="3"/>
  <c r="O795" i="3"/>
  <c r="G204" i="22"/>
  <c r="I841" i="3"/>
  <c r="N841" i="3" s="1"/>
  <c r="E55" i="24"/>
  <c r="E56" i="24"/>
  <c r="E54" i="24"/>
  <c r="E51" i="24"/>
  <c r="E52" i="24"/>
  <c r="E53" i="24"/>
  <c r="G182" i="22"/>
  <c r="D52" i="21"/>
  <c r="O813" i="3"/>
  <c r="L828" i="3"/>
  <c r="O828" i="3" s="1"/>
  <c r="O699" i="3"/>
  <c r="G206" i="22"/>
  <c r="V154" i="24"/>
  <c r="D158" i="24" s="1"/>
  <c r="L784" i="3"/>
  <c r="O785" i="3"/>
  <c r="E208" i="22"/>
  <c r="M841" i="3"/>
  <c r="L825" i="3"/>
  <c r="O825" i="3" s="1"/>
  <c r="O689" i="3"/>
  <c r="I162" i="24"/>
  <c r="I164" i="24"/>
  <c r="I161" i="24"/>
  <c r="I165" i="24"/>
  <c r="I160" i="24"/>
  <c r="I163" i="24"/>
  <c r="O731" i="3"/>
  <c r="H50" i="24"/>
  <c r="H57" i="24" s="1"/>
  <c r="F212" i="24" s="1"/>
  <c r="L65" i="40"/>
  <c r="L147" i="40" s="1"/>
  <c r="L938" i="3"/>
  <c r="O938" i="3" s="1"/>
  <c r="O937" i="3"/>
  <c r="L911" i="3"/>
  <c r="E326" i="22"/>
  <c r="E52" i="21" s="1"/>
  <c r="F324" i="22"/>
  <c r="V122" i="24" l="1"/>
  <c r="D126" i="24" s="1"/>
  <c r="V140" i="40"/>
  <c r="H131" i="24"/>
  <c r="H129" i="24"/>
  <c r="AR176" i="40"/>
  <c r="H132" i="24"/>
  <c r="H133" i="24"/>
  <c r="H130" i="24"/>
  <c r="Y122" i="24"/>
  <c r="E126" i="24" s="1"/>
  <c r="E133" i="24" s="1"/>
  <c r="L77" i="40"/>
  <c r="L527" i="22"/>
  <c r="L500" i="22" s="1"/>
  <c r="J10" i="40"/>
  <c r="AK10" i="40" s="1"/>
  <c r="AK140" i="40" s="1"/>
  <c r="AF140" i="40"/>
  <c r="M147" i="40"/>
  <c r="AO147" i="40" s="1"/>
  <c r="I133" i="24"/>
  <c r="I131" i="24"/>
  <c r="I130" i="24"/>
  <c r="I132" i="24"/>
  <c r="I128" i="24"/>
  <c r="L794" i="3"/>
  <c r="L801" i="3" s="1"/>
  <c r="M180" i="40"/>
  <c r="AT180" i="40" s="1"/>
  <c r="O764" i="3"/>
  <c r="AO180" i="40"/>
  <c r="AP180" i="40" s="1"/>
  <c r="I159" i="24"/>
  <c r="I166" i="24" s="1"/>
  <c r="I167" i="24" s="1"/>
  <c r="L804" i="3"/>
  <c r="O804" i="3" s="1"/>
  <c r="L739" i="3"/>
  <c r="O739" i="3" s="1"/>
  <c r="L933" i="3"/>
  <c r="O933" i="3" s="1"/>
  <c r="O722" i="3"/>
  <c r="L941" i="3"/>
  <c r="L942" i="3" s="1"/>
  <c r="O942" i="3" s="1"/>
  <c r="H159" i="24"/>
  <c r="H166" i="24" s="1"/>
  <c r="F215" i="24" s="1"/>
  <c r="N844" i="3"/>
  <c r="G215" i="22"/>
  <c r="G216" i="22" s="1"/>
  <c r="D163" i="24"/>
  <c r="D165" i="24"/>
  <c r="D160" i="24"/>
  <c r="D164" i="24"/>
  <c r="D161" i="24"/>
  <c r="D162" i="24"/>
  <c r="L834" i="3"/>
  <c r="O834" i="3" s="1"/>
  <c r="O719" i="3"/>
  <c r="O742" i="3"/>
  <c r="L749" i="3"/>
  <c r="L912" i="3"/>
  <c r="O912" i="3" s="1"/>
  <c r="O911" i="3"/>
  <c r="I24" i="40"/>
  <c r="E164" i="24"/>
  <c r="E165" i="24"/>
  <c r="E161" i="24"/>
  <c r="E163" i="24"/>
  <c r="E162" i="24"/>
  <c r="E160" i="24"/>
  <c r="E341" i="22"/>
  <c r="E55" i="21" s="1"/>
  <c r="F339" i="22"/>
  <c r="L774" i="3"/>
  <c r="O775" i="3"/>
  <c r="L829" i="3"/>
  <c r="O829" i="3" s="1"/>
  <c r="O771" i="3"/>
  <c r="D130" i="24"/>
  <c r="D131" i="24"/>
  <c r="D132" i="24"/>
  <c r="D133" i="24"/>
  <c r="D129" i="24"/>
  <c r="D128" i="24"/>
  <c r="L791" i="3"/>
  <c r="O784" i="3"/>
  <c r="G220" i="22"/>
  <c r="D55" i="21"/>
  <c r="I57" i="24"/>
  <c r="M49" i="24" s="1"/>
  <c r="F326" i="22"/>
  <c r="G324" i="22"/>
  <c r="E50" i="24"/>
  <c r="L814" i="3"/>
  <c r="E220" i="22"/>
  <c r="E221" i="22" s="1"/>
  <c r="E209" i="22"/>
  <c r="G208" i="22"/>
  <c r="G209" i="22" s="1"/>
  <c r="O803" i="3"/>
  <c r="L709" i="3"/>
  <c r="O702" i="3"/>
  <c r="K216" i="22"/>
  <c r="E28" i="21"/>
  <c r="G28" i="21" s="1"/>
  <c r="L837" i="3"/>
  <c r="O837" i="3" s="1"/>
  <c r="O729" i="3"/>
  <c r="L826" i="3"/>
  <c r="O761" i="3"/>
  <c r="D50" i="24"/>
  <c r="D57" i="24" s="1"/>
  <c r="D212" i="24" s="1"/>
  <c r="E128" i="24" l="1"/>
  <c r="E129" i="24"/>
  <c r="E132" i="24"/>
  <c r="H127" i="24"/>
  <c r="H134" i="24" s="1"/>
  <c r="F214" i="24" s="1"/>
  <c r="F217" i="24" s="1"/>
  <c r="K213" i="24" s="1"/>
  <c r="E130" i="24"/>
  <c r="E131" i="24"/>
  <c r="D27" i="40"/>
  <c r="L73" i="40"/>
  <c r="L148" i="40" s="1"/>
  <c r="M148" i="40" s="1"/>
  <c r="AO148" i="40" s="1"/>
  <c r="M77" i="40"/>
  <c r="M73" i="40" s="1"/>
  <c r="G221" i="22"/>
  <c r="I26" i="40" s="1"/>
  <c r="D26" i="40"/>
  <c r="I25" i="40"/>
  <c r="D25" i="40"/>
  <c r="I127" i="24"/>
  <c r="I134" i="24" s="1"/>
  <c r="O794" i="3"/>
  <c r="L811" i="3"/>
  <c r="O811" i="3" s="1"/>
  <c r="M157" i="24"/>
  <c r="O941" i="3"/>
  <c r="M158" i="24"/>
  <c r="L840" i="3"/>
  <c r="O840" i="3" s="1"/>
  <c r="D159" i="24"/>
  <c r="D166" i="24" s="1"/>
  <c r="D215" i="24" s="1"/>
  <c r="I27" i="40"/>
  <c r="O814" i="3"/>
  <c r="L821" i="3"/>
  <c r="L843" i="3"/>
  <c r="O843" i="3" s="1"/>
  <c r="O749" i="3"/>
  <c r="K221" i="22"/>
  <c r="E29" i="21"/>
  <c r="G29" i="21" s="1"/>
  <c r="L838" i="3"/>
  <c r="O801" i="3"/>
  <c r="L781" i="3"/>
  <c r="O774" i="3"/>
  <c r="L835" i="3"/>
  <c r="O791" i="3"/>
  <c r="D127" i="24"/>
  <c r="D134" i="24" s="1"/>
  <c r="D214" i="24" s="1"/>
  <c r="G339" i="22"/>
  <c r="F341" i="22"/>
  <c r="E159" i="24"/>
  <c r="G215" i="24"/>
  <c r="C54" i="22"/>
  <c r="C334" i="22" s="1"/>
  <c r="D334" i="22" s="1"/>
  <c r="L831" i="3"/>
  <c r="O831" i="3" s="1"/>
  <c r="O709" i="3"/>
  <c r="K209" i="22"/>
  <c r="E27" i="21"/>
  <c r="E57" i="24"/>
  <c r="H324" i="22"/>
  <c r="G326" i="22"/>
  <c r="I58" i="24"/>
  <c r="M48" i="24"/>
  <c r="F52" i="21"/>
  <c r="G52" i="21" s="1"/>
  <c r="K326" i="22"/>
  <c r="J175" i="22"/>
  <c r="G24" i="40" s="1"/>
  <c r="O826" i="3"/>
  <c r="F218" i="24" l="1"/>
  <c r="K218" i="24" s="1"/>
  <c r="E127" i="24"/>
  <c r="E134" i="24" s="1"/>
  <c r="Q105" i="22"/>
  <c r="Q110" i="22" s="1"/>
  <c r="U10" i="40" s="1"/>
  <c r="U140" i="40" s="1"/>
  <c r="L841" i="3"/>
  <c r="J208" i="22" s="1"/>
  <c r="K215" i="24"/>
  <c r="K214" i="24"/>
  <c r="K216" i="24"/>
  <c r="K217" i="24"/>
  <c r="G217" i="24"/>
  <c r="K212" i="24"/>
  <c r="G212" i="24"/>
  <c r="C51" i="22"/>
  <c r="C319" i="22" s="1"/>
  <c r="D319" i="22" s="1"/>
  <c r="E58" i="24"/>
  <c r="E212" i="24" s="1"/>
  <c r="L48" i="24"/>
  <c r="D218" i="24"/>
  <c r="L832" i="3"/>
  <c r="O781" i="3"/>
  <c r="I54" i="40"/>
  <c r="I176" i="40"/>
  <c r="L49" i="24"/>
  <c r="F55" i="21"/>
  <c r="G55" i="21" s="1"/>
  <c r="K341" i="22"/>
  <c r="I135" i="24"/>
  <c r="M125" i="24"/>
  <c r="L844" i="3"/>
  <c r="O821" i="3"/>
  <c r="H326" i="22"/>
  <c r="J54" i="40" s="1"/>
  <c r="I324" i="22"/>
  <c r="D217" i="24"/>
  <c r="G27" i="21"/>
  <c r="G21" i="21" s="1"/>
  <c r="G10" i="21" s="1"/>
  <c r="E21" i="21"/>
  <c r="E173" i="21"/>
  <c r="D336" i="22"/>
  <c r="E334" i="22"/>
  <c r="H339" i="22"/>
  <c r="G341" i="22"/>
  <c r="J206" i="22"/>
  <c r="O835" i="3"/>
  <c r="M126" i="24"/>
  <c r="J179" i="22"/>
  <c r="J178" i="22"/>
  <c r="E166" i="24"/>
  <c r="I21" i="40"/>
  <c r="J213" i="22"/>
  <c r="O838" i="3"/>
  <c r="G218" i="24" l="1"/>
  <c r="AE10" i="40"/>
  <c r="AE140" i="40" s="1"/>
  <c r="O841" i="3"/>
  <c r="J182" i="22"/>
  <c r="L182" i="22" s="1"/>
  <c r="I10" i="40"/>
  <c r="I142" i="40"/>
  <c r="E336" i="22"/>
  <c r="E54" i="21" s="1"/>
  <c r="F334" i="22"/>
  <c r="G214" i="24"/>
  <c r="C53" i="22"/>
  <c r="C329" i="22" s="1"/>
  <c r="D329" i="22" s="1"/>
  <c r="J204" i="22"/>
  <c r="G27" i="40" s="1"/>
  <c r="O832" i="3"/>
  <c r="E167" i="24"/>
  <c r="E215" i="24" s="1"/>
  <c r="H215" i="24" s="1"/>
  <c r="L157" i="24"/>
  <c r="J217" i="24"/>
  <c r="E217" i="24"/>
  <c r="H217" i="24" s="1"/>
  <c r="J213" i="24"/>
  <c r="J216" i="24"/>
  <c r="J215" i="24"/>
  <c r="J212" i="24"/>
  <c r="H341" i="22"/>
  <c r="J57" i="40" s="1"/>
  <c r="I339" i="22"/>
  <c r="E10" i="21"/>
  <c r="E139" i="21"/>
  <c r="D54" i="21"/>
  <c r="E135" i="24"/>
  <c r="E214" i="24" s="1"/>
  <c r="L125" i="24"/>
  <c r="J218" i="24"/>
  <c r="E218" i="24"/>
  <c r="H218" i="24" s="1"/>
  <c r="D321" i="22"/>
  <c r="E319" i="22"/>
  <c r="L158" i="24"/>
  <c r="I57" i="40"/>
  <c r="AA173" i="21"/>
  <c r="AC173" i="21" s="1"/>
  <c r="AE173" i="21"/>
  <c r="G173" i="21"/>
  <c r="AG173" i="21" s="1"/>
  <c r="I326" i="22"/>
  <c r="K54" i="40" s="1"/>
  <c r="J324" i="22"/>
  <c r="J326" i="22" s="1"/>
  <c r="L54" i="40" s="1"/>
  <c r="J215" i="22"/>
  <c r="J216" i="22" s="1"/>
  <c r="L216" i="22" s="1"/>
  <c r="O844" i="3"/>
  <c r="L126" i="24"/>
  <c r="AQ176" i="40"/>
  <c r="AL176" i="40"/>
  <c r="J214" i="24"/>
  <c r="H212" i="24"/>
  <c r="G25" i="40" l="1"/>
  <c r="L326" i="22"/>
  <c r="L24" i="40"/>
  <c r="M24" i="40" s="1"/>
  <c r="M54" i="40"/>
  <c r="F319" i="22"/>
  <c r="E321" i="22"/>
  <c r="E51" i="21" s="1"/>
  <c r="G139" i="21"/>
  <c r="E137" i="21"/>
  <c r="D331" i="22"/>
  <c r="E329" i="22"/>
  <c r="I140" i="40"/>
  <c r="D51" i="21"/>
  <c r="Z10" i="21"/>
  <c r="H214" i="24"/>
  <c r="AJ10" i="40"/>
  <c r="J339" i="22"/>
  <c r="J341" i="22" s="1"/>
  <c r="L57" i="40" s="1"/>
  <c r="I341" i="22"/>
  <c r="K57" i="40" s="1"/>
  <c r="J220" i="22"/>
  <c r="J209" i="22"/>
  <c r="L209" i="22" s="1"/>
  <c r="F336" i="22"/>
  <c r="F54" i="21" s="1"/>
  <c r="G54" i="21" s="1"/>
  <c r="G334" i="22"/>
  <c r="L25" i="40"/>
  <c r="M25" i="40" s="1"/>
  <c r="J221" i="22" l="1"/>
  <c r="L221" i="22" s="1"/>
  <c r="L160" i="22" s="1"/>
  <c r="G26" i="40"/>
  <c r="L341" i="22"/>
  <c r="M57" i="40"/>
  <c r="L27" i="40"/>
  <c r="AC139" i="21"/>
  <c r="G137" i="21"/>
  <c r="AB10" i="21"/>
  <c r="Z137" i="21"/>
  <c r="F329" i="22"/>
  <c r="E331" i="22"/>
  <c r="E53" i="21" s="1"/>
  <c r="E50" i="21" s="1"/>
  <c r="H334" i="22"/>
  <c r="G336" i="22"/>
  <c r="AJ140" i="40"/>
  <c r="D53" i="21"/>
  <c r="D50" i="21" s="1"/>
  <c r="G319" i="22"/>
  <c r="F321" i="22"/>
  <c r="F51" i="21" s="1"/>
  <c r="K336" i="22"/>
  <c r="T105" i="22" l="1"/>
  <c r="T110" i="22" s="1"/>
  <c r="X10" i="40" s="1"/>
  <c r="X140" i="40" s="1"/>
  <c r="L26" i="40"/>
  <c r="M26" i="40" s="1"/>
  <c r="D170" i="21"/>
  <c r="AD170" i="21" s="1"/>
  <c r="D199" i="21" s="1"/>
  <c r="D143" i="21"/>
  <c r="D49" i="21"/>
  <c r="E49" i="21"/>
  <c r="E143" i="21"/>
  <c r="E142" i="21" s="1"/>
  <c r="E154" i="21" s="1"/>
  <c r="G321" i="22"/>
  <c r="H319" i="22"/>
  <c r="G329" i="22"/>
  <c r="F331" i="22"/>
  <c r="F53" i="21" s="1"/>
  <c r="F170" i="21" s="1"/>
  <c r="K321" i="22"/>
  <c r="E170" i="21"/>
  <c r="I56" i="40"/>
  <c r="H336" i="22"/>
  <c r="J56" i="40" s="1"/>
  <c r="I334" i="22"/>
  <c r="AB137" i="21"/>
  <c r="AC137" i="21" s="1"/>
  <c r="G51" i="21"/>
  <c r="M27" i="40"/>
  <c r="AH10" i="40" l="1"/>
  <c r="AH140" i="40" s="1"/>
  <c r="L21" i="40"/>
  <c r="L142" i="40" s="1"/>
  <c r="M21" i="40"/>
  <c r="M10" i="40" s="1"/>
  <c r="E267" i="40"/>
  <c r="Y10" i="40"/>
  <c r="U110" i="22"/>
  <c r="L176" i="40"/>
  <c r="AO176" i="40" s="1"/>
  <c r="AP176" i="40" s="1"/>
  <c r="U105" i="22"/>
  <c r="Y140" i="40"/>
  <c r="K331" i="22"/>
  <c r="Z170" i="21"/>
  <c r="Z199" i="21"/>
  <c r="AC199" i="21" s="1"/>
  <c r="G199" i="21"/>
  <c r="AG199" i="21" s="1"/>
  <c r="D222" i="21"/>
  <c r="AD199" i="21"/>
  <c r="AF170" i="21"/>
  <c r="AB170" i="21"/>
  <c r="G170" i="21"/>
  <c r="AG170" i="21" s="1"/>
  <c r="H329" i="22"/>
  <c r="G331" i="22"/>
  <c r="Z49" i="21"/>
  <c r="E129" i="21"/>
  <c r="I336" i="22"/>
  <c r="K56" i="40" s="1"/>
  <c r="J334" i="22"/>
  <c r="J336" i="22" s="1"/>
  <c r="L56" i="40" s="1"/>
  <c r="F50" i="21"/>
  <c r="H321" i="22"/>
  <c r="J53" i="40" s="1"/>
  <c r="I319" i="22"/>
  <c r="Y49" i="21"/>
  <c r="D129" i="21"/>
  <c r="D131" i="21" s="1"/>
  <c r="AE170" i="21"/>
  <c r="AA170" i="21"/>
  <c r="G53" i="21"/>
  <c r="G50" i="21" s="1"/>
  <c r="G49" i="21" s="1"/>
  <c r="G129" i="21" s="1"/>
  <c r="I53" i="40"/>
  <c r="D142" i="21"/>
  <c r="D154" i="21" s="1"/>
  <c r="D156" i="21" s="1"/>
  <c r="AI10" i="40" l="1"/>
  <c r="E255" i="40" s="1"/>
  <c r="L10" i="40"/>
  <c r="C267" i="40" s="1"/>
  <c r="F267" i="40" s="1"/>
  <c r="M176" i="40"/>
  <c r="AT176" i="40" s="1"/>
  <c r="AS176" i="40"/>
  <c r="Q106" i="22"/>
  <c r="Q111" i="22" s="1"/>
  <c r="U51" i="40" s="1"/>
  <c r="L336" i="22"/>
  <c r="AI140" i="40"/>
  <c r="M56" i="40"/>
  <c r="AC170" i="21"/>
  <c r="Y129" i="21"/>
  <c r="Y131" i="21" s="1"/>
  <c r="Y142" i="21"/>
  <c r="E130" i="21"/>
  <c r="E131" i="21" s="1"/>
  <c r="D242" i="21"/>
  <c r="I245" i="40" s="1"/>
  <c r="D241" i="21"/>
  <c r="I321" i="22"/>
  <c r="J319" i="22"/>
  <c r="J321" i="22" s="1"/>
  <c r="L53" i="40" s="1"/>
  <c r="Z142" i="21"/>
  <c r="Z154" i="21" s="1"/>
  <c r="Z129" i="21"/>
  <c r="G222" i="21"/>
  <c r="AG222" i="21" s="1"/>
  <c r="Z222" i="21"/>
  <c r="AC222" i="21" s="1"/>
  <c r="AD222" i="21"/>
  <c r="I55" i="40"/>
  <c r="I52" i="40" s="1"/>
  <c r="L140" i="40"/>
  <c r="M142" i="40"/>
  <c r="D187" i="21"/>
  <c r="D232" i="21"/>
  <c r="D158" i="21"/>
  <c r="D214" i="21"/>
  <c r="F143" i="21"/>
  <c r="F49" i="21"/>
  <c r="H331" i="22"/>
  <c r="I329" i="22"/>
  <c r="AM10" i="40" l="1"/>
  <c r="AN10" i="40" s="1"/>
  <c r="F255" i="40" s="1"/>
  <c r="L321" i="22"/>
  <c r="Q113" i="22"/>
  <c r="AE51" i="40"/>
  <c r="U145" i="40"/>
  <c r="U157" i="40" s="1"/>
  <c r="U158" i="40" s="1"/>
  <c r="U132" i="40"/>
  <c r="J55" i="40"/>
  <c r="J52" i="40" s="1"/>
  <c r="J51" i="40" s="1"/>
  <c r="R106" i="22"/>
  <c r="I173" i="40"/>
  <c r="AQ173" i="40" s="1"/>
  <c r="AO142" i="40"/>
  <c r="M140" i="40"/>
  <c r="C255" i="40" s="1"/>
  <c r="G255" i="40" s="1"/>
  <c r="J329" i="22"/>
  <c r="J331" i="22" s="1"/>
  <c r="I331" i="22"/>
  <c r="Y154" i="21"/>
  <c r="I146" i="40"/>
  <c r="I51" i="40"/>
  <c r="K53" i="40"/>
  <c r="Z232" i="21"/>
  <c r="Z187" i="21"/>
  <c r="Z214" i="21"/>
  <c r="Z132" i="21"/>
  <c r="F142" i="21"/>
  <c r="F154" i="21" s="1"/>
  <c r="G143" i="21"/>
  <c r="AA49" i="21"/>
  <c r="F129" i="21"/>
  <c r="E155" i="21"/>
  <c r="E184" i="21"/>
  <c r="Z130" i="21"/>
  <c r="Z131" i="21" s="1"/>
  <c r="I255" i="40" l="1"/>
  <c r="H255" i="40"/>
  <c r="AM140" i="40"/>
  <c r="AN140" i="40" s="1"/>
  <c r="AO140" i="40" s="1"/>
  <c r="S106" i="22"/>
  <c r="S111" i="22" s="1"/>
  <c r="S113" i="22" s="1"/>
  <c r="L331" i="22"/>
  <c r="L316" i="22" s="1"/>
  <c r="L785" i="22" s="1"/>
  <c r="R111" i="22"/>
  <c r="V51" i="40" s="1"/>
  <c r="AE145" i="40"/>
  <c r="AE157" i="40" s="1"/>
  <c r="AE132" i="40"/>
  <c r="U159" i="40"/>
  <c r="AE158" i="40"/>
  <c r="U133" i="40"/>
  <c r="W187" i="40" s="1"/>
  <c r="J146" i="40"/>
  <c r="J145" i="40" s="1"/>
  <c r="J173" i="40"/>
  <c r="AR173" i="40" s="1"/>
  <c r="L55" i="40"/>
  <c r="L52" i="40" s="1"/>
  <c r="L146" i="40" s="1"/>
  <c r="T106" i="22"/>
  <c r="T111" i="22" s="1"/>
  <c r="AL173" i="40"/>
  <c r="AA132" i="21"/>
  <c r="Z155" i="21"/>
  <c r="F130" i="21"/>
  <c r="F131" i="21" s="1"/>
  <c r="I145" i="40"/>
  <c r="K55" i="40"/>
  <c r="E196" i="21"/>
  <c r="E211" i="21"/>
  <c r="E185" i="21"/>
  <c r="E187" i="21" s="1"/>
  <c r="E204" i="21"/>
  <c r="E209" i="21"/>
  <c r="E201" i="21"/>
  <c r="E195" i="21"/>
  <c r="E194" i="21"/>
  <c r="E210" i="21"/>
  <c r="E207" i="21"/>
  <c r="E205" i="21"/>
  <c r="E197" i="21"/>
  <c r="E198" i="21"/>
  <c r="E193" i="21"/>
  <c r="AA184" i="21"/>
  <c r="E208" i="21"/>
  <c r="E203" i="21"/>
  <c r="E200" i="21"/>
  <c r="E206" i="21"/>
  <c r="E202" i="21"/>
  <c r="E199" i="21"/>
  <c r="AA142" i="21"/>
  <c r="AA129" i="21"/>
  <c r="AB49" i="21"/>
  <c r="AB129" i="21" s="1"/>
  <c r="J132" i="40"/>
  <c r="E156" i="21"/>
  <c r="AC143" i="21"/>
  <c r="G142" i="21"/>
  <c r="G154" i="21" s="1"/>
  <c r="M53" i="40"/>
  <c r="Y156" i="21"/>
  <c r="Z158" i="21" s="1"/>
  <c r="AJ51" i="40"/>
  <c r="I132" i="40"/>
  <c r="W51" i="40" l="1"/>
  <c r="AG51" i="40" s="1"/>
  <c r="R113" i="22"/>
  <c r="U106" i="22"/>
  <c r="W214" i="40"/>
  <c r="W232" i="40" s="1"/>
  <c r="W211" i="40"/>
  <c r="W230" i="40" s="1"/>
  <c r="W202" i="40"/>
  <c r="W213" i="40"/>
  <c r="W210" i="40"/>
  <c r="W229" i="40" s="1"/>
  <c r="W206" i="40"/>
  <c r="W208" i="40"/>
  <c r="W203" i="40"/>
  <c r="W205" i="40"/>
  <c r="W188" i="40"/>
  <c r="W198" i="40"/>
  <c r="W209" i="40"/>
  <c r="W227" i="40" s="1"/>
  <c r="W196" i="40"/>
  <c r="W199" i="40"/>
  <c r="W207" i="40"/>
  <c r="W197" i="40"/>
  <c r="W223" i="40" s="1"/>
  <c r="W204" i="40"/>
  <c r="W200" i="40"/>
  <c r="W201" i="40"/>
  <c r="W212" i="40"/>
  <c r="W231" i="40" s="1"/>
  <c r="U134" i="40"/>
  <c r="W161" i="40" s="1"/>
  <c r="AF51" i="40"/>
  <c r="V145" i="40"/>
  <c r="V157" i="40" s="1"/>
  <c r="V158" i="40" s="1"/>
  <c r="V132" i="40"/>
  <c r="L173" i="40"/>
  <c r="AO173" i="40" s="1"/>
  <c r="AN173" i="40"/>
  <c r="T113" i="22"/>
  <c r="X51" i="40"/>
  <c r="W145" i="40"/>
  <c r="L51" i="40"/>
  <c r="L132" i="40" s="1"/>
  <c r="M55" i="40"/>
  <c r="M52" i="40" s="1"/>
  <c r="U111" i="22"/>
  <c r="J157" i="40"/>
  <c r="L145" i="40"/>
  <c r="L157" i="40" s="1"/>
  <c r="I133" i="40"/>
  <c r="I157" i="40"/>
  <c r="K52" i="40"/>
  <c r="K51" i="40" s="1"/>
  <c r="AA202" i="21"/>
  <c r="AA208" i="21"/>
  <c r="E227" i="21"/>
  <c r="AA197" i="21"/>
  <c r="E228" i="21"/>
  <c r="AA209" i="21"/>
  <c r="AA196" i="21"/>
  <c r="E224" i="21"/>
  <c r="AA206" i="21"/>
  <c r="AA185" i="21"/>
  <c r="AA187" i="21" s="1"/>
  <c r="AA205" i="21"/>
  <c r="E220" i="21"/>
  <c r="AA194" i="21"/>
  <c r="AA204" i="21"/>
  <c r="J133" i="40"/>
  <c r="AA154" i="21"/>
  <c r="AB142" i="21"/>
  <c r="AC142" i="21" s="1"/>
  <c r="AA200" i="21"/>
  <c r="AA193" i="21"/>
  <c r="AA212" i="21" s="1"/>
  <c r="AA214" i="21" s="1"/>
  <c r="E212" i="21"/>
  <c r="AE198" i="21" s="1"/>
  <c r="E225" i="21"/>
  <c r="AA207" i="21"/>
  <c r="E226" i="21"/>
  <c r="AA195" i="21"/>
  <c r="E221" i="21"/>
  <c r="Z156" i="21"/>
  <c r="AA158" i="21" s="1"/>
  <c r="AJ145" i="40"/>
  <c r="AJ132" i="40"/>
  <c r="E241" i="21"/>
  <c r="E242" i="21"/>
  <c r="J245" i="40" s="1"/>
  <c r="E158" i="21"/>
  <c r="AA199" i="21"/>
  <c r="E222" i="21"/>
  <c r="AA203" i="21"/>
  <c r="AA198" i="21"/>
  <c r="AA210" i="21"/>
  <c r="E223" i="21"/>
  <c r="AA201" i="21"/>
  <c r="E229" i="21"/>
  <c r="AA211" i="21"/>
  <c r="F184" i="21"/>
  <c r="F155" i="21"/>
  <c r="AA130" i="21"/>
  <c r="G130" i="21"/>
  <c r="G131" i="21" s="1"/>
  <c r="U113" i="22" l="1"/>
  <c r="W226" i="40"/>
  <c r="W132" i="40"/>
  <c r="Y51" i="40"/>
  <c r="Y132" i="40" s="1"/>
  <c r="AS173" i="40"/>
  <c r="M173" i="40"/>
  <c r="AT173" i="40" s="1"/>
  <c r="V159" i="40"/>
  <c r="V133" i="40"/>
  <c r="AF158" i="40"/>
  <c r="W224" i="40"/>
  <c r="W225" i="40"/>
  <c r="AP173" i="40"/>
  <c r="AF145" i="40"/>
  <c r="AF157" i="40" s="1"/>
  <c r="AF132" i="40"/>
  <c r="AK51" i="40"/>
  <c r="W190" i="40"/>
  <c r="W215" i="40"/>
  <c r="W217" i="40" s="1"/>
  <c r="W228" i="40"/>
  <c r="C269" i="40"/>
  <c r="AH51" i="40"/>
  <c r="AI51" i="40" s="1"/>
  <c r="X145" i="40"/>
  <c r="X157" i="40" s="1"/>
  <c r="X132" i="40"/>
  <c r="W157" i="40"/>
  <c r="AG145" i="40"/>
  <c r="AG132" i="40"/>
  <c r="J134" i="40"/>
  <c r="I134" i="40"/>
  <c r="M51" i="40"/>
  <c r="I158" i="40"/>
  <c r="I159" i="40" s="1"/>
  <c r="M160" i="40" s="1"/>
  <c r="I187" i="40"/>
  <c r="K146" i="40"/>
  <c r="AA223" i="21"/>
  <c r="AA222" i="21"/>
  <c r="AE212" i="21"/>
  <c r="E214" i="21"/>
  <c r="AE204" i="21"/>
  <c r="F156" i="21"/>
  <c r="G155" i="21"/>
  <c r="G156" i="21" s="1"/>
  <c r="G158" i="21" s="1"/>
  <c r="AE211" i="21"/>
  <c r="AE210" i="21"/>
  <c r="AE195" i="21"/>
  <c r="AE207" i="21"/>
  <c r="AA224" i="21"/>
  <c r="AL51" i="40"/>
  <c r="K132" i="40"/>
  <c r="AE209" i="21"/>
  <c r="AA227" i="21"/>
  <c r="AE202" i="21"/>
  <c r="F195" i="21"/>
  <c r="F205" i="21"/>
  <c r="F210" i="21"/>
  <c r="AB184" i="21"/>
  <c r="F208" i="21"/>
  <c r="F211" i="21"/>
  <c r="F197" i="21"/>
  <c r="F204" i="21"/>
  <c r="F196" i="21"/>
  <c r="F201" i="21"/>
  <c r="F194" i="21"/>
  <c r="F209" i="21"/>
  <c r="F207" i="21"/>
  <c r="F203" i="21"/>
  <c r="F185" i="21"/>
  <c r="F187" i="21" s="1"/>
  <c r="F198" i="21"/>
  <c r="F193" i="21"/>
  <c r="F200" i="21"/>
  <c r="F202" i="21"/>
  <c r="F206" i="21"/>
  <c r="F199" i="21"/>
  <c r="G184" i="21"/>
  <c r="G185" i="21" s="1"/>
  <c r="G187" i="21" s="1"/>
  <c r="AE203" i="21"/>
  <c r="AJ157" i="40"/>
  <c r="AA221" i="21"/>
  <c r="AE193" i="21"/>
  <c r="AB154" i="21"/>
  <c r="AA220" i="21"/>
  <c r="AA230" i="21" s="1"/>
  <c r="AA232" i="21" s="1"/>
  <c r="E230" i="21"/>
  <c r="AE220" i="21" s="1"/>
  <c r="AE206" i="21"/>
  <c r="L133" i="40"/>
  <c r="AA228" i="21"/>
  <c r="AE208" i="21"/>
  <c r="AA155" i="21"/>
  <c r="AB155" i="21" s="1"/>
  <c r="AC155" i="21" s="1"/>
  <c r="AB130" i="21"/>
  <c r="AB131" i="21" s="1"/>
  <c r="AA229" i="21"/>
  <c r="AA226" i="21"/>
  <c r="AE205" i="21"/>
  <c r="K145" i="40"/>
  <c r="M145" i="40" s="1"/>
  <c r="C257" i="40" s="1"/>
  <c r="G232" i="21"/>
  <c r="G214" i="21"/>
  <c r="AE201" i="21"/>
  <c r="AE199" i="21"/>
  <c r="AA225" i="21"/>
  <c r="AE200" i="21"/>
  <c r="J158" i="40"/>
  <c r="J187" i="40"/>
  <c r="AE194" i="21"/>
  <c r="AA131" i="21"/>
  <c r="AE196" i="21"/>
  <c r="AE197" i="21"/>
  <c r="W233" i="40" l="1"/>
  <c r="W235" i="40" s="1"/>
  <c r="AF133" i="40"/>
  <c r="Y187" i="40"/>
  <c r="AK145" i="40"/>
  <c r="AK157" i="40" s="1"/>
  <c r="AK132" i="40"/>
  <c r="AF159" i="40"/>
  <c r="V134" i="40"/>
  <c r="Y161" i="40" s="1"/>
  <c r="Y145" i="40"/>
  <c r="E269" i="40"/>
  <c r="F269" i="40" s="1"/>
  <c r="X158" i="40"/>
  <c r="X159" i="40" s="1"/>
  <c r="AH145" i="40"/>
  <c r="AH157" i="40" s="1"/>
  <c r="AH132" i="40"/>
  <c r="AM51" i="40"/>
  <c r="AN51" i="40" s="1"/>
  <c r="F257" i="40" s="1"/>
  <c r="I257" i="40" s="1"/>
  <c r="AG157" i="40"/>
  <c r="W158" i="40"/>
  <c r="W159" i="40" s="1"/>
  <c r="Y157" i="40"/>
  <c r="E257" i="40"/>
  <c r="H257" i="40" s="1"/>
  <c r="AI132" i="40"/>
  <c r="G257" i="40"/>
  <c r="M146" i="40"/>
  <c r="AO146" i="40" s="1"/>
  <c r="L134" i="40"/>
  <c r="M244" i="40"/>
  <c r="I244" i="40"/>
  <c r="I161" i="40"/>
  <c r="I188" i="40"/>
  <c r="I190" i="40" s="1"/>
  <c r="I196" i="40"/>
  <c r="I211" i="40"/>
  <c r="I212" i="40"/>
  <c r="I214" i="40"/>
  <c r="I207" i="40"/>
  <c r="I204" i="40"/>
  <c r="I198" i="40"/>
  <c r="I208" i="40"/>
  <c r="I200" i="40"/>
  <c r="I199" i="40"/>
  <c r="I210" i="40"/>
  <c r="I197" i="40"/>
  <c r="I213" i="40"/>
  <c r="I206" i="40"/>
  <c r="I201" i="40"/>
  <c r="I203" i="40"/>
  <c r="I209" i="40"/>
  <c r="I205" i="40"/>
  <c r="I202" i="40"/>
  <c r="K157" i="40"/>
  <c r="AE229" i="21"/>
  <c r="AE228" i="21"/>
  <c r="AE227" i="21"/>
  <c r="AE223" i="21"/>
  <c r="AE226" i="21"/>
  <c r="AE221" i="21"/>
  <c r="AE225" i="21"/>
  <c r="AB132" i="21"/>
  <c r="F212" i="21"/>
  <c r="AF200" i="21" s="1"/>
  <c r="AB193" i="21"/>
  <c r="AB212" i="21" s="1"/>
  <c r="AB214" i="21" s="1"/>
  <c r="F225" i="21"/>
  <c r="AB196" i="21"/>
  <c r="AB195" i="21"/>
  <c r="F221" i="21"/>
  <c r="J159" i="40"/>
  <c r="AB198" i="21"/>
  <c r="AB204" i="21"/>
  <c r="K133" i="40"/>
  <c r="K236" i="21"/>
  <c r="G241" i="21"/>
  <c r="G242" i="21"/>
  <c r="J200" i="40"/>
  <c r="J213" i="40"/>
  <c r="J206" i="40"/>
  <c r="J214" i="40"/>
  <c r="J211" i="40"/>
  <c r="J197" i="40"/>
  <c r="J199" i="40"/>
  <c r="J198" i="40"/>
  <c r="J196" i="40"/>
  <c r="J201" i="40"/>
  <c r="J188" i="40"/>
  <c r="J190" i="40" s="1"/>
  <c r="J212" i="40"/>
  <c r="J208" i="40"/>
  <c r="J210" i="40"/>
  <c r="J207" i="40"/>
  <c r="J204" i="40"/>
  <c r="J203" i="40"/>
  <c r="J209" i="40"/>
  <c r="J205" i="40"/>
  <c r="J202" i="40"/>
  <c r="AB194" i="21"/>
  <c r="F220" i="21"/>
  <c r="AB210" i="21"/>
  <c r="AC214" i="21"/>
  <c r="AC232" i="21"/>
  <c r="AC132" i="21"/>
  <c r="AE230" i="21"/>
  <c r="E232" i="21"/>
  <c r="AA156" i="21"/>
  <c r="AB158" i="21" s="1"/>
  <c r="AB200" i="21"/>
  <c r="AB203" i="21"/>
  <c r="AB201" i="21"/>
  <c r="F223" i="21"/>
  <c r="F229" i="21"/>
  <c r="AB211" i="21"/>
  <c r="AB205" i="21"/>
  <c r="AE224" i="21"/>
  <c r="AE222" i="21"/>
  <c r="M157" i="40"/>
  <c r="L158" i="40"/>
  <c r="L159" i="40" s="1"/>
  <c r="L187" i="40"/>
  <c r="F222" i="21"/>
  <c r="AB199" i="21"/>
  <c r="AB207" i="21"/>
  <c r="F226" i="21"/>
  <c r="AB208" i="21"/>
  <c r="F227" i="21"/>
  <c r="AB206" i="21"/>
  <c r="F224" i="21"/>
  <c r="AB209" i="21"/>
  <c r="F228" i="21"/>
  <c r="AB185" i="21"/>
  <c r="AB187" i="21" s="1"/>
  <c r="AC184" i="21"/>
  <c r="AC185" i="21" s="1"/>
  <c r="AC187" i="21" s="1"/>
  <c r="AC154" i="21"/>
  <c r="AB156" i="21"/>
  <c r="AC156" i="21" s="1"/>
  <c r="AB202" i="21"/>
  <c r="AB197" i="21"/>
  <c r="AL145" i="40"/>
  <c r="AL132" i="40"/>
  <c r="F241" i="21"/>
  <c r="F242" i="21"/>
  <c r="K245" i="40" s="1"/>
  <c r="F158" i="21"/>
  <c r="D236" i="21"/>
  <c r="D238" i="21" s="1"/>
  <c r="Y208" i="40" l="1"/>
  <c r="AI208" i="40" s="1"/>
  <c r="AN208" i="40" s="1"/>
  <c r="Y213" i="40"/>
  <c r="AI213" i="40" s="1"/>
  <c r="AN213" i="40" s="1"/>
  <c r="Y211" i="40"/>
  <c r="Y201" i="40"/>
  <c r="AI201" i="40" s="1"/>
  <c r="AN201" i="40" s="1"/>
  <c r="Y209" i="40"/>
  <c r="Y199" i="40"/>
  <c r="AI199" i="40" s="1"/>
  <c r="AN199" i="40" s="1"/>
  <c r="Y197" i="40"/>
  <c r="Y198" i="40"/>
  <c r="Y205" i="40"/>
  <c r="AI205" i="40" s="1"/>
  <c r="AN205" i="40" s="1"/>
  <c r="Y200" i="40"/>
  <c r="AI200" i="40" s="1"/>
  <c r="AN200" i="40" s="1"/>
  <c r="AI187" i="40"/>
  <c r="Y206" i="40"/>
  <c r="AI206" i="40" s="1"/>
  <c r="AN206" i="40" s="1"/>
  <c r="Y214" i="40"/>
  <c r="Y203" i="40"/>
  <c r="AI203" i="40" s="1"/>
  <c r="AN203" i="40" s="1"/>
  <c r="Y188" i="40"/>
  <c r="Y190" i="40" s="1"/>
  <c r="Y204" i="40"/>
  <c r="Y210" i="40"/>
  <c r="Y202" i="40"/>
  <c r="Y212" i="40"/>
  <c r="Y196" i="40"/>
  <c r="Y207" i="40"/>
  <c r="AI207" i="40" s="1"/>
  <c r="AN207" i="40" s="1"/>
  <c r="AF134" i="40"/>
  <c r="AI161" i="40" s="1"/>
  <c r="AK133" i="40"/>
  <c r="AI145" i="40"/>
  <c r="AM132" i="40"/>
  <c r="AM145" i="40"/>
  <c r="AM157" i="40" s="1"/>
  <c r="X133" i="40"/>
  <c r="AH158" i="40"/>
  <c r="AH159" i="40" s="1"/>
  <c r="AI157" i="40"/>
  <c r="W133" i="40"/>
  <c r="AG158" i="40"/>
  <c r="AG159" i="40" s="1"/>
  <c r="Y158" i="40"/>
  <c r="Y159" i="40" s="1"/>
  <c r="E272" i="40"/>
  <c r="E273" i="40" s="1"/>
  <c r="AN132" i="40"/>
  <c r="K134" i="40"/>
  <c r="M209" i="40"/>
  <c r="I227" i="40"/>
  <c r="M200" i="40"/>
  <c r="I228" i="40"/>
  <c r="M196" i="40"/>
  <c r="I215" i="40"/>
  <c r="AQ209" i="40" s="1"/>
  <c r="M197" i="40"/>
  <c r="I223" i="40"/>
  <c r="I232" i="40"/>
  <c r="M214" i="40"/>
  <c r="M205" i="40"/>
  <c r="M206" i="40"/>
  <c r="M199" i="40"/>
  <c r="I226" i="40"/>
  <c r="M204" i="40"/>
  <c r="I230" i="40"/>
  <c r="M211" i="40"/>
  <c r="M213" i="40"/>
  <c r="M207" i="40"/>
  <c r="M203" i="40"/>
  <c r="M208" i="40"/>
  <c r="I225" i="40"/>
  <c r="M202" i="40"/>
  <c r="M201" i="40"/>
  <c r="M210" i="40"/>
  <c r="I229" i="40"/>
  <c r="I224" i="40"/>
  <c r="M198" i="40"/>
  <c r="M212" i="40"/>
  <c r="I231" i="40"/>
  <c r="AF204" i="21"/>
  <c r="AF209" i="21"/>
  <c r="AF199" i="21"/>
  <c r="AF208" i="21"/>
  <c r="AF207" i="21"/>
  <c r="AF205" i="21"/>
  <c r="AF211" i="21"/>
  <c r="AF210" i="21"/>
  <c r="AF202" i="21"/>
  <c r="AF201" i="21"/>
  <c r="J223" i="40"/>
  <c r="J244" i="40"/>
  <c r="P244" i="40"/>
  <c r="J161" i="40"/>
  <c r="AL157" i="40"/>
  <c r="L211" i="40"/>
  <c r="L212" i="40"/>
  <c r="L206" i="40"/>
  <c r="L188" i="40"/>
  <c r="L190" i="40" s="1"/>
  <c r="L199" i="40"/>
  <c r="L207" i="40"/>
  <c r="L208" i="40"/>
  <c r="L214" i="40"/>
  <c r="L204" i="40"/>
  <c r="L201" i="40"/>
  <c r="L198" i="40"/>
  <c r="L210" i="40"/>
  <c r="L196" i="40"/>
  <c r="L197" i="40"/>
  <c r="L200" i="40"/>
  <c r="L213" i="40"/>
  <c r="L203" i="40"/>
  <c r="L209" i="40"/>
  <c r="L205" i="40"/>
  <c r="L202" i="40"/>
  <c r="J225" i="40"/>
  <c r="J226" i="40"/>
  <c r="J231" i="40"/>
  <c r="J228" i="40"/>
  <c r="J215" i="40"/>
  <c r="AR208" i="40" s="1"/>
  <c r="J230" i="40"/>
  <c r="AF212" i="21"/>
  <c r="F214" i="21"/>
  <c r="AF197" i="21"/>
  <c r="AF206" i="21"/>
  <c r="AB226" i="21"/>
  <c r="AB222" i="21"/>
  <c r="K244" i="40"/>
  <c r="R244" i="40"/>
  <c r="AB223" i="21"/>
  <c r="AF203" i="21"/>
  <c r="AC158" i="21"/>
  <c r="AF194" i="21"/>
  <c r="J224" i="40"/>
  <c r="M187" i="40"/>
  <c r="M188" i="40" s="1"/>
  <c r="AB221" i="21"/>
  <c r="AF196" i="21"/>
  <c r="AF193" i="21"/>
  <c r="L161" i="40"/>
  <c r="AB229" i="21"/>
  <c r="AB228" i="21"/>
  <c r="AB224" i="21"/>
  <c r="AB227" i="21"/>
  <c r="AB220" i="21"/>
  <c r="AB230" i="21" s="1"/>
  <c r="AB232" i="21" s="1"/>
  <c r="F230" i="21"/>
  <c r="AF221" i="21" s="1"/>
  <c r="J227" i="40"/>
  <c r="J229" i="40"/>
  <c r="J232" i="40"/>
  <c r="K158" i="40"/>
  <c r="C272" i="40" s="1"/>
  <c r="M133" i="40"/>
  <c r="AF198" i="21"/>
  <c r="AF195" i="21"/>
  <c r="AB225" i="21"/>
  <c r="Y215" i="40" l="1"/>
  <c r="Y217" i="40" s="1"/>
  <c r="Y228" i="40"/>
  <c r="AI196" i="40"/>
  <c r="Y226" i="40"/>
  <c r="AI204" i="40"/>
  <c r="Y224" i="40"/>
  <c r="AI198" i="40"/>
  <c r="AK158" i="40"/>
  <c r="AK159" i="40" s="1"/>
  <c r="AK134" i="40"/>
  <c r="AK135" i="40" s="1"/>
  <c r="Y231" i="40"/>
  <c r="AI212" i="40"/>
  <c r="AI188" i="40"/>
  <c r="AI190" i="40" s="1"/>
  <c r="AN187" i="40"/>
  <c r="AN188" i="40" s="1"/>
  <c r="AN190" i="40" s="1"/>
  <c r="Y223" i="40"/>
  <c r="AI197" i="40"/>
  <c r="AI211" i="40"/>
  <c r="Y230" i="40"/>
  <c r="Y225" i="40"/>
  <c r="AI202" i="40"/>
  <c r="Y229" i="40"/>
  <c r="AI210" i="40"/>
  <c r="Y232" i="40"/>
  <c r="AI214" i="40"/>
  <c r="AI209" i="40"/>
  <c r="Y227" i="40"/>
  <c r="AN145" i="40"/>
  <c r="AO145" i="40" s="1"/>
  <c r="Z187" i="40"/>
  <c r="AH133" i="40"/>
  <c r="X134" i="40"/>
  <c r="Z161" i="40" s="1"/>
  <c r="W134" i="40"/>
  <c r="AG133" i="40"/>
  <c r="Y133" i="40"/>
  <c r="Y134" i="40" s="1"/>
  <c r="F272" i="40"/>
  <c r="F273" i="40" s="1"/>
  <c r="C273" i="40"/>
  <c r="AQ214" i="40"/>
  <c r="AQ197" i="40"/>
  <c r="AQ207" i="40"/>
  <c r="AQ213" i="40"/>
  <c r="AQ212" i="40"/>
  <c r="AQ198" i="40"/>
  <c r="AQ210" i="40"/>
  <c r="AQ201" i="40"/>
  <c r="AQ202" i="40"/>
  <c r="AQ196" i="40"/>
  <c r="AQ208" i="40"/>
  <c r="AQ211" i="40"/>
  <c r="AQ204" i="40"/>
  <c r="AQ199" i="40"/>
  <c r="M232" i="40"/>
  <c r="M228" i="40"/>
  <c r="M227" i="40"/>
  <c r="M231" i="40"/>
  <c r="I233" i="40"/>
  <c r="AQ224" i="40" s="1"/>
  <c r="M223" i="40"/>
  <c r="AQ200" i="40"/>
  <c r="AQ215" i="40"/>
  <c r="I217" i="40"/>
  <c r="M224" i="40"/>
  <c r="M229" i="40"/>
  <c r="M225" i="40"/>
  <c r="AQ203" i="40"/>
  <c r="M230" i="40"/>
  <c r="M226" i="40"/>
  <c r="AQ206" i="40"/>
  <c r="AQ205" i="40"/>
  <c r="M215" i="40"/>
  <c r="AT209" i="40" s="1"/>
  <c r="AR213" i="40"/>
  <c r="AR210" i="40"/>
  <c r="AR203" i="40"/>
  <c r="AR199" i="40"/>
  <c r="AR198" i="40"/>
  <c r="AR205" i="40"/>
  <c r="AF223" i="21"/>
  <c r="AF222" i="21"/>
  <c r="AF229" i="21"/>
  <c r="AF220" i="21"/>
  <c r="AF227" i="21"/>
  <c r="AF228" i="21"/>
  <c r="AR211" i="40"/>
  <c r="AR196" i="40"/>
  <c r="AR197" i="40"/>
  <c r="K159" i="40"/>
  <c r="M158" i="40"/>
  <c r="C260" i="40" s="1"/>
  <c r="L225" i="40"/>
  <c r="L229" i="40"/>
  <c r="L232" i="40"/>
  <c r="AR212" i="40"/>
  <c r="AR202" i="40"/>
  <c r="L224" i="40"/>
  <c r="AF230" i="21"/>
  <c r="F232" i="21"/>
  <c r="AR200" i="40"/>
  <c r="AF225" i="21"/>
  <c r="AR209" i="40"/>
  <c r="AF224" i="21"/>
  <c r="AR206" i="40"/>
  <c r="L228" i="40"/>
  <c r="L215" i="40"/>
  <c r="AS203" i="40" s="1"/>
  <c r="L226" i="40"/>
  <c r="L230" i="40"/>
  <c r="AN157" i="40"/>
  <c r="AR215" i="40"/>
  <c r="J217" i="40"/>
  <c r="AR204" i="40"/>
  <c r="AR214" i="40"/>
  <c r="AR201" i="40"/>
  <c r="AR207" i="40"/>
  <c r="AF226" i="21"/>
  <c r="L227" i="40"/>
  <c r="L223" i="40"/>
  <c r="L231" i="40"/>
  <c r="J233" i="40"/>
  <c r="AN161" i="40" l="1"/>
  <c r="Y233" i="40"/>
  <c r="Y235" i="40" s="1"/>
  <c r="AI227" i="40"/>
  <c r="AN227" i="40" s="1"/>
  <c r="AN209" i="40"/>
  <c r="AI230" i="40"/>
  <c r="AN230" i="40" s="1"/>
  <c r="AN211" i="40"/>
  <c r="AI232" i="40"/>
  <c r="AN232" i="40" s="1"/>
  <c r="AN214" i="40"/>
  <c r="AI225" i="40"/>
  <c r="AN225" i="40" s="1"/>
  <c r="AN202" i="40"/>
  <c r="AI223" i="40"/>
  <c r="AN223" i="40" s="1"/>
  <c r="AN233" i="40" s="1"/>
  <c r="AN235" i="40" s="1"/>
  <c r="AN197" i="40"/>
  <c r="AI231" i="40"/>
  <c r="AN231" i="40" s="1"/>
  <c r="AN212" i="40"/>
  <c r="AI224" i="40"/>
  <c r="AN224" i="40" s="1"/>
  <c r="AN198" i="40"/>
  <c r="AI228" i="40"/>
  <c r="AI215" i="40"/>
  <c r="AI217" i="40" s="1"/>
  <c r="AN196" i="40"/>
  <c r="AN215" i="40" s="1"/>
  <c r="AN217" i="40" s="1"/>
  <c r="AI229" i="40"/>
  <c r="AN229" i="40" s="1"/>
  <c r="AN210" i="40"/>
  <c r="AI226" i="40"/>
  <c r="AN226" i="40" s="1"/>
  <c r="AN204" i="40"/>
  <c r="AH134" i="40"/>
  <c r="AJ161" i="40" s="1"/>
  <c r="AM133" i="40"/>
  <c r="Z212" i="40"/>
  <c r="Z209" i="40"/>
  <c r="Z213" i="40"/>
  <c r="Z211" i="40"/>
  <c r="Z214" i="40"/>
  <c r="AJ187" i="40"/>
  <c r="Z198" i="40"/>
  <c r="Z210" i="40"/>
  <c r="AA187" i="40"/>
  <c r="AA188" i="40" s="1"/>
  <c r="AA190" i="40" s="1"/>
  <c r="Z203" i="40"/>
  <c r="Z196" i="40"/>
  <c r="Z200" i="40"/>
  <c r="Z197" i="40"/>
  <c r="Z199" i="40"/>
  <c r="Z204" i="40"/>
  <c r="Z205" i="40"/>
  <c r="Z206" i="40"/>
  <c r="Z202" i="40"/>
  <c r="Z208" i="40"/>
  <c r="Z201" i="40"/>
  <c r="Z188" i="40"/>
  <c r="Z190" i="40" s="1"/>
  <c r="Z207" i="40"/>
  <c r="AG134" i="40"/>
  <c r="AL133" i="40"/>
  <c r="AA161" i="40"/>
  <c r="M159" i="40"/>
  <c r="AQ225" i="40"/>
  <c r="AQ229" i="40"/>
  <c r="AT206" i="40"/>
  <c r="AT203" i="40"/>
  <c r="AT197" i="40"/>
  <c r="AT213" i="40"/>
  <c r="AQ231" i="40"/>
  <c r="AT212" i="40"/>
  <c r="AT204" i="40"/>
  <c r="AT214" i="40"/>
  <c r="AT205" i="40"/>
  <c r="AQ232" i="40"/>
  <c r="AT199" i="40"/>
  <c r="AT215" i="40"/>
  <c r="AT201" i="40"/>
  <c r="AT202" i="40"/>
  <c r="AT210" i="40"/>
  <c r="M233" i="40"/>
  <c r="AT228" i="40" s="1"/>
  <c r="AQ226" i="40"/>
  <c r="AQ233" i="40"/>
  <c r="I235" i="40"/>
  <c r="AQ227" i="40"/>
  <c r="AT196" i="40"/>
  <c r="AQ230" i="40"/>
  <c r="AT207" i="40"/>
  <c r="AT200" i="40"/>
  <c r="AQ223" i="40"/>
  <c r="AT211" i="40"/>
  <c r="AQ228" i="40"/>
  <c r="AT198" i="40"/>
  <c r="AT208" i="40"/>
  <c r="AS207" i="40"/>
  <c r="AS199" i="40"/>
  <c r="AS212" i="40"/>
  <c r="AS197" i="40"/>
  <c r="AS209" i="40"/>
  <c r="AS214" i="40"/>
  <c r="AS210" i="40"/>
  <c r="AR233" i="40"/>
  <c r="J235" i="40"/>
  <c r="AR231" i="40"/>
  <c r="AR226" i="40"/>
  <c r="AR230" i="40"/>
  <c r="AR232" i="40"/>
  <c r="AR224" i="40"/>
  <c r="AR223" i="40"/>
  <c r="AR228" i="40"/>
  <c r="AS215" i="40"/>
  <c r="L217" i="40"/>
  <c r="AS208" i="40"/>
  <c r="AS205" i="40"/>
  <c r="AS200" i="40"/>
  <c r="AO157" i="40"/>
  <c r="AS211" i="40"/>
  <c r="AR229" i="40"/>
  <c r="AR227" i="40"/>
  <c r="AS198" i="40"/>
  <c r="AS201" i="40"/>
  <c r="L233" i="40"/>
  <c r="AS230" i="40" s="1"/>
  <c r="AS206" i="40"/>
  <c r="AS213" i="40"/>
  <c r="AS204" i="40"/>
  <c r="AS196" i="40"/>
  <c r="AR225" i="40"/>
  <c r="AS202" i="40"/>
  <c r="Q244" i="40"/>
  <c r="I239" i="40"/>
  <c r="T239" i="40" l="1"/>
  <c r="C261" i="40"/>
  <c r="AI233" i="40"/>
  <c r="AI235" i="40" s="1"/>
  <c r="AN228" i="40"/>
  <c r="L245" i="40"/>
  <c r="AJ202" i="40"/>
  <c r="Z225" i="40"/>
  <c r="AA225" i="40" s="1"/>
  <c r="AA202" i="40"/>
  <c r="AJ199" i="40"/>
  <c r="AO199" i="40" s="1"/>
  <c r="AA199" i="40"/>
  <c r="Z227" i="40"/>
  <c r="AA227" i="40" s="1"/>
  <c r="AJ209" i="40"/>
  <c r="AA209" i="40"/>
  <c r="AA206" i="40"/>
  <c r="AJ206" i="40"/>
  <c r="AO206" i="40" s="1"/>
  <c r="Z223" i="40"/>
  <c r="AA197" i="40"/>
  <c r="AJ197" i="40"/>
  <c r="Z232" i="40"/>
  <c r="AA232" i="40" s="1"/>
  <c r="AA214" i="40"/>
  <c r="AJ214" i="40"/>
  <c r="Z231" i="40"/>
  <c r="AA231" i="40" s="1"/>
  <c r="AA212" i="40"/>
  <c r="AJ212" i="40"/>
  <c r="AJ203" i="40"/>
  <c r="AO203" i="40" s="1"/>
  <c r="AA203" i="40"/>
  <c r="AA201" i="40"/>
  <c r="AJ201" i="40"/>
  <c r="AO201" i="40" s="1"/>
  <c r="AJ205" i="40"/>
  <c r="AO205" i="40" s="1"/>
  <c r="AA205" i="40"/>
  <c r="AA200" i="40"/>
  <c r="AJ200" i="40"/>
  <c r="AO200" i="40" s="1"/>
  <c r="Z229" i="40"/>
  <c r="AA229" i="40" s="1"/>
  <c r="AA210" i="40"/>
  <c r="AJ210" i="40"/>
  <c r="Z230" i="40"/>
  <c r="AA230" i="40" s="1"/>
  <c r="AA211" i="40"/>
  <c r="AJ211" i="40"/>
  <c r="AM158" i="40"/>
  <c r="AM159" i="40" s="1"/>
  <c r="AM134" i="40"/>
  <c r="AJ207" i="40"/>
  <c r="AO207" i="40" s="1"/>
  <c r="AA207" i="40"/>
  <c r="AJ188" i="40"/>
  <c r="AJ190" i="40" s="1"/>
  <c r="AO187" i="40"/>
  <c r="AO188" i="40" s="1"/>
  <c r="AJ208" i="40"/>
  <c r="AO208" i="40" s="1"/>
  <c r="AA208" i="40"/>
  <c r="Z226" i="40"/>
  <c r="AA226" i="40" s="1"/>
  <c r="AA204" i="40"/>
  <c r="AJ204" i="40"/>
  <c r="Z228" i="40"/>
  <c r="AA228" i="40" s="1"/>
  <c r="AA196" i="40"/>
  <c r="AJ196" i="40"/>
  <c r="Z215" i="40"/>
  <c r="Z217" i="40" s="1"/>
  <c r="AA198" i="40"/>
  <c r="AJ198" i="40"/>
  <c r="Z224" i="40"/>
  <c r="AA224" i="40" s="1"/>
  <c r="AJ213" i="40"/>
  <c r="AO213" i="40" s="1"/>
  <c r="AA213" i="40"/>
  <c r="AL158" i="40"/>
  <c r="AL159" i="40" s="1"/>
  <c r="AL134" i="40"/>
  <c r="AL135" i="40" s="1"/>
  <c r="G260" i="40"/>
  <c r="L244" i="40"/>
  <c r="AT230" i="40"/>
  <c r="AT232" i="40"/>
  <c r="AT231" i="40"/>
  <c r="AT229" i="40"/>
  <c r="AT223" i="40"/>
  <c r="AT233" i="40"/>
  <c r="AT227" i="40"/>
  <c r="AT224" i="40"/>
  <c r="AT225" i="40"/>
  <c r="AT226" i="40"/>
  <c r="AS232" i="40"/>
  <c r="AS227" i="40"/>
  <c r="AS229" i="40"/>
  <c r="AS224" i="40"/>
  <c r="AS223" i="40"/>
  <c r="AS226" i="40"/>
  <c r="AS231" i="40"/>
  <c r="B242" i="40"/>
  <c r="I241" i="40"/>
  <c r="AS233" i="40"/>
  <c r="L235" i="40"/>
  <c r="AS228" i="40"/>
  <c r="AS225" i="40"/>
  <c r="AJ226" i="40" l="1"/>
  <c r="AO226" i="40" s="1"/>
  <c r="AO204" i="40"/>
  <c r="AJ232" i="40"/>
  <c r="AO232" i="40" s="1"/>
  <c r="AO214" i="40"/>
  <c r="AJ215" i="40"/>
  <c r="AJ217" i="40" s="1"/>
  <c r="AJ228" i="40"/>
  <c r="AO228" i="40" s="1"/>
  <c r="AO196" i="40"/>
  <c r="AO215" i="40" s="1"/>
  <c r="AO217" i="40" s="1"/>
  <c r="AO161" i="40"/>
  <c r="AM135" i="40"/>
  <c r="AO190" i="40"/>
  <c r="AJ231" i="40"/>
  <c r="AO231" i="40" s="1"/>
  <c r="AO212" i="40"/>
  <c r="AA223" i="40"/>
  <c r="AA233" i="40" s="1"/>
  <c r="AA235" i="40" s="1"/>
  <c r="Z233" i="40"/>
  <c r="Z235" i="40" s="1"/>
  <c r="AJ227" i="40"/>
  <c r="AO227" i="40" s="1"/>
  <c r="AO209" i="40"/>
  <c r="AJ224" i="40"/>
  <c r="AO224" i="40" s="1"/>
  <c r="AO198" i="40"/>
  <c r="AJ229" i="40"/>
  <c r="AO229" i="40" s="1"/>
  <c r="AO210" i="40"/>
  <c r="AA215" i="40"/>
  <c r="AA217" i="40" s="1"/>
  <c r="AJ230" i="40"/>
  <c r="AO230" i="40" s="1"/>
  <c r="AO211" i="40"/>
  <c r="AJ223" i="40"/>
  <c r="AO197" i="40"/>
  <c r="AJ225" i="40"/>
  <c r="AO225" i="40" s="1"/>
  <c r="AO202" i="40"/>
  <c r="M96" i="40"/>
  <c r="M132" i="40" s="1"/>
  <c r="L786" i="22" s="1"/>
  <c r="AJ233" i="40" l="1"/>
  <c r="AJ235" i="40" s="1"/>
  <c r="AO223" i="40"/>
  <c r="AO233" i="40" s="1"/>
  <c r="AO235" i="40" s="1"/>
  <c r="M134" i="40"/>
  <c r="M190" i="40" l="1"/>
  <c r="M161" i="40"/>
  <c r="M217" i="40"/>
  <c r="M235" i="40"/>
  <c r="Z134" i="40"/>
  <c r="AE133" i="40"/>
  <c r="AD133" i="40"/>
  <c r="AD134" i="40" s="1"/>
  <c r="AB187" i="40"/>
  <c r="AB200" i="40" s="1"/>
  <c r="AB204" i="40" l="1"/>
  <c r="AG204" i="40" s="1"/>
  <c r="AB211" i="40"/>
  <c r="AG211" i="40" s="1"/>
  <c r="AB197" i="40"/>
  <c r="AF197" i="40" s="1"/>
  <c r="AB196" i="40"/>
  <c r="AG196" i="40" s="1"/>
  <c r="AB203" i="40"/>
  <c r="AG203" i="40" s="1"/>
  <c r="AB208" i="40"/>
  <c r="AG208" i="40" s="1"/>
  <c r="AL208" i="40" s="1"/>
  <c r="AP208" i="40" s="1"/>
  <c r="AG200" i="40"/>
  <c r="AF200" i="40"/>
  <c r="AB188" i="40"/>
  <c r="AB190" i="40" s="1"/>
  <c r="AB202" i="40"/>
  <c r="AB213" i="40"/>
  <c r="AB214" i="40"/>
  <c r="AB198" i="40"/>
  <c r="AB206" i="40"/>
  <c r="AG187" i="40"/>
  <c r="AB205" i="40"/>
  <c r="AB212" i="40"/>
  <c r="AB207" i="40"/>
  <c r="Z159" i="40"/>
  <c r="AB161" i="40" s="1"/>
  <c r="AD158" i="40"/>
  <c r="E260" i="40" s="1"/>
  <c r="AE134" i="40"/>
  <c r="AI133" i="40"/>
  <c r="AJ133" i="40"/>
  <c r="AB210" i="40"/>
  <c r="AB209" i="40"/>
  <c r="AB199" i="40"/>
  <c r="AB201" i="40"/>
  <c r="AB223" i="40"/>
  <c r="AF204" i="40"/>
  <c r="AF187" i="40"/>
  <c r="AF188" i="40" s="1"/>
  <c r="AF190" i="40" s="1"/>
  <c r="AB226" i="40" l="1"/>
  <c r="AF226" i="40" s="1"/>
  <c r="AB230" i="40"/>
  <c r="AF230" i="40" s="1"/>
  <c r="AF203" i="40"/>
  <c r="AF211" i="40"/>
  <c r="AF196" i="40"/>
  <c r="AG197" i="40"/>
  <c r="AK197" i="40" s="1"/>
  <c r="AD159" i="40"/>
  <c r="AF161" i="40" s="1"/>
  <c r="H260" i="40"/>
  <c r="AF208" i="40"/>
  <c r="AB228" i="40"/>
  <c r="AF228" i="40" s="1"/>
  <c r="AI134" i="40"/>
  <c r="E261" i="40" s="1"/>
  <c r="AK208" i="40"/>
  <c r="AF201" i="40"/>
  <c r="AG201" i="40"/>
  <c r="AF209" i="40"/>
  <c r="AB227" i="40"/>
  <c r="AF227" i="40" s="1"/>
  <c r="AG209" i="40"/>
  <c r="AE159" i="40"/>
  <c r="AG161" i="40" s="1"/>
  <c r="AI158" i="40"/>
  <c r="AI159" i="40" s="1"/>
  <c r="AK187" i="40"/>
  <c r="AK188" i="40" s="1"/>
  <c r="AG188" i="40"/>
  <c r="AG190" i="40" s="1"/>
  <c r="AL187" i="40"/>
  <c r="AL211" i="40"/>
  <c r="AP211" i="40" s="1"/>
  <c r="AK211" i="40"/>
  <c r="AG230" i="40"/>
  <c r="AL200" i="40"/>
  <c r="AP200" i="40" s="1"/>
  <c r="AK200" i="40"/>
  <c r="AK204" i="40"/>
  <c r="AL204" i="40"/>
  <c r="AP204" i="40" s="1"/>
  <c r="AF199" i="40"/>
  <c r="AG199" i="40"/>
  <c r="AB229" i="40"/>
  <c r="AF229" i="40" s="1"/>
  <c r="AG210" i="40"/>
  <c r="AF210" i="40"/>
  <c r="AF207" i="40"/>
  <c r="AG207" i="40"/>
  <c r="AG206" i="40"/>
  <c r="AF206" i="40"/>
  <c r="AF202" i="40"/>
  <c r="AB225" i="40"/>
  <c r="AF225" i="40" s="1"/>
  <c r="AG202" i="40"/>
  <c r="AB215" i="40"/>
  <c r="AB217" i="40" s="1"/>
  <c r="AL196" i="40"/>
  <c r="AK196" i="40"/>
  <c r="AB231" i="40"/>
  <c r="AF231" i="40" s="1"/>
  <c r="AG212" i="40"/>
  <c r="AF212" i="40"/>
  <c r="AF198" i="40"/>
  <c r="AB224" i="40"/>
  <c r="AF224" i="40" s="1"/>
  <c r="AG198" i="40"/>
  <c r="AL203" i="40"/>
  <c r="AP203" i="40" s="1"/>
  <c r="AK203" i="40"/>
  <c r="AN133" i="40"/>
  <c r="AN134" i="40" s="1"/>
  <c r="F261" i="40" s="1"/>
  <c r="AJ134" i="40"/>
  <c r="AJ158" i="40"/>
  <c r="AG205" i="40"/>
  <c r="AF205" i="40"/>
  <c r="AB232" i="40"/>
  <c r="AF232" i="40" s="1"/>
  <c r="AF214" i="40"/>
  <c r="AG214" i="40"/>
  <c r="AF223" i="40"/>
  <c r="AF213" i="40"/>
  <c r="AG213" i="40"/>
  <c r="AL197" i="40" l="1"/>
  <c r="AP197" i="40" s="1"/>
  <c r="AG223" i="40"/>
  <c r="AL223" i="40" s="1"/>
  <c r="AF233" i="40"/>
  <c r="AF235" i="40" s="1"/>
  <c r="AK190" i="40"/>
  <c r="AK161" i="40"/>
  <c r="AF215" i="40"/>
  <c r="AF217" i="40" s="1"/>
  <c r="AG232" i="40"/>
  <c r="AL214" i="40"/>
  <c r="AP214" i="40" s="1"/>
  <c r="AK214" i="40"/>
  <c r="AK206" i="40"/>
  <c r="AL206" i="40"/>
  <c r="AP206" i="40" s="1"/>
  <c r="AL210" i="40"/>
  <c r="AP210" i="40" s="1"/>
  <c r="AK210" i="40"/>
  <c r="AG229" i="40"/>
  <c r="AP187" i="40"/>
  <c r="AP188" i="40" s="1"/>
  <c r="AP190" i="40" s="1"/>
  <c r="AL188" i="40"/>
  <c r="AL190" i="40" s="1"/>
  <c r="AL201" i="40"/>
  <c r="AP201" i="40" s="1"/>
  <c r="AK201" i="40"/>
  <c r="AJ159" i="40"/>
  <c r="AL161" i="40" s="1"/>
  <c r="AN158" i="40"/>
  <c r="AL215" i="40"/>
  <c r="AL217" i="40" s="1"/>
  <c r="AP196" i="40"/>
  <c r="AP215" i="40" s="1"/>
  <c r="AP217" i="40" s="1"/>
  <c r="AL207" i="40"/>
  <c r="AP207" i="40" s="1"/>
  <c r="AK207" i="40"/>
  <c r="AB233" i="40"/>
  <c r="AB235" i="40" s="1"/>
  <c r="AJ135" i="40"/>
  <c r="AG224" i="40"/>
  <c r="AK198" i="40"/>
  <c r="AL198" i="40"/>
  <c r="AP198" i="40" s="1"/>
  <c r="AG231" i="40"/>
  <c r="AK212" i="40"/>
  <c r="AL212" i="40"/>
  <c r="AP212" i="40" s="1"/>
  <c r="AG215" i="40"/>
  <c r="AG217" i="40" s="1"/>
  <c r="AL199" i="40"/>
  <c r="AP199" i="40" s="1"/>
  <c r="AK199" i="40"/>
  <c r="AL213" i="40"/>
  <c r="AP213" i="40" s="1"/>
  <c r="AK213" i="40"/>
  <c r="AN135" i="40"/>
  <c r="AG228" i="40"/>
  <c r="AK205" i="40"/>
  <c r="AL205" i="40"/>
  <c r="AP205" i="40" s="1"/>
  <c r="AK223" i="40"/>
  <c r="AK202" i="40"/>
  <c r="AL202" i="40"/>
  <c r="AP202" i="40" s="1"/>
  <c r="AG225" i="40"/>
  <c r="AG226" i="40"/>
  <c r="AL230" i="40"/>
  <c r="AP230" i="40" s="1"/>
  <c r="AK230" i="40"/>
  <c r="AL209" i="40"/>
  <c r="AP209" i="40" s="1"/>
  <c r="AK209" i="40"/>
  <c r="AG227" i="40"/>
  <c r="F260" i="40" l="1"/>
  <c r="I260" i="40" s="1"/>
  <c r="AK215" i="40"/>
  <c r="AK217" i="40" s="1"/>
  <c r="AP223" i="40"/>
  <c r="AP233" i="40" s="1"/>
  <c r="AP235" i="40" s="1"/>
  <c r="AL233" i="40"/>
  <c r="AL235" i="40" s="1"/>
  <c r="AK224" i="40"/>
  <c r="AL224" i="40"/>
  <c r="AP224" i="40" s="1"/>
  <c r="AK227" i="40"/>
  <c r="AL227" i="40"/>
  <c r="AP227" i="40" s="1"/>
  <c r="AL226" i="40"/>
  <c r="AP226" i="40" s="1"/>
  <c r="AK226" i="40"/>
  <c r="AG233" i="40"/>
  <c r="AG235" i="40" s="1"/>
  <c r="AO158" i="40"/>
  <c r="AN159" i="40"/>
  <c r="AL225" i="40"/>
  <c r="AP225" i="40" s="1"/>
  <c r="AK225" i="40"/>
  <c r="AL228" i="40"/>
  <c r="AP228" i="40" s="1"/>
  <c r="AK228" i="40"/>
  <c r="AK231" i="40"/>
  <c r="AL231" i="40"/>
  <c r="AP231" i="40" s="1"/>
  <c r="AK229" i="40"/>
  <c r="AL229" i="40"/>
  <c r="AP229" i="40" s="1"/>
  <c r="AK232" i="40"/>
  <c r="AL232" i="40"/>
  <c r="AP232" i="40" s="1"/>
  <c r="AK233" i="40" l="1"/>
  <c r="AK235" i="40" s="1"/>
  <c r="AO159" i="40"/>
  <c r="AP161" i="40"/>
</calcChain>
</file>

<file path=xl/comments1.xml><?xml version="1.0" encoding="utf-8"?>
<comments xmlns="http://schemas.openxmlformats.org/spreadsheetml/2006/main">
  <authors>
    <author>Tamar Gabunia</author>
  </authors>
  <commentList>
    <comment ref="A125" authorId="0" shapeId="0">
      <text>
        <r>
          <rPr>
            <b/>
            <sz val="9"/>
            <color indexed="81"/>
            <rFont val="Tahoma"/>
            <family val="2"/>
          </rPr>
          <t>Tamar Gabunia:</t>
        </r>
        <r>
          <rPr>
            <sz val="9"/>
            <color indexed="81"/>
            <rFont val="Tahoma"/>
            <family val="2"/>
          </rPr>
          <t xml:space="preserve">
Should revisit</t>
        </r>
      </text>
    </comment>
  </commentList>
</comments>
</file>

<file path=xl/sharedStrings.xml><?xml version="1.0" encoding="utf-8"?>
<sst xmlns="http://schemas.openxmlformats.org/spreadsheetml/2006/main" count="6994" uniqueCount="2173">
  <si>
    <t>Year</t>
  </si>
  <si>
    <t>Extrapulmonary TB</t>
  </si>
  <si>
    <t>Site unknown</t>
  </si>
  <si>
    <t>Population</t>
  </si>
  <si>
    <t>Total</t>
  </si>
  <si>
    <t>All registered cases</t>
  </si>
  <si>
    <t>New cases</t>
  </si>
  <si>
    <t>Re-treated cases</t>
  </si>
  <si>
    <t>Pulmonary TB</t>
  </si>
  <si>
    <t>EP</t>
  </si>
  <si>
    <t>Pulm. ss+</t>
  </si>
  <si>
    <t>Pulm. ss-</t>
  </si>
  <si>
    <t>Pulm. ss UK</t>
  </si>
  <si>
    <t>All TB cases</t>
  </si>
  <si>
    <t>Retreatment cases</t>
  </si>
  <si>
    <t>GEORGIA</t>
  </si>
  <si>
    <t>New cases total</t>
  </si>
  <si>
    <t>Re-treatment cases total</t>
  </si>
  <si>
    <t>%</t>
  </si>
  <si>
    <t>New pulmonary SS+</t>
  </si>
  <si>
    <t>New E/P</t>
  </si>
  <si>
    <t>Retreatment pulmonary SS+</t>
  </si>
  <si>
    <t>Retreatment E/P</t>
  </si>
  <si>
    <t>Retreatment cases total</t>
  </si>
  <si>
    <t>New pulmonary SS- and UK</t>
  </si>
  <si>
    <t>Retreatment pulmonary SS- and UK</t>
  </si>
  <si>
    <t>Check</t>
  </si>
  <si>
    <t>Annual</t>
  </si>
  <si>
    <t>3-year moving average</t>
  </si>
  <si>
    <t>5-year moving average</t>
  </si>
  <si>
    <t>Time trend (%), new cases:</t>
  </si>
  <si>
    <t>Time trend (%), retreatment cases:</t>
  </si>
  <si>
    <t>ALL COUNTRY</t>
  </si>
  <si>
    <t>Time trend (%), all cases:</t>
  </si>
  <si>
    <t>Annual proportion</t>
  </si>
  <si>
    <t>Retreatment as % of all cases:</t>
  </si>
  <si>
    <t>New E/P as % of total new:</t>
  </si>
  <si>
    <t>Retr. E/P as % of total retr.:</t>
  </si>
  <si>
    <t>All E/P as % of all cases:</t>
  </si>
  <si>
    <t>New pulm. SS+ as % of new pulmonary:</t>
  </si>
  <si>
    <t>Total pulm. SS+ as % of all pulmonary:</t>
  </si>
  <si>
    <t>A</t>
  </si>
  <si>
    <t>TIME TREND</t>
  </si>
  <si>
    <t>B</t>
  </si>
  <si>
    <t>PROPORTION OF RETREATMENT CASES</t>
  </si>
  <si>
    <t>C</t>
  </si>
  <si>
    <t>PROPORTION OF EXTRAPULMONARY CASES</t>
  </si>
  <si>
    <t>D</t>
  </si>
  <si>
    <t>PROPORTION OF SMEAR-POSITIVE CASES</t>
  </si>
  <si>
    <t>E</t>
  </si>
  <si>
    <t>F</t>
  </si>
  <si>
    <t>PENITENTIARY SECTOR</t>
  </si>
  <si>
    <t>TB case notifications and forecast</t>
  </si>
  <si>
    <t>Total number</t>
  </si>
  <si>
    <t>per 100 000 population</t>
  </si>
  <si>
    <t>All registered Cases</t>
  </si>
  <si>
    <t xml:space="preserve">All registered ceses </t>
  </si>
  <si>
    <t>New ss+ cases</t>
  </si>
  <si>
    <t>AFB(+)</t>
  </si>
  <si>
    <t>AFB(-)</t>
  </si>
  <si>
    <t>AFB(NA)</t>
  </si>
  <si>
    <t>Retr. pulm. SS+ as % of retr. pulmonary:</t>
  </si>
  <si>
    <t>CIVILIAN SECTOR</t>
  </si>
  <si>
    <t>G E O R G I A</t>
  </si>
  <si>
    <t>Tbilisi</t>
  </si>
  <si>
    <t>Autonomous Republic of Abkhazia</t>
  </si>
  <si>
    <t>…</t>
  </si>
  <si>
    <t>Sokhumi, City of</t>
  </si>
  <si>
    <t>Tkvarcheli, City of</t>
  </si>
  <si>
    <t>Azhara, Municipality of</t>
  </si>
  <si>
    <t>Gagra, Municipality of</t>
  </si>
  <si>
    <t>Gali, Municipality of</t>
  </si>
  <si>
    <t>Gudauta, Municipality of</t>
  </si>
  <si>
    <t>Gulripshi, Municipality of</t>
  </si>
  <si>
    <t>Ochamchira, Municipality of</t>
  </si>
  <si>
    <t>Sokhumi, Municipality of</t>
  </si>
  <si>
    <t>Autonomous Republic of Adjara</t>
  </si>
  <si>
    <t>Batumi, City of</t>
  </si>
  <si>
    <t>Keda, Municipality of</t>
  </si>
  <si>
    <t>Kobuleti, Municipality of</t>
  </si>
  <si>
    <t>Shuakhevi, Municipality of</t>
  </si>
  <si>
    <t>Khelvachauri, Municipality of</t>
  </si>
  <si>
    <t>Khulo, Municipality of</t>
  </si>
  <si>
    <t xml:space="preserve">Guria </t>
  </si>
  <si>
    <t>Lanchkhuti, Municipality of</t>
  </si>
  <si>
    <t>Ozurgeti, Municipality of</t>
  </si>
  <si>
    <t>Chokhatauri, Municipality of</t>
  </si>
  <si>
    <t>Imereti</t>
  </si>
  <si>
    <t>Kutaisi, City of</t>
  </si>
  <si>
    <t>Baghdati, Municipality of</t>
  </si>
  <si>
    <t>Vani, Municipality of</t>
  </si>
  <si>
    <t>Zestaponi, Municipality of</t>
  </si>
  <si>
    <t>Terjola, Municipality of</t>
  </si>
  <si>
    <t>Samtredia, Municipality of</t>
  </si>
  <si>
    <t>Sachkhere, Municipality of</t>
  </si>
  <si>
    <t>Tkibuli, Municipality of</t>
  </si>
  <si>
    <t>Tskhaltubo, Municipality of</t>
  </si>
  <si>
    <t>Chiatura, Municipality of</t>
  </si>
  <si>
    <t>Kharagauli, Municipality of</t>
  </si>
  <si>
    <t>Khoni, Municipality of</t>
  </si>
  <si>
    <t xml:space="preserve">Kakheti </t>
  </si>
  <si>
    <t>Akhmeta, Municipality of</t>
  </si>
  <si>
    <t>Gurjaani, Municipality of</t>
  </si>
  <si>
    <t>Dedoplis Tskaro, Municipality of</t>
  </si>
  <si>
    <t>Telavi, Municipality of</t>
  </si>
  <si>
    <t>Lagodekhi, Municipality of</t>
  </si>
  <si>
    <t>Sagarejo, Municipality of</t>
  </si>
  <si>
    <t>Sighnaghi, Municipality of</t>
  </si>
  <si>
    <t>Kvareli, Municipality of</t>
  </si>
  <si>
    <t xml:space="preserve">Mtskheta-Mtianeti </t>
  </si>
  <si>
    <t>Akhalgori, Municipality of</t>
  </si>
  <si>
    <t>Dusheti, Municipality of</t>
  </si>
  <si>
    <t>Tianeti, Municipality of</t>
  </si>
  <si>
    <t>Mtskheta, Municipality of</t>
  </si>
  <si>
    <t>Kazbegi, Municipality of</t>
  </si>
  <si>
    <t xml:space="preserve">Racha-Lechkhumi and Kvemo Svaneti </t>
  </si>
  <si>
    <t>Ambrolauri, Municipality of</t>
  </si>
  <si>
    <t>Lentekhi, Municipality of</t>
  </si>
  <si>
    <t>Oni, Municipality of</t>
  </si>
  <si>
    <t>Tsageri, Municipality of</t>
  </si>
  <si>
    <t>Samegrelo-Zemo Svaneti</t>
  </si>
  <si>
    <t>Poti, City of</t>
  </si>
  <si>
    <t>Abasha, Municipality of</t>
  </si>
  <si>
    <t>Zugdidi, Municipality of</t>
  </si>
  <si>
    <t>Martvili, Municipality of</t>
  </si>
  <si>
    <t>Mestia, Municipality of</t>
  </si>
  <si>
    <t>Senaki, Municipality of</t>
  </si>
  <si>
    <t>Chkhorotsku, Municipality of</t>
  </si>
  <si>
    <t>Tsalenjikha, Municipality of</t>
  </si>
  <si>
    <t>Khobi, Municipality of</t>
  </si>
  <si>
    <t xml:space="preserve">Samtskhe-Javakheti </t>
  </si>
  <si>
    <t>Adigeni, Municipality of</t>
  </si>
  <si>
    <t>Aspindza, Municipality of</t>
  </si>
  <si>
    <t>Akhalqalaqi, Municipality of</t>
  </si>
  <si>
    <t>Akhaltsikhe, Municipality of</t>
  </si>
  <si>
    <t>Borjomi, Municipality of</t>
  </si>
  <si>
    <t>Ninotsminda, Municipality of</t>
  </si>
  <si>
    <t xml:space="preserve">Kvemo Kartli </t>
  </si>
  <si>
    <t>Rustavi, City of</t>
  </si>
  <si>
    <t>Bolnisi, Municipality of</t>
  </si>
  <si>
    <t>Gardabani, Municipality of</t>
  </si>
  <si>
    <t>Dmanisi, Municipality of</t>
  </si>
  <si>
    <t>Tetri Tskaro, Municipality of</t>
  </si>
  <si>
    <t>Marneuli, Municipality of</t>
  </si>
  <si>
    <t>Tsalka, Municipality of</t>
  </si>
  <si>
    <t xml:space="preserve">Shida Kartli </t>
  </si>
  <si>
    <t>Tskhinvali, City of</t>
  </si>
  <si>
    <t>Gori, Municipality of</t>
  </si>
  <si>
    <t>Eredvi, Municipality of</t>
  </si>
  <si>
    <t>Tighvi, Municipality of</t>
  </si>
  <si>
    <t>Kaspi, Municipality of</t>
  </si>
  <si>
    <t>Kareli, Municipality of</t>
  </si>
  <si>
    <t>Kurta, Municipality of</t>
  </si>
  <si>
    <t>Khashuri, Municipality of</t>
  </si>
  <si>
    <t>Java, Municipality of</t>
  </si>
  <si>
    <t>*Significant diference between 2012 and 2013 is conditioned by the changes of administrative borders of Batumi City and Khelvachauri Municipality</t>
  </si>
  <si>
    <t>G</t>
  </si>
  <si>
    <t>POPULATION</t>
  </si>
  <si>
    <t>Mid-year population</t>
  </si>
  <si>
    <t>GEORGIA main demographic indicators, 1980-2013</t>
  </si>
  <si>
    <t xml:space="preserve">Sources: WHO HFA Database (April 2014), geostat.ge </t>
  </si>
  <si>
    <t>Years</t>
  </si>
  <si>
    <t>Live births per 1000 population</t>
  </si>
  <si>
    <t>Number of live births</t>
  </si>
  <si>
    <t>Mid-year population, thousands</t>
  </si>
  <si>
    <t>Annual change, %</t>
  </si>
  <si>
    <t>GEORGIA Population Projections 2012 (UNDESA, Population Division)</t>
  </si>
  <si>
    <t>Total population, both sexes combined, as of 1 July (thousands)</t>
  </si>
  <si>
    <t>Variant</t>
  </si>
  <si>
    <t>Major area, region, country or area</t>
  </si>
  <si>
    <t>Notes</t>
  </si>
  <si>
    <t>Country code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</si>
  <si>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</si>
  <si>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</si>
  <si>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</si>
  <si>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</si>
  <si>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</si>
  <si>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</si>
  <si>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</si>
  <si>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</si>
  <si>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</si>
  <si>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</si>
  <si>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</si>
  <si>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</si>
  <si>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</si>
  <si>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</si>
  <si>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</si>
  <si>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</si>
  <si>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</si>
  <si>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</si>
  <si>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</si>
  <si>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</si>
  <si>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</si>
  <si>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</si>
  <si>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</si>
  <si>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</si>
  <si>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</si>
  <si>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</si>
  <si>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</si>
  <si>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</si>
  <si>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</si>
  <si>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</si>
  <si>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</si>
  <si>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</si>
  <si>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</si>
  <si>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</si>
  <si>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</si>
  <si>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</si>
  <si>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</si>
  <si>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</si>
  <si>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</si>
  <si>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</si>
  <si>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</si>
  <si>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Medium fertility</t>
  </si>
  <si>
    <t>Georgia</t>
  </si>
  <si>
    <t>High fertility</t>
  </si>
  <si>
    <t>Low fertility</t>
  </si>
  <si>
    <t>Constant fertility</t>
  </si>
  <si>
    <t>Instant-replacement</t>
  </si>
  <si>
    <t>Zero-migration</t>
  </si>
  <si>
    <t>Constant-mortality</t>
  </si>
  <si>
    <t>No change</t>
  </si>
  <si>
    <t xml:space="preserve">Mid-year population estimates </t>
  </si>
  <si>
    <t>H</t>
  </si>
  <si>
    <t>TB NOTIFICATION RATES</t>
  </si>
  <si>
    <t>New TB cases</t>
  </si>
  <si>
    <t>New pulmonary SS+ TB cases</t>
  </si>
  <si>
    <r>
      <t xml:space="preserve">% change compared to baseline </t>
    </r>
    <r>
      <rPr>
        <b/>
        <u/>
        <sz val="11"/>
        <color rgb="FFFF0000"/>
        <rFont val="Calibri"/>
        <family val="2"/>
        <scheme val="minor"/>
      </rPr>
      <t>2013:</t>
    </r>
  </si>
  <si>
    <r>
      <t xml:space="preserve">% change compared to baseline </t>
    </r>
    <r>
      <rPr>
        <b/>
        <u/>
        <sz val="11"/>
        <color rgb="FFFF0000"/>
        <rFont val="Calibri"/>
        <family val="2"/>
        <scheme val="minor"/>
      </rPr>
      <t>2014:</t>
    </r>
  </si>
  <si>
    <t>Rate per 100,000:</t>
  </si>
  <si>
    <t>Year 0 (2015)</t>
  </si>
  <si>
    <t>Year 1 (2016)</t>
  </si>
  <si>
    <t>Year 2 (2017)</t>
  </si>
  <si>
    <t>Year 3 (2018)</t>
  </si>
  <si>
    <t>Year 4 (2019)</t>
  </si>
  <si>
    <t>Year 5 (2020)</t>
  </si>
  <si>
    <t>Total 3 years (2016-2018)</t>
  </si>
  <si>
    <t>Total 5 years (2016-2020)</t>
  </si>
  <si>
    <t>-</t>
  </si>
  <si>
    <t>Average number of smears per 1 DSM investigation</t>
  </si>
  <si>
    <t>Average number of cartridges per 1 Xpert investigation</t>
  </si>
  <si>
    <t>1.2.1</t>
  </si>
  <si>
    <t>1.2.2</t>
  </si>
  <si>
    <t>No.</t>
  </si>
  <si>
    <t>Re-treatment pulmonary SS+</t>
  </si>
  <si>
    <t>New pulmonary SS- and SS UK</t>
  </si>
  <si>
    <t>Re-treatment pulmonary SS- and SS UK</t>
  </si>
  <si>
    <t>Re-treatment E/P</t>
  </si>
  <si>
    <t>ALL TB CASES</t>
  </si>
  <si>
    <t>Baseline 1 (2013)</t>
  </si>
  <si>
    <t>Baseline 2 (2014)</t>
  </si>
  <si>
    <t>Forecast by case category</t>
  </si>
  <si>
    <t>Estimated number of culture positive patients, by case category</t>
  </si>
  <si>
    <t>Estimated proportion of culture positive patients, by case category</t>
  </si>
  <si>
    <t>DST coverage in culture positive patients, by case category</t>
  </si>
  <si>
    <t>Estimated number of culture positive patients to be diagnosed, by case category</t>
  </si>
  <si>
    <t>Culture coverage, by case category</t>
  </si>
  <si>
    <t>Estimated number of culture positive patients with DST results, by case category</t>
  </si>
  <si>
    <t>Estimated MDR prevalence, by case category</t>
  </si>
  <si>
    <t>Estimated number of MDR patients to be diagnosed, by case category</t>
  </si>
  <si>
    <t>Estimated XDR prevalence among MDR patients, by case group</t>
  </si>
  <si>
    <t>ALL MDR-TB CASES</t>
  </si>
  <si>
    <t>MDR among new cases</t>
  </si>
  <si>
    <t>MDR among re-treatment cases</t>
  </si>
  <si>
    <t>Estimated number of XDR cases among MDR patients, by case group</t>
  </si>
  <si>
    <t>Estimated 'pre-XDR' prevalence among MDR patients, by case group</t>
  </si>
  <si>
    <t>Estimated number of 'pre-XDR' cases among MDR patients, by case group</t>
  </si>
  <si>
    <t>Estimated PDR prevalence, by case category</t>
  </si>
  <si>
    <t>Estimated number of PDR patients to be diagnosed, by case category</t>
  </si>
  <si>
    <t>Estimated number of TB patients to be diagnosed, by resistance profile</t>
  </si>
  <si>
    <t>Pan-sensitive and mono-resistant cases</t>
  </si>
  <si>
    <t>PDR-TB</t>
  </si>
  <si>
    <t>Treatment enrollment rates, by resistance profile</t>
  </si>
  <si>
    <t>Estimated number of patients to be treated, by treatment regimen</t>
  </si>
  <si>
    <t>First-line treatment</t>
  </si>
  <si>
    <t>Other treatment and palliative care</t>
  </si>
  <si>
    <t>MDR-TB: no resistance to SLDs</t>
  </si>
  <si>
    <t>MDR-TB: 'pre-XDR'</t>
  </si>
  <si>
    <t>MDR-TB: XDR</t>
  </si>
  <si>
    <t>Estimated number of TB suspects per 1 TB case (all forms)</t>
  </si>
  <si>
    <t>Estimated number of TB suspects</t>
  </si>
  <si>
    <t>Estimated needs of laboratory investigations, diagnostic purpose</t>
  </si>
  <si>
    <t>Proportion of TB suspects to be tested for TB (any method)</t>
  </si>
  <si>
    <t>Number of TB suspects to be tested for TB (any method)</t>
  </si>
  <si>
    <t>DSM:</t>
  </si>
  <si>
    <t>Target number of TB suspects to be tested by DSM</t>
  </si>
  <si>
    <t>DSM coverage</t>
  </si>
  <si>
    <t>Number of TB suspects to be tested by DSM</t>
  </si>
  <si>
    <t>DSM repetition rate</t>
  </si>
  <si>
    <t>Number of DSM investigations (persons)</t>
  </si>
  <si>
    <t>Number of DSM tests (smears)</t>
  </si>
  <si>
    <t>TB suspects:</t>
  </si>
  <si>
    <t>Xpert MTB/RIF:</t>
  </si>
  <si>
    <t>Target coverage of DSM investigations (% of suspects to be tested)</t>
  </si>
  <si>
    <t>Target coverage of Xpert investigations (% of suspects to be tested)</t>
  </si>
  <si>
    <t>Target number of TB suspects to be tested by Xpert</t>
  </si>
  <si>
    <t>Xpert coverage</t>
  </si>
  <si>
    <t>Number of TB suspects to be tested by Xpert</t>
  </si>
  <si>
    <t>Xpert repetition rate</t>
  </si>
  <si>
    <t>Number of Xpert investigations (persons)</t>
  </si>
  <si>
    <t>Number of Xpert tests (cartridges)</t>
  </si>
  <si>
    <t>Number of TB suspects to be tested for TB (any method) per 1 TB case</t>
  </si>
  <si>
    <t>Target number of TB suspects to be tested by culture</t>
  </si>
  <si>
    <t>Culture:</t>
  </si>
  <si>
    <t>Target coverage of culture investigations (% of suspects to be tested)</t>
  </si>
  <si>
    <t>Culture coverage</t>
  </si>
  <si>
    <t>Number of TB suspects to be tested by culture</t>
  </si>
  <si>
    <t>Culture repetition rate</t>
  </si>
  <si>
    <t>Number of culture investigations (persons)</t>
  </si>
  <si>
    <t>Number of culture tests (tubes)</t>
  </si>
  <si>
    <t>Average number of tubes per 1 culture investigation</t>
  </si>
  <si>
    <t>Estimated needs of laboratory investigations, treatment monitoring purpose</t>
  </si>
  <si>
    <t>Number of patients to be enrolled</t>
  </si>
  <si>
    <t>Target number of DSM investigations per patient</t>
  </si>
  <si>
    <t>Target number of patients to be tested with Xpert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</si>
  <si>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</si>
  <si>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</si>
  <si>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</si>
  <si>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</si>
  <si>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</si>
  <si>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</si>
  <si>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</si>
  <si>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</si>
  <si>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Percentage of patients requiring culture investigations</t>
  </si>
  <si>
    <t>Percentage of patients requiring Xpert investigations</t>
  </si>
  <si>
    <t>Target number of patients to be tested with culture</t>
  </si>
  <si>
    <t>Number of TB patients to be tested by culture</t>
  </si>
  <si>
    <t>1.2.3</t>
  </si>
  <si>
    <t>1.2.4</t>
  </si>
  <si>
    <t>1.2.5</t>
  </si>
  <si>
    <t>1.2.6</t>
  </si>
  <si>
    <t>1.2.7</t>
  </si>
  <si>
    <t>1.2.8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</si>
  <si>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</si>
  <si>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</si>
  <si>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</si>
  <si>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</si>
  <si>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</si>
  <si>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</si>
  <si>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</si>
  <si>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</si>
  <si>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</si>
  <si>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</si>
  <si>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</si>
  <si>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</si>
  <si>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</si>
  <si>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</si>
  <si>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</si>
  <si>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</si>
  <si>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</si>
  <si>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</si>
  <si>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</si>
  <si>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</si>
  <si>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</si>
  <si>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</si>
  <si>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</si>
  <si>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</si>
  <si>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</si>
  <si>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</si>
  <si>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</si>
  <si>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</si>
  <si>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</si>
  <si>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</si>
  <si>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</si>
  <si>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</si>
  <si>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</si>
  <si>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</si>
  <si>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Average number of culture investigations per patient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</si>
  <si>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</si>
  <si>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</si>
  <si>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</si>
  <si>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</si>
  <si>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</si>
  <si>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</si>
  <si>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</si>
  <si>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</si>
  <si>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</si>
  <si>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</si>
  <si>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</si>
  <si>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</si>
  <si>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</si>
  <si>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</si>
  <si>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</si>
  <si>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</si>
  <si>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</si>
  <si>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</si>
  <si>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</si>
  <si>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</si>
  <si>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</si>
  <si>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</si>
  <si>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</si>
  <si>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</si>
  <si>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</si>
  <si>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</si>
  <si>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</si>
  <si>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</si>
  <si>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</si>
  <si>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</si>
  <si>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</si>
  <si>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</si>
  <si>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</si>
  <si>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</si>
  <si>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</si>
  <si>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</si>
  <si>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</si>
  <si>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</si>
  <si>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</si>
  <si>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</si>
  <si>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</si>
  <si>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</si>
  <si>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</si>
  <si>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</si>
  <si>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</si>
  <si>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</si>
  <si>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</si>
  <si>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</si>
  <si>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</si>
  <si>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</si>
  <si>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Proportion of DSM investigations to be done (compliance-adjusted)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</si>
  <si>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</si>
  <si>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</si>
  <si>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</si>
  <si>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</si>
  <si>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</si>
  <si>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</si>
  <si>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</si>
  <si>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</si>
  <si>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</si>
  <si>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</si>
  <si>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</si>
  <si>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</si>
  <si>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</si>
  <si>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</si>
  <si>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</si>
  <si>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</si>
  <si>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</si>
  <si>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</si>
  <si>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</si>
  <si>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</si>
  <si>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</si>
  <si>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</si>
  <si>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</si>
  <si>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</si>
  <si>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</si>
  <si>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</si>
  <si>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</si>
  <si>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</si>
  <si>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</si>
  <si>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</si>
  <si>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</si>
  <si>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</si>
  <si>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</si>
  <si>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</si>
  <si>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Target number of TB suspects to be tested by LPA MTBDRPlus</t>
  </si>
  <si>
    <t>Target coverage of LPA MTBDRPlus investigations (% of suspects to be tested)</t>
  </si>
  <si>
    <t>LPA coverage</t>
  </si>
  <si>
    <t>Number of TB suspects to be tested by LPA MTBDRPlus</t>
  </si>
  <si>
    <t>LPA MTBDRPlus repetition rate</t>
  </si>
  <si>
    <t>Number of LPA MTBDRPlus investigations (persons)</t>
  </si>
  <si>
    <t>LPA MTBDRPlus:</t>
  </si>
  <si>
    <t>DST-1 (MGIT):</t>
  </si>
  <si>
    <t>Target coverage of DST-1 MGIT investigations (% of suspects to be tested)</t>
  </si>
  <si>
    <t>DST-1 MGIT coverage</t>
  </si>
  <si>
    <t>Number of TB suspects to be tested by DST-1 MGIT</t>
  </si>
  <si>
    <t>DST-1 MGIT repetition rate</t>
  </si>
  <si>
    <t>Number of DST-1 MGIT investigations (persons)</t>
  </si>
  <si>
    <t>DST-2 (MGIT):</t>
  </si>
  <si>
    <t>Target coverage of DST-2 MGIT investigations (% of suspects to be tested)</t>
  </si>
  <si>
    <t>Target number of TB suspects to be tested by DST-1 MGIT</t>
  </si>
  <si>
    <t>Target number of TB suspects to be tested by DST-2 MGIT</t>
  </si>
  <si>
    <t>DST-2 MGIT coverage</t>
  </si>
  <si>
    <t>Number of TB suspects to be tested by DST-2 MGIT</t>
  </si>
  <si>
    <t>DST-2 MGIT repetition rate</t>
  </si>
  <si>
    <t>Number of DST-2 MGIT investigations (persons)</t>
  </si>
  <si>
    <t>LPA MTBDRsl:</t>
  </si>
  <si>
    <t>Target coverage of LPA MTBDRsl investigations (% of suspects to be tested)</t>
  </si>
  <si>
    <t>Target number of TB suspects to be tested by LPA MTBDRsl</t>
  </si>
  <si>
    <t>Number of TB suspects to be tested by LPA MTBDRsl</t>
  </si>
  <si>
    <t>LPA MTBDRsl repetition rate</t>
  </si>
  <si>
    <t>Number of LPA MTBDRsl investigations (persons)</t>
  </si>
  <si>
    <t>Number of TB patients to be tested by DST-1 MGIT</t>
  </si>
  <si>
    <t>Percentage of patients requiring DST-1 MGIT investigations</t>
  </si>
  <si>
    <t>Target number of patients to be tested with DST-1 MGIT</t>
  </si>
  <si>
    <t>Percentage of patients requiring LPA MTBDRPlus investigations</t>
  </si>
  <si>
    <t>Target number of patients to be tested with LPA MTBDRPlus</t>
  </si>
  <si>
    <t>Number of TB patients to be tested by LPA MTBDRPlus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</si>
  <si>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</si>
  <si>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</si>
  <si>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</si>
  <si>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</si>
  <si>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</si>
  <si>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</si>
  <si>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</si>
  <si>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</si>
  <si>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1.5.9</t>
  </si>
  <si>
    <t>Percentage of patients requiring DST-2 MGIT investigations</t>
  </si>
  <si>
    <t>Target number of patients to be tested with DST-2 MGIT</t>
  </si>
  <si>
    <t>Number of TB patients to be tested by DST-2 MGIT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</si>
  <si>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</si>
  <si>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</si>
  <si>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</si>
  <si>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</si>
  <si>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</si>
  <si>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</si>
  <si>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</si>
  <si>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</si>
  <si>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</si>
  <si>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1.7.2</t>
  </si>
  <si>
    <t>1.7.1</t>
  </si>
  <si>
    <t>Percentage of patients requiring LPA MTBDRsl investigations</t>
  </si>
  <si>
    <t>Target number of patients to be tested with LPA MTBDRsl</t>
  </si>
  <si>
    <t>Number of TB patients to be tested by LPA MTBDRsl</t>
  </si>
  <si>
    <t>1.7.3</t>
  </si>
  <si>
    <t>1.7.4</t>
  </si>
  <si>
    <t>1.7.5</t>
  </si>
  <si>
    <t>1.7.6</t>
  </si>
  <si>
    <t>1.7.7</t>
  </si>
  <si>
    <t>1.7.8</t>
  </si>
  <si>
    <t>1.7.9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</si>
  <si>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</si>
  <si>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</si>
  <si>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</si>
  <si>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</si>
  <si>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</si>
  <si>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</si>
  <si>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</si>
  <si>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</si>
  <si>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</si>
  <si>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2.5.1</t>
  </si>
  <si>
    <t>2.5.2</t>
  </si>
  <si>
    <t>2.5.3</t>
  </si>
  <si>
    <t>2.5.4</t>
  </si>
  <si>
    <t>2.5.5</t>
  </si>
  <si>
    <t>2.5.6</t>
  </si>
  <si>
    <t>2.5.7</t>
  </si>
  <si>
    <t>2.5.8</t>
  </si>
  <si>
    <t>2.5.9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</si>
  <si>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</si>
  <si>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</si>
  <si>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</si>
  <si>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</si>
  <si>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</si>
  <si>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</si>
  <si>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</si>
  <si>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</si>
  <si>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</si>
  <si>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2.7.1</t>
  </si>
  <si>
    <t>2.7.2</t>
  </si>
  <si>
    <t>2.7.3</t>
  </si>
  <si>
    <t>2.7.4</t>
  </si>
  <si>
    <t>2.7.5</t>
  </si>
  <si>
    <t>2.7.6</t>
  </si>
  <si>
    <t>2.7.7</t>
  </si>
  <si>
    <t>2.7.8</t>
  </si>
  <si>
    <t>2.7.9</t>
  </si>
  <si>
    <t>3.4.1</t>
  </si>
  <si>
    <t>3.4.2</t>
  </si>
  <si>
    <t>3.4.3</t>
  </si>
  <si>
    <t>3.4.4</t>
  </si>
  <si>
    <t>3.4.5</t>
  </si>
  <si>
    <t>3.4.6</t>
  </si>
  <si>
    <t>3.4.7</t>
  </si>
  <si>
    <t>3.4.8</t>
  </si>
  <si>
    <t>3.4.9</t>
  </si>
  <si>
    <t>3.5.1</t>
  </si>
  <si>
    <t>3.5.2</t>
  </si>
  <si>
    <t>3.5.3</t>
  </si>
  <si>
    <t>3.5.4</t>
  </si>
  <si>
    <t>3.5.5</t>
  </si>
  <si>
    <t>3.5.6</t>
  </si>
  <si>
    <t>3.5.7</t>
  </si>
  <si>
    <t>3.5.8</t>
  </si>
  <si>
    <t>3.5.9</t>
  </si>
  <si>
    <t>3.6.1</t>
  </si>
  <si>
    <t>3.6.2</t>
  </si>
  <si>
    <t>3.6.3</t>
  </si>
  <si>
    <t>3.6.4</t>
  </si>
  <si>
    <t>3.6.5</t>
  </si>
  <si>
    <t>3.6.6</t>
  </si>
  <si>
    <t>3.6.7</t>
  </si>
  <si>
    <t>3.6.8</t>
  </si>
  <si>
    <t>3.6.9</t>
  </si>
  <si>
    <t>3.7.1</t>
  </si>
  <si>
    <t>3.7.2</t>
  </si>
  <si>
    <t>3.7.3</t>
  </si>
  <si>
    <t>3.7.4</t>
  </si>
  <si>
    <t>3.7.5</t>
  </si>
  <si>
    <t>3.7.6</t>
  </si>
  <si>
    <t>3.7.7</t>
  </si>
  <si>
    <t>3.7.8</t>
  </si>
  <si>
    <t>3.7.9</t>
  </si>
  <si>
    <t>4.4.1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</si>
  <si>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</si>
  <si>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</si>
  <si>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</si>
  <si>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</si>
  <si>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</si>
  <si>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</si>
  <si>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</si>
  <si>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</si>
  <si>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4.5.1</t>
  </si>
  <si>
    <t>4.5.2</t>
  </si>
  <si>
    <t>4.5.3</t>
  </si>
  <si>
    <t>4.5.4</t>
  </si>
  <si>
    <t>4.5.5</t>
  </si>
  <si>
    <t>4.5.6</t>
  </si>
  <si>
    <t>4.5.7</t>
  </si>
  <si>
    <t>4.5.8</t>
  </si>
  <si>
    <t>4.5.9</t>
  </si>
  <si>
    <t>4.6.1</t>
  </si>
  <si>
    <t>4.6.2</t>
  </si>
  <si>
    <t>4.6.3</t>
  </si>
  <si>
    <t>4.6.4</t>
  </si>
  <si>
    <t>4.6.5</t>
  </si>
  <si>
    <t>4.6.6</t>
  </si>
  <si>
    <t>4.6.7</t>
  </si>
  <si>
    <t>4.6.8</t>
  </si>
  <si>
    <t>4.6.9</t>
  </si>
  <si>
    <t>4.7.1</t>
  </si>
  <si>
    <t>4.7.2</t>
  </si>
  <si>
    <t>4.7.3</t>
  </si>
  <si>
    <t>4.7.4</t>
  </si>
  <si>
    <t>4.7.5</t>
  </si>
  <si>
    <t>4.7.6</t>
  </si>
  <si>
    <t>4.7.7</t>
  </si>
  <si>
    <t>4.7.8</t>
  </si>
  <si>
    <t>4.7.9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</si>
  <si>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</si>
  <si>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</si>
  <si>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</si>
  <si>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</si>
  <si>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</si>
  <si>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</si>
  <si>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</si>
  <si>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</si>
  <si>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5.4.9</t>
  </si>
  <si>
    <t>5.5.1</t>
  </si>
  <si>
    <t>5.5.2</t>
  </si>
  <si>
    <t>5.5.3</t>
  </si>
  <si>
    <t>5.5.4</t>
  </si>
  <si>
    <t>5.5.5</t>
  </si>
  <si>
    <t>5.5.6</t>
  </si>
  <si>
    <t>5.5.7</t>
  </si>
  <si>
    <t>5.5.8</t>
  </si>
  <si>
    <t>5.5.9</t>
  </si>
  <si>
    <t>5.6.1</t>
  </si>
  <si>
    <t>5.6.2</t>
  </si>
  <si>
    <t>5.6.3</t>
  </si>
  <si>
    <t>5.6.4</t>
  </si>
  <si>
    <t>5.6.5</t>
  </si>
  <si>
    <t>5.6.6</t>
  </si>
  <si>
    <t>5.6.7</t>
  </si>
  <si>
    <t>5.6.8</t>
  </si>
  <si>
    <t>5.6.9</t>
  </si>
  <si>
    <t>5.7.1</t>
  </si>
  <si>
    <t>5.7.2</t>
  </si>
  <si>
    <t>5.7.3</t>
  </si>
  <si>
    <t>5.7.4</t>
  </si>
  <si>
    <t>5.7.5</t>
  </si>
  <si>
    <t>5.7.6</t>
  </si>
  <si>
    <t>5.7.7</t>
  </si>
  <si>
    <t>5.7.8</t>
  </si>
  <si>
    <t>5.7.9</t>
  </si>
  <si>
    <t>Diagnostic purpose</t>
  </si>
  <si>
    <t>Treatment monitoring purpose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</si>
  <si>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</si>
  <si>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</si>
  <si>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</si>
  <si>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</si>
  <si>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</si>
  <si>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</si>
  <si>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</si>
  <si>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</si>
  <si>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</si>
  <si>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</si>
  <si>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</si>
  <si>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</si>
  <si>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</si>
  <si>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</si>
  <si>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</si>
  <si>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</si>
  <si>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6.3.1</t>
  </si>
  <si>
    <t>6.3.2</t>
  </si>
  <si>
    <t>6.3.3</t>
  </si>
  <si>
    <t>6.3.4</t>
  </si>
  <si>
    <t>6.3.5</t>
  </si>
  <si>
    <t>6.3.6</t>
  </si>
  <si>
    <t>6.3.7</t>
  </si>
  <si>
    <t>6.3.8</t>
  </si>
  <si>
    <t>6.3.9</t>
  </si>
  <si>
    <t>6.4.1</t>
  </si>
  <si>
    <t>6.4.2</t>
  </si>
  <si>
    <t>6.4.3</t>
  </si>
  <si>
    <t>6.4.4</t>
  </si>
  <si>
    <t>6.4.5</t>
  </si>
  <si>
    <t>6.4.6</t>
  </si>
  <si>
    <t>6.4.7</t>
  </si>
  <si>
    <t>6.4.8</t>
  </si>
  <si>
    <t>6.4.9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</si>
  <si>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</si>
  <si>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</si>
  <si>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</si>
  <si>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</si>
  <si>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</si>
  <si>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</si>
  <si>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</si>
  <si>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</si>
  <si>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6.5.9</t>
  </si>
  <si>
    <t>6.6.1</t>
  </si>
  <si>
    <t>6.6.2</t>
  </si>
  <si>
    <t>6.6.3</t>
  </si>
  <si>
    <t>6.6.4</t>
  </si>
  <si>
    <t>6.6.5</t>
  </si>
  <si>
    <t>6.6.6</t>
  </si>
  <si>
    <t>6.6.7</t>
  </si>
  <si>
    <t>6.6.8</t>
  </si>
  <si>
    <t>6.6.9</t>
  </si>
  <si>
    <t>6.7.1</t>
  </si>
  <si>
    <t>6.7.2</t>
  </si>
  <si>
    <t>6.7.3</t>
  </si>
  <si>
    <t>6.7.4</t>
  </si>
  <si>
    <t>6.7.5</t>
  </si>
  <si>
    <t>6.7.6</t>
  </si>
  <si>
    <t>6.7.7</t>
  </si>
  <si>
    <t>6.7.8</t>
  </si>
  <si>
    <t>6.7.9</t>
  </si>
  <si>
    <t xml:space="preserve">Laboratory diagnostic needs by method, investigations (persons) </t>
  </si>
  <si>
    <t>7.2.1</t>
  </si>
  <si>
    <t>7.2.2</t>
  </si>
  <si>
    <t>7.2.3</t>
  </si>
  <si>
    <t>7.2.4</t>
  </si>
  <si>
    <t>7.2.5</t>
  </si>
  <si>
    <t>7.2.6</t>
  </si>
  <si>
    <t>Laboratory diagnostic needs by method, tests</t>
  </si>
  <si>
    <t>Smears</t>
  </si>
  <si>
    <t>Cartridges</t>
  </si>
  <si>
    <t>Tests / tubes</t>
  </si>
  <si>
    <t>Summary laboratory diagnostic needs by method</t>
  </si>
  <si>
    <t>Investigations (persons)</t>
  </si>
  <si>
    <t>Tests (smears)</t>
  </si>
  <si>
    <t>Tests (cartridges)</t>
  </si>
  <si>
    <t>Tests (tubes)</t>
  </si>
  <si>
    <t>Programmatic needs' estimate for key services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</si>
  <si>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</si>
  <si>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</si>
  <si>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</si>
  <si>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</si>
  <si>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</si>
  <si>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</si>
  <si>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</si>
  <si>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</si>
  <si>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</si>
  <si>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</si>
  <si>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</si>
  <si>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</si>
  <si>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</si>
  <si>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</si>
  <si>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</si>
  <si>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GEORGIA TB case notifications</t>
  </si>
  <si>
    <t>Source: NCTLD</t>
  </si>
  <si>
    <t xml:space="preserve">Source: geostat.ge </t>
  </si>
  <si>
    <r>
      <rPr>
        <i/>
        <sz val="11"/>
        <rFont val="Calibri"/>
        <family val="2"/>
        <scheme val="minor"/>
      </rPr>
      <t>Source:</t>
    </r>
    <r>
      <rPr>
        <u/>
        <sz val="11"/>
        <color theme="10"/>
        <rFont val="Calibri"/>
        <family val="2"/>
        <scheme val="minor"/>
      </rPr>
      <t xml:space="preserve"> http://esa.un.org/wpp/Excel-Data/population.htm</t>
    </r>
  </si>
  <si>
    <t xml:space="preserve"> </t>
  </si>
  <si>
    <t>ES</t>
  </si>
  <si>
    <t>HE</t>
  </si>
  <si>
    <t>HES</t>
  </si>
  <si>
    <t>HS</t>
  </si>
  <si>
    <t>RE</t>
  </si>
  <si>
    <t>RES</t>
  </si>
  <si>
    <t>RS</t>
  </si>
  <si>
    <t>HR</t>
  </si>
  <si>
    <t>HRE</t>
  </si>
  <si>
    <t>HRES</t>
  </si>
  <si>
    <t>HRS</t>
  </si>
  <si>
    <t>Number of cases with DST results</t>
  </si>
  <si>
    <t>Sensitive to all FLDs</t>
  </si>
  <si>
    <t>Any resistance to H</t>
  </si>
  <si>
    <t>Any resistance to R</t>
  </si>
  <si>
    <t>Any resistance to E</t>
  </si>
  <si>
    <t>Any resistance to S</t>
  </si>
  <si>
    <t>MDR-TB:</t>
  </si>
  <si>
    <t>Other resistance patterns:</t>
  </si>
  <si>
    <t>Total MDR-TB</t>
  </si>
  <si>
    <t>Total RR-TB</t>
  </si>
  <si>
    <t>Total PDR-TB *</t>
  </si>
  <si>
    <t xml:space="preserve">N </t>
  </si>
  <si>
    <t>All cases</t>
  </si>
  <si>
    <t>R + other resistance:</t>
  </si>
  <si>
    <t>H + other resistance:</t>
  </si>
  <si>
    <t>Any resistance to FLDs:</t>
  </si>
  <si>
    <t>Other resistance patterns</t>
  </si>
  <si>
    <t>SUMMARY:</t>
  </si>
  <si>
    <t>Pattern</t>
  </si>
  <si>
    <t>* Including mono-resistance to R and H</t>
  </si>
  <si>
    <t>km</t>
  </si>
  <si>
    <t>cm</t>
  </si>
  <si>
    <t>ofx</t>
  </si>
  <si>
    <t>NEW</t>
  </si>
  <si>
    <t>No resistance to Km, Cm or Ofx</t>
  </si>
  <si>
    <t>Km</t>
  </si>
  <si>
    <t>Cm</t>
  </si>
  <si>
    <t>Ofx</t>
  </si>
  <si>
    <t>Km + Cm</t>
  </si>
  <si>
    <t>Km + Ofx</t>
  </si>
  <si>
    <t>Cm + Ofx</t>
  </si>
  <si>
    <t>Km + Cm + Ofx</t>
  </si>
  <si>
    <t>'True XDR'</t>
  </si>
  <si>
    <t>Total with DST results</t>
  </si>
  <si>
    <t>RETREATMENT</t>
  </si>
  <si>
    <t>TOTAL</t>
  </si>
  <si>
    <t>New</t>
  </si>
  <si>
    <t>Retr.</t>
  </si>
  <si>
    <t>No resistance to INJ (Cm) or FQ</t>
  </si>
  <si>
    <t>'Pre-XDR'-1 (resistance to INJ)</t>
  </si>
  <si>
    <t>'Pre-XDR'-1 (resistance to FQ)</t>
  </si>
  <si>
    <t>'Pre-XDR'</t>
  </si>
  <si>
    <t>DST-2 RESULTS BY PATIENT:</t>
  </si>
  <si>
    <t>RESISTANCE PATTERNS:</t>
  </si>
  <si>
    <t>DST profile to SLDs</t>
  </si>
  <si>
    <t>Adjustment for error rate (target 3%)</t>
  </si>
  <si>
    <t>Average number of tests (tube sets) per 1 DST-1 MGIT investigation</t>
  </si>
  <si>
    <t>Number of DST-1 MGIT tests (tube sets)</t>
  </si>
  <si>
    <t>Average number of tests per 1 LPA MTBDRPlus investigation</t>
  </si>
  <si>
    <t>Number of LPA MTBDRPlus tests</t>
  </si>
  <si>
    <t>Average number of tests (tube sets) per 1 DST-2 MGIT investigation</t>
  </si>
  <si>
    <t>Number of DST-2 MGIT tests (tube sets)</t>
  </si>
  <si>
    <t>Average number of tests per 1 LPA MTBDRsl investigation</t>
  </si>
  <si>
    <t>Number of LPA MTBDRsl tests</t>
  </si>
  <si>
    <t>Average number of tests (tubes) per 1 culture investigation</t>
  </si>
  <si>
    <t>Tests (tube sets)</t>
  </si>
  <si>
    <t>Tests</t>
  </si>
  <si>
    <t>MDR-TB total:</t>
  </si>
  <si>
    <t>Remarks</t>
  </si>
  <si>
    <t>To be decreasing with time since Xpert will be rolled out</t>
  </si>
  <si>
    <t>Telavi  (LSS)</t>
  </si>
  <si>
    <t>Gori  (LSS)</t>
  </si>
  <si>
    <t>Kutaisi  (ZDL)</t>
  </si>
  <si>
    <t>Batumi  (ZDL)</t>
  </si>
  <si>
    <t>Zugdidi (LSS)</t>
  </si>
  <si>
    <t>Foti  (LSS)</t>
  </si>
  <si>
    <t>Ozurgeti  (LSS)</t>
  </si>
  <si>
    <t>Akhalcikhe (LSS)</t>
  </si>
  <si>
    <t>ZN</t>
  </si>
  <si>
    <t>LED</t>
  </si>
  <si>
    <t>Penitentiary insitution No. 19</t>
  </si>
  <si>
    <t>Penitentiary insitution No. 18</t>
  </si>
  <si>
    <t>NRL (NCTLD)</t>
  </si>
  <si>
    <t>LJ</t>
  </si>
  <si>
    <t>Number of DSM tests</t>
  </si>
  <si>
    <t>ZDL Kutaisi</t>
  </si>
  <si>
    <t>NRL NCTLD, Tbilisi</t>
  </si>
  <si>
    <t>Laboratory</t>
  </si>
  <si>
    <t>NRL NCTLD Tbilisi</t>
  </si>
  <si>
    <t>DST-1</t>
  </si>
  <si>
    <t>DST-2</t>
  </si>
  <si>
    <t>MGIT</t>
  </si>
  <si>
    <t>MTBDRPlus</t>
  </si>
  <si>
    <t>MTBDRsl</t>
  </si>
  <si>
    <t>Number of laboratory investigations (tests)</t>
  </si>
  <si>
    <t>DSM tests</t>
  </si>
  <si>
    <t>Culture tests</t>
  </si>
  <si>
    <t>LPA Hain tests</t>
  </si>
  <si>
    <t>DST results</t>
  </si>
  <si>
    <t>C-</t>
  </si>
  <si>
    <t>C+</t>
  </si>
  <si>
    <t>C+, %</t>
  </si>
  <si>
    <t>DST cov., %</t>
  </si>
  <si>
    <t>Pulmonary SS+</t>
  </si>
  <si>
    <t>Pulmonary SS-</t>
  </si>
  <si>
    <t>Extrapulmonary</t>
  </si>
  <si>
    <t>NEW CASES</t>
  </si>
  <si>
    <t>Smear / culture and DST results</t>
  </si>
  <si>
    <t>ALL CASES</t>
  </si>
  <si>
    <t>RETREATMENT CASES</t>
  </si>
  <si>
    <t>Xpert MTB/RIF needed?</t>
  </si>
  <si>
    <t>Xpert MTB/RIF instruments</t>
  </si>
  <si>
    <t>Needed</t>
  </si>
  <si>
    <t>Available</t>
  </si>
  <si>
    <t>To be supplied</t>
  </si>
  <si>
    <t>Mtskheta</t>
  </si>
  <si>
    <t>Yes</t>
  </si>
  <si>
    <t>Dusheti</t>
  </si>
  <si>
    <t>Probably</t>
  </si>
  <si>
    <t>Kazbegi</t>
  </si>
  <si>
    <t>No</t>
  </si>
  <si>
    <t>Akhalgori</t>
  </si>
  <si>
    <t>Tianeti</t>
  </si>
  <si>
    <t>Gurjaani</t>
  </si>
  <si>
    <t>Akhmeta</t>
  </si>
  <si>
    <t>Telavi</t>
  </si>
  <si>
    <t>Lagodekhi</t>
  </si>
  <si>
    <t>Sagarejo</t>
  </si>
  <si>
    <t>Sighnaghi</t>
  </si>
  <si>
    <t>Kvareli</t>
  </si>
  <si>
    <t>Dedoplis Tskaro</t>
  </si>
  <si>
    <t>Kakheti</t>
  </si>
  <si>
    <t>Gori</t>
  </si>
  <si>
    <t>Kaspi</t>
  </si>
  <si>
    <t>Kareli</t>
  </si>
  <si>
    <t>Khashuri</t>
  </si>
  <si>
    <t>Shida Kartli</t>
  </si>
  <si>
    <t>Rustavi</t>
  </si>
  <si>
    <t>Tetri Tskaro</t>
  </si>
  <si>
    <t>Tsalka</t>
  </si>
  <si>
    <t>Bolnisi</t>
  </si>
  <si>
    <t>Gardabani</t>
  </si>
  <si>
    <t>Dmanisi</t>
  </si>
  <si>
    <t>Marneuli</t>
  </si>
  <si>
    <t>Kvemo Kartli</t>
  </si>
  <si>
    <t>Kutaisi</t>
  </si>
  <si>
    <t>Tkibuli</t>
  </si>
  <si>
    <t>Baghdati</t>
  </si>
  <si>
    <t>Vani</t>
  </si>
  <si>
    <t>Terjola</t>
  </si>
  <si>
    <t>Zestaponi</t>
  </si>
  <si>
    <t>Sachkhere</t>
  </si>
  <si>
    <t>Kharagauli</t>
  </si>
  <si>
    <t>Chiatura</t>
  </si>
  <si>
    <t>Imereti-1</t>
  </si>
  <si>
    <t>Samtredia</t>
  </si>
  <si>
    <t>Tskhaltubo</t>
  </si>
  <si>
    <t>Tsageri</t>
  </si>
  <si>
    <t>Khoni</t>
  </si>
  <si>
    <t>Ambrolauri</t>
  </si>
  <si>
    <t>Lentekhi</t>
  </si>
  <si>
    <t>Oni</t>
  </si>
  <si>
    <t>Imereti-2</t>
  </si>
  <si>
    <t>Lanchkhuti</t>
  </si>
  <si>
    <t>Chokhatauri</t>
  </si>
  <si>
    <t>Ozurgeti</t>
  </si>
  <si>
    <t>Guria</t>
  </si>
  <si>
    <t>Zugdidi</t>
  </si>
  <si>
    <t>Abasha</t>
  </si>
  <si>
    <t>Martvili</t>
  </si>
  <si>
    <t>Senaki</t>
  </si>
  <si>
    <t>Chkhorotsku</t>
  </si>
  <si>
    <t>Tsalenjikha</t>
  </si>
  <si>
    <t>Khobi</t>
  </si>
  <si>
    <t>Mestia</t>
  </si>
  <si>
    <t>Samegrelo and Zemo Svaneti</t>
  </si>
  <si>
    <t>Poti</t>
  </si>
  <si>
    <t>Adigeni</t>
  </si>
  <si>
    <t>Aspindza</t>
  </si>
  <si>
    <t>Akhaltsikhe</t>
  </si>
  <si>
    <t>Akhalqalaqi</t>
  </si>
  <si>
    <t>Borjomi</t>
  </si>
  <si>
    <t>Ninotsminda</t>
  </si>
  <si>
    <t>Abastumani (outpatient dept.)</t>
  </si>
  <si>
    <t>Samtskhe-Javakheti</t>
  </si>
  <si>
    <t>Khelvachauri</t>
  </si>
  <si>
    <t>Shuakhevi</t>
  </si>
  <si>
    <t>Keda</t>
  </si>
  <si>
    <t>Khulo</t>
  </si>
  <si>
    <t>Kobuleti</t>
  </si>
  <si>
    <t>Batumi</t>
  </si>
  <si>
    <t>Ajara</t>
  </si>
  <si>
    <t>Dispensary No. 1</t>
  </si>
  <si>
    <t>Dispensary No. 2</t>
  </si>
  <si>
    <t>Dispensary No. 3</t>
  </si>
  <si>
    <t>Dispensary No. 5</t>
  </si>
  <si>
    <t>Tbilisi (without NCTLD)</t>
  </si>
  <si>
    <t>Xpert needed?</t>
  </si>
  <si>
    <t>TB/HIV</t>
  </si>
  <si>
    <t>Estimated needs of ART treatments</t>
  </si>
  <si>
    <t>Estimated HIV prevalence by category, %</t>
  </si>
  <si>
    <t>Projected annual change, MDR cases</t>
  </si>
  <si>
    <t>Projected annual change, non-MDR cases</t>
  </si>
  <si>
    <t>Non-MDR cases</t>
  </si>
  <si>
    <t>MDR cases</t>
  </si>
  <si>
    <t>Estimated number of TB/HIV cases by category</t>
  </si>
  <si>
    <t>ART enrollment rates by category, %</t>
  </si>
  <si>
    <t>ALL TB/HIV CASES</t>
  </si>
  <si>
    <t>Number of TB/HIV to be enrolled in ART by category</t>
  </si>
  <si>
    <t>TB and diabetes</t>
  </si>
  <si>
    <t>Estimated needs of TB patients with diabetes mellitus</t>
  </si>
  <si>
    <t>Estimated number of TB patients to be treated, all forms</t>
  </si>
  <si>
    <t>Estimated diabetes prevalence among all TB cases, %</t>
  </si>
  <si>
    <t>Estimated number of TB patients with diabetes</t>
  </si>
  <si>
    <t>Other costs</t>
  </si>
  <si>
    <t>Year 1</t>
  </si>
  <si>
    <t>Year 2</t>
  </si>
  <si>
    <r>
      <t xml:space="preserve">Estimated number of patients to be treated, by treatment regimen </t>
    </r>
    <r>
      <rPr>
        <b/>
        <sz val="11"/>
        <color rgb="FFFF0000"/>
        <rFont val="Calibri"/>
        <family val="2"/>
        <scheme val="minor"/>
      </rPr>
      <t>(not adjusted)</t>
    </r>
  </si>
  <si>
    <t>Adjustment for additional MDR-TB cases</t>
  </si>
  <si>
    <r>
      <t>Estimated number of patients to be treated, by treatment regimen</t>
    </r>
    <r>
      <rPr>
        <b/>
        <sz val="11"/>
        <color rgb="FFFF0000"/>
        <rFont val="Calibri"/>
        <family val="2"/>
        <scheme val="minor"/>
      </rPr>
      <t xml:space="preserve"> (adjusted for additional MDR-TB cases)</t>
    </r>
  </si>
  <si>
    <t>X</t>
  </si>
  <si>
    <t>Y</t>
  </si>
  <si>
    <t>SUMMARY BUDGET</t>
  </si>
  <si>
    <t>All costs in USD</t>
  </si>
  <si>
    <t>Budget category</t>
  </si>
  <si>
    <t>Total funding needs</t>
  </si>
  <si>
    <t>Government funding</t>
  </si>
  <si>
    <t xml:space="preserve">External funding: Global Fund </t>
  </si>
  <si>
    <t>External funding: other partners</t>
  </si>
  <si>
    <t>External funding: TOTAL</t>
  </si>
  <si>
    <t>Funding gap</t>
  </si>
  <si>
    <t>Year 1 (2015)</t>
  </si>
  <si>
    <t>Year 2 (2016)</t>
  </si>
  <si>
    <t>Year 3 (2017)</t>
  </si>
  <si>
    <t>TA</t>
  </si>
  <si>
    <t>WG</t>
  </si>
  <si>
    <t>NC</t>
  </si>
  <si>
    <t>QPS</t>
  </si>
  <si>
    <t>TI</t>
  </si>
  <si>
    <t>1.2.10</t>
  </si>
  <si>
    <t>PSM</t>
  </si>
  <si>
    <t>TD</t>
  </si>
  <si>
    <t>NG</t>
  </si>
  <si>
    <t>IEC</t>
  </si>
  <si>
    <t>SUB-TOTAL</t>
  </si>
  <si>
    <t>Annual cost increase adjustment</t>
  </si>
  <si>
    <t>Funding gap as % of total need</t>
  </si>
  <si>
    <t>Summary by Budget Categories (1)</t>
  </si>
  <si>
    <t>Human resources</t>
  </si>
  <si>
    <t>External technical assistance</t>
  </si>
  <si>
    <t>Technical working groups</t>
  </si>
  <si>
    <t>National consultants</t>
  </si>
  <si>
    <t>Local training</t>
  </si>
  <si>
    <t>International training</t>
  </si>
  <si>
    <t>Anti-TB drugs</t>
  </si>
  <si>
    <t>Other drugs</t>
  </si>
  <si>
    <t>OD</t>
  </si>
  <si>
    <t>Medical supplies</t>
  </si>
  <si>
    <t>Procurement and supply management costs</t>
  </si>
  <si>
    <t>Works</t>
  </si>
  <si>
    <t>Facility costs</t>
  </si>
  <si>
    <t>Patient support</t>
  </si>
  <si>
    <t>Information, education and communication</t>
  </si>
  <si>
    <t>NGO grants</t>
  </si>
  <si>
    <t>Quality assurance, program management, supervision</t>
  </si>
  <si>
    <t>Other and unclassified costs</t>
  </si>
  <si>
    <t>Summary by Budget Categories (2)</t>
  </si>
  <si>
    <t>Summary by Budget Groups</t>
  </si>
  <si>
    <t>Budget Group</t>
  </si>
  <si>
    <t>WG, NC, T, TI, QPS</t>
  </si>
  <si>
    <t>Medical equipment and supplies</t>
  </si>
  <si>
    <t>Costs of TB institutions (human resources, utilities, infrastructure)</t>
  </si>
  <si>
    <t>HR, F, W</t>
  </si>
  <si>
    <t>DETAILED BUDGET ASSSUMPTIONS</t>
  </si>
  <si>
    <t>Reference costs:</t>
  </si>
  <si>
    <t>Average cost of national consultant per month (gross)</t>
  </si>
  <si>
    <t>Average cost of training, central level</t>
  </si>
  <si>
    <t>Average cost of training, regional level</t>
  </si>
  <si>
    <t>Average cost of national workshop</t>
  </si>
  <si>
    <t>Average cost of participation in international training, per person</t>
  </si>
  <si>
    <t>Average cost of participation in international event, per person</t>
  </si>
  <si>
    <t>Annual cost of specimens' transportation</t>
  </si>
  <si>
    <t>Annual cost of in-country quality assurance of TB drugs</t>
  </si>
  <si>
    <t>Average cost of one KAP study</t>
  </si>
  <si>
    <t>Annual cost of TB informational and educational materials: printed</t>
  </si>
  <si>
    <t>Annual cost of TB informational and educational materials: audio / video</t>
  </si>
  <si>
    <t>Annual cost of ACSM activities through religious establishments</t>
  </si>
  <si>
    <t>Annual cost of ACSM activities during the World TB Days</t>
  </si>
  <si>
    <t>Cost of Xpert MTB/RIF instrument, 4-module</t>
  </si>
  <si>
    <t>Cost of Xpert MTB/RIF instrument, 2-module</t>
  </si>
  <si>
    <t>Cost of Xpert MTB/RIF cartridge</t>
  </si>
  <si>
    <t>Cost of other equipment (UPS, printer) for Xpert</t>
  </si>
  <si>
    <t>Cost of maintenance / servicing of Xpert MTB/RIF instruments, per module per year</t>
  </si>
  <si>
    <t>Cost of upper-level UVGI lamp</t>
  </si>
  <si>
    <t>Cost of N95/FFP-2 respirator</t>
  </si>
  <si>
    <t>Cost of IT equipment set</t>
  </si>
  <si>
    <t>Cost of rapid HIV test</t>
  </si>
  <si>
    <t>Cost of TB drugs, PDR treatment</t>
  </si>
  <si>
    <t>Cost of 1 enabler (transportation) payment</t>
  </si>
  <si>
    <t>Cost of 1 ZN microscopy test</t>
  </si>
  <si>
    <t>Cost of 1 LED microscopy test (auramine)</t>
  </si>
  <si>
    <t>Cost of 1 fluorescent (LED) microscope (GDF)</t>
  </si>
  <si>
    <t>Cost of other equipment and furniture set for microscopy laboratories</t>
  </si>
  <si>
    <t>Average cost of clinical tests per trearment course, PDR-TB</t>
  </si>
  <si>
    <t xml:space="preserve">Annual cost of maintenance / servicing of laboratory equipment and ventilation systems in reference laboratories </t>
  </si>
  <si>
    <t>Cost of 1 automated MGIT-960 instrument</t>
  </si>
  <si>
    <t>Cost of 1 automated LPA Hain instrument</t>
  </si>
  <si>
    <t>Cost of 1 test, culture (manual on LJ)</t>
  </si>
  <si>
    <t>Cost of 1 test, culture (automated MGIT)</t>
  </si>
  <si>
    <t>Cost of 1 test, DST to 1st line drugs (automated MGIT)</t>
  </si>
  <si>
    <t>Cost of 1 test, identification / HR DST (LPA Hain)</t>
  </si>
  <si>
    <t>Cost of 1 test, DST to 2nd line drugs (LPA Hain)</t>
  </si>
  <si>
    <t>Calculation basis</t>
  </si>
  <si>
    <t>Activity Total</t>
  </si>
  <si>
    <t>Level of TWG workload per year</t>
  </si>
  <si>
    <t>No. of person-months</t>
  </si>
  <si>
    <t>No. of trainings at central level</t>
  </si>
  <si>
    <t>No. of trainings at regional level</t>
  </si>
  <si>
    <t>No. of Xpert MTB/RIF instruments, 4-module</t>
  </si>
  <si>
    <t>No. of Xpert MTB/RIF instruments, 2-module</t>
  </si>
  <si>
    <t>No. of sites</t>
  </si>
  <si>
    <t>No. of Xpert tests</t>
  </si>
  <si>
    <t>No. of active modules</t>
  </si>
  <si>
    <t>No. of workshops</t>
  </si>
  <si>
    <t>No. of LED microscopes</t>
  </si>
  <si>
    <t>No. of sets</t>
  </si>
  <si>
    <t>% coverage</t>
  </si>
  <si>
    <t>No. of ZN tests</t>
  </si>
  <si>
    <t>Estimated needs coverage (2013-2014)</t>
  </si>
  <si>
    <t>Annual increase</t>
  </si>
  <si>
    <t>No. of tests</t>
  </si>
  <si>
    <t>Coverage, %</t>
  </si>
  <si>
    <t>No. of lamps</t>
  </si>
  <si>
    <t>No. of respirators</t>
  </si>
  <si>
    <t>No. of patients, PDR-TB</t>
  </si>
  <si>
    <t>Total No. of patients</t>
  </si>
  <si>
    <t>% of patients to receive incentives</t>
  </si>
  <si>
    <t>No. of patients to receive incentives</t>
  </si>
  <si>
    <t>No. of months of treatment</t>
  </si>
  <si>
    <t>Rate of utilization, %</t>
  </si>
  <si>
    <t>% of patients to receive enablers</t>
  </si>
  <si>
    <t>No. of patients to receive enablers</t>
  </si>
  <si>
    <t>No. of visits per month</t>
  </si>
  <si>
    <t>No. of active grants</t>
  </si>
  <si>
    <t>No. of reviews</t>
  </si>
  <si>
    <t>Number of patients to be enrolled:</t>
  </si>
  <si>
    <t>% of PCD</t>
  </si>
  <si>
    <t>Proper cost of drugs</t>
  </si>
  <si>
    <t>Delivery costs:</t>
  </si>
  <si>
    <t>Procurement fee</t>
  </si>
  <si>
    <t>Quality analysis charges</t>
  </si>
  <si>
    <t>Transport charges</t>
  </si>
  <si>
    <t>In-country logistics</t>
  </si>
  <si>
    <t>TOTAL COST</t>
  </si>
  <si>
    <t>TOTAL COST, rounded</t>
  </si>
  <si>
    <t>NOTES:</t>
  </si>
  <si>
    <t>Drug</t>
  </si>
  <si>
    <t>% of pts</t>
  </si>
  <si>
    <t>No. of pts</t>
  </si>
  <si>
    <t>Strength</t>
  </si>
  <si>
    <t>Packaging</t>
  </si>
  <si>
    <t>Cost per pack</t>
  </si>
  <si>
    <t>Units per pack</t>
  </si>
  <si>
    <t>Cost per unit</t>
  </si>
  <si>
    <t>Dose (units per day)</t>
  </si>
  <si>
    <t>Doses per month</t>
  </si>
  <si>
    <t>Months of treatment</t>
  </si>
  <si>
    <t>Units per patient</t>
  </si>
  <si>
    <t>Units for all patients</t>
  </si>
  <si>
    <t>Total cost, USD</t>
  </si>
  <si>
    <t>Cost per patient, USD</t>
  </si>
  <si>
    <t>Intensive phase</t>
  </si>
  <si>
    <t>Continuation phase</t>
  </si>
  <si>
    <t>Capreomycin</t>
  </si>
  <si>
    <t>1 g</t>
  </si>
  <si>
    <t>Box of 1 vial</t>
  </si>
  <si>
    <t>Amikacin</t>
  </si>
  <si>
    <t>0.5 g</t>
  </si>
  <si>
    <t>Box of 100 vials</t>
  </si>
  <si>
    <t>Levofloxacin</t>
  </si>
  <si>
    <t>250 mg</t>
  </si>
  <si>
    <t>Blister of 100 tabs</t>
  </si>
  <si>
    <t>Prothionamide</t>
  </si>
  <si>
    <t>Cycloserine</t>
  </si>
  <si>
    <t>Blister of 100 capsules</t>
  </si>
  <si>
    <t>Pyrazinamide</t>
  </si>
  <si>
    <t>Rifampicin</t>
  </si>
  <si>
    <t>150 mg</t>
  </si>
  <si>
    <t>Ethambutol</t>
  </si>
  <si>
    <t>400 mg</t>
  </si>
  <si>
    <t>Per patient</t>
  </si>
  <si>
    <t>MPP</t>
  </si>
  <si>
    <t>Inbound freight charges</t>
  </si>
  <si>
    <t>Transport insurance</t>
  </si>
  <si>
    <t>PASER</t>
  </si>
  <si>
    <t>4 g</t>
  </si>
  <si>
    <t>Box of 30 sachets</t>
  </si>
  <si>
    <t>Moxifloxacin</t>
  </si>
  <si>
    <t>Amoxiclav</t>
  </si>
  <si>
    <t>875 mg / 125 mg</t>
  </si>
  <si>
    <t>Linezolid</t>
  </si>
  <si>
    <t>600 mg</t>
  </si>
  <si>
    <t>Clofazimine</t>
  </si>
  <si>
    <t>100 mg</t>
  </si>
  <si>
    <t>HDPE Container of 100 caps</t>
  </si>
  <si>
    <t>PDR treatment</t>
  </si>
  <si>
    <t>MDR treatment - STANDARD (20 months)</t>
  </si>
  <si>
    <t>Drug regimens and costs</t>
  </si>
  <si>
    <t>150/75/400/275 mg</t>
  </si>
  <si>
    <t>Box of 672 tabs (in blisters)</t>
  </si>
  <si>
    <t>150/75 mg</t>
  </si>
  <si>
    <t>S-1</t>
  </si>
  <si>
    <t>Bedaquiline</t>
  </si>
  <si>
    <t>HDPE Container of 188 tabs</t>
  </si>
  <si>
    <t>Dosage: 1) First 14 days: 100 mg x 4 tabs / day (56 tabs); 2) for the rest of 6 months: 100 mg x 2 tabs x 3 times a week (132 tabs). Totally 188 tabs</t>
  </si>
  <si>
    <t>Imipenem / Cilastatin</t>
  </si>
  <si>
    <t>500 mg / 500 mg</t>
  </si>
  <si>
    <t>1 vial</t>
  </si>
  <si>
    <t>Cost per pack, USD</t>
  </si>
  <si>
    <t>Cost per unit, USD</t>
  </si>
  <si>
    <t>Kanamycin</t>
  </si>
  <si>
    <t>Isoniazid (HD)</t>
  </si>
  <si>
    <t>4-FDC / RHZE</t>
  </si>
  <si>
    <t>2-FDC / RH</t>
  </si>
  <si>
    <t>Box of 50 vials</t>
  </si>
  <si>
    <t>Box of 100 tabs in blisters</t>
  </si>
  <si>
    <t>300 mg</t>
  </si>
  <si>
    <t>Box of 20 tabs in blisters</t>
  </si>
  <si>
    <t>Box of 14 tabs in blisters</t>
  </si>
  <si>
    <t>Avg dose (units per day)</t>
  </si>
  <si>
    <t>Water for injection</t>
  </si>
  <si>
    <t>5 ml</t>
  </si>
  <si>
    <t xml:space="preserve">S&amp;N (auto-disable) </t>
  </si>
  <si>
    <t>5 ml / 21Gx</t>
  </si>
  <si>
    <t>Box of 100</t>
  </si>
  <si>
    <t>2-3 → 1</t>
  </si>
  <si>
    <t>A. MSF dosage (i/v): 1) First 14 days: 1000 mg (2 vials) every day (28 vials); 2) for the rest of 12 months: 1000 mg (2 vials) x 6 days a week (596 vials). Totally 624 vials. B. COMPANION dosage (PO?): 1000 mg Ipm + 1000 mg Cls twice daily (=4 vials a day)</t>
  </si>
  <si>
    <t>High-dose H: 1500 mg / day (5 tabs)</t>
  </si>
  <si>
    <t>Breakdown of MDR patients without resistance to SLD by treatment regimen</t>
  </si>
  <si>
    <t>Total number of MDR cases without resistance to SLDs, to be treated</t>
  </si>
  <si>
    <t>% of MDR cases to be treated with 'standard' regimen (20 months)</t>
  </si>
  <si>
    <t>% of MDR cases to be treated with 'shorter' regimen (9 months)</t>
  </si>
  <si>
    <t>Number of MDR cases to be treated with 'standard' regimen (20 months)</t>
  </si>
  <si>
    <t>Number of MDR cases to be treated with 'shorter' regimen (9 months)</t>
  </si>
  <si>
    <t>Year 1                                                          (2016)</t>
  </si>
  <si>
    <t>Year 5                      (2020)</t>
  </si>
  <si>
    <t>Total 3 years             (2016-2018)</t>
  </si>
  <si>
    <t>Consumption rate per drug</t>
  </si>
  <si>
    <t>Units for all pts</t>
  </si>
  <si>
    <t>Successful treatment</t>
  </si>
  <si>
    <t>Unsuccessful treatment</t>
  </si>
  <si>
    <t>Quantities and costs adjusted</t>
  </si>
  <si>
    <t>for consumption, per drug</t>
  </si>
  <si>
    <t>Expected tx success rate</t>
  </si>
  <si>
    <t>Unsuccessful tx outcomes' rate</t>
  </si>
  <si>
    <t>Avg month of unsuccessful outcome</t>
  </si>
  <si>
    <t>Cost per patient, total, USD</t>
  </si>
  <si>
    <t>TOTAL COST OF DRUGS (USD):</t>
  </si>
  <si>
    <t>Full cost</t>
  </si>
  <si>
    <t>Cost adjusted for consumption</t>
  </si>
  <si>
    <t>Adjusted cost</t>
  </si>
  <si>
    <t>MPP / PSM</t>
  </si>
  <si>
    <t>MDR treatment - SHORTENED (9 months)</t>
  </si>
  <si>
    <t>`</t>
  </si>
  <si>
    <r>
      <rPr>
        <b/>
        <sz val="9"/>
        <color theme="1"/>
        <rFont val="Calibri"/>
        <family val="2"/>
        <scheme val="minor"/>
      </rPr>
      <t>8m</t>
    </r>
    <r>
      <rPr>
        <sz val="9"/>
        <color theme="1"/>
        <rFont val="Calibri"/>
        <family val="2"/>
        <scheme val="minor"/>
      </rPr>
      <t xml:space="preserve"> Cm-Lfx- Pto(PAS)-Cs-Z </t>
    </r>
    <r>
      <rPr>
        <sz val="9"/>
        <color theme="1"/>
        <rFont val="Calibri"/>
        <family val="2"/>
      </rPr>
      <t>±</t>
    </r>
    <r>
      <rPr>
        <sz val="9"/>
        <color theme="1"/>
        <rFont val="Calibri"/>
        <family val="2"/>
        <scheme val="minor"/>
      </rPr>
      <t xml:space="preserve">E / </t>
    </r>
    <r>
      <rPr>
        <b/>
        <sz val="9"/>
        <color theme="1"/>
        <rFont val="Calibri"/>
        <family val="2"/>
        <scheme val="minor"/>
      </rPr>
      <t>12m</t>
    </r>
    <r>
      <rPr>
        <sz val="9"/>
        <color theme="1"/>
        <rFont val="Calibri"/>
        <family val="2"/>
        <scheme val="minor"/>
      </rPr>
      <t xml:space="preserve"> Lfx-Pto(PAS)-Cs- Z ±E</t>
    </r>
  </si>
  <si>
    <r>
      <rPr>
        <b/>
        <sz val="9"/>
        <color theme="1"/>
        <rFont val="Calibri"/>
        <family val="2"/>
        <scheme val="minor"/>
      </rPr>
      <t>16w</t>
    </r>
    <r>
      <rPr>
        <sz val="9"/>
        <color theme="1"/>
        <rFont val="Calibri"/>
        <family val="2"/>
        <scheme val="minor"/>
      </rPr>
      <t xml:space="preserve"> Cm-Mfx-Pto-Cfz-H-Z-E / </t>
    </r>
    <r>
      <rPr>
        <b/>
        <sz val="9"/>
        <color theme="1"/>
        <rFont val="Calibri"/>
        <family val="2"/>
        <scheme val="minor"/>
      </rPr>
      <t>24w</t>
    </r>
    <r>
      <rPr>
        <sz val="9"/>
        <color theme="1"/>
        <rFont val="Calibri"/>
        <family val="2"/>
        <scheme val="minor"/>
      </rPr>
      <t xml:space="preserve"> Mfx-Cfz-Z-E</t>
    </r>
  </si>
  <si>
    <t>Z</t>
  </si>
  <si>
    <t>See regimens in a separate file in this worksheet</t>
  </si>
  <si>
    <t>Note: syringes / i/v line for Ipm/Cls not included</t>
  </si>
  <si>
    <t>'pre-XDR' and XDR treatment</t>
  </si>
  <si>
    <t>Type of treatment regimen</t>
  </si>
  <si>
    <t>MDR treatment - standard (20 m)</t>
  </si>
  <si>
    <t>MDR treatment - shortened (9 m)</t>
  </si>
  <si>
    <t>Per pt</t>
  </si>
  <si>
    <t>Cost adjust-ment, %</t>
  </si>
  <si>
    <t>All MDR cases</t>
  </si>
  <si>
    <r>
      <rPr>
        <b/>
        <sz val="9"/>
        <color theme="1"/>
        <rFont val="Calibri"/>
        <family val="2"/>
        <scheme val="minor"/>
      </rPr>
      <t>2m</t>
    </r>
    <r>
      <rPr>
        <sz val="9"/>
        <color theme="1"/>
        <rFont val="Calibri"/>
        <family val="2"/>
        <scheme val="minor"/>
      </rPr>
      <t xml:space="preserve"> RHZE / </t>
    </r>
    <r>
      <rPr>
        <b/>
        <sz val="9"/>
        <color theme="1"/>
        <rFont val="Calibri"/>
        <family val="2"/>
        <scheme val="minor"/>
      </rPr>
      <t>4m</t>
    </r>
    <r>
      <rPr>
        <sz val="9"/>
        <color theme="1"/>
        <rFont val="Calibri"/>
        <family val="2"/>
        <scheme val="minor"/>
      </rPr>
      <t xml:space="preserve"> RH</t>
    </r>
  </si>
  <si>
    <t>% of costs (full)</t>
  </si>
  <si>
    <t>% of costs (adjusted)</t>
  </si>
  <si>
    <t>Dosage: 200–300 mg daily (2 first months) then 100 mg daily</t>
  </si>
  <si>
    <t>'Pre-XDR' and XDR treatment</t>
  </si>
  <si>
    <r>
      <t xml:space="preserve">2. Monthly intake for MDR treatment: </t>
    </r>
    <r>
      <rPr>
        <b/>
        <sz val="9"/>
        <color theme="1"/>
        <rFont val="Calibri"/>
        <family val="2"/>
        <scheme val="minor"/>
      </rPr>
      <t xml:space="preserve">26 </t>
    </r>
    <r>
      <rPr>
        <sz val="9"/>
        <color theme="1"/>
        <rFont val="Calibri"/>
        <family val="2"/>
        <scheme val="minor"/>
      </rPr>
      <t>days</t>
    </r>
  </si>
  <si>
    <t>Estimates of financial needs, expected domestic and external funding for 3 years 2016-2018</t>
  </si>
  <si>
    <t>TB diagnostic investigations at regional and national level</t>
  </si>
  <si>
    <t>Contacts’ investigation, screening and active case finding for TB among high-risk groups including people living with HIV</t>
  </si>
  <si>
    <t>Support to operations of the laboratory network</t>
  </si>
  <si>
    <t>Supply of anti-TB drugs and drug management system</t>
  </si>
  <si>
    <t>Patient support to improve adherence to TB treatment</t>
  </si>
  <si>
    <t xml:space="preserve">Treatment monitoring, management of adverse drug reactions and comorbidities </t>
  </si>
  <si>
    <t>TB infection control in health care facilities</t>
  </si>
  <si>
    <t>Preventive treatment and vaccination against TB</t>
  </si>
  <si>
    <t>Support to operations of TB treatment institutions</t>
  </si>
  <si>
    <t>2.1.10</t>
  </si>
  <si>
    <t>3.2.10</t>
  </si>
  <si>
    <t>Strengthening core health system functions for TB control</t>
  </si>
  <si>
    <t>Advocacy, communication, social mobilization (ACSM) and civil society engagement for TB control</t>
  </si>
  <si>
    <t>Research on priority issues of TB control</t>
  </si>
  <si>
    <t>Estimates of financial needs for 3 years 2016-2018</t>
  </si>
  <si>
    <t>Reference prices</t>
  </si>
  <si>
    <t>Xpert MTB/RIF instruments and tests</t>
  </si>
  <si>
    <t>4-module instruments</t>
  </si>
  <si>
    <t>2-module instruments</t>
  </si>
  <si>
    <t>No. of modules</t>
  </si>
  <si>
    <t>Per year</t>
  </si>
  <si>
    <t>Per month</t>
  </si>
  <si>
    <t>Year 1 Total</t>
  </si>
  <si>
    <t>Year 2 Total</t>
  </si>
  <si>
    <t>Year 3 Total</t>
  </si>
  <si>
    <t>NRL / NCTLD outpatient dept.</t>
  </si>
  <si>
    <t>2014 est.</t>
  </si>
  <si>
    <t>GEORGIA civilian TB services (without NCTLD)</t>
  </si>
  <si>
    <t>GEORGIA civilian TB services</t>
  </si>
  <si>
    <t>Total number of TB units</t>
  </si>
  <si>
    <t>'Group 1'</t>
  </si>
  <si>
    <t>'Group' (06.04.2015)</t>
  </si>
  <si>
    <t>Total number of new Xpert instruments needed</t>
  </si>
  <si>
    <t>Additional Xpert instruments needed:</t>
  </si>
  <si>
    <t>Region / Municipality</t>
  </si>
  <si>
    <t>Persons tested for diagnostic purpose</t>
  </si>
  <si>
    <t>Persons tested for diagnostic purpose per 100,000</t>
  </si>
  <si>
    <t>TB cases, all forms</t>
  </si>
  <si>
    <t>TB cases, all forms, per 100,000</t>
  </si>
  <si>
    <t>Persons tested for diagnostic purpose per 1 TB case (all forms)</t>
  </si>
  <si>
    <t>Referral</t>
  </si>
  <si>
    <t>Destination</t>
  </si>
  <si>
    <t>Distance, km</t>
  </si>
  <si>
    <t>NRL</t>
  </si>
  <si>
    <t>ZDL Kutaisi / Samtredia</t>
  </si>
  <si>
    <t>40 / 25</t>
  </si>
  <si>
    <t>30 / 15</t>
  </si>
  <si>
    <t>ZDL Kutaisi / Zestaponi</t>
  </si>
  <si>
    <t>60 / 25</t>
  </si>
  <si>
    <t>NRL / Marneuli</t>
  </si>
  <si>
    <t>90 / 80</t>
  </si>
  <si>
    <t>60 / 35</t>
  </si>
  <si>
    <t>ZDL Kutaisi / Tskhaltubo</t>
  </si>
  <si>
    <t>70 / 55</t>
  </si>
  <si>
    <t>95 / 75</t>
  </si>
  <si>
    <t>LSS Ozurgeti</t>
  </si>
  <si>
    <t>LSS Zugdidi</t>
  </si>
  <si>
    <t>LSS Zugdidi / Senaki</t>
  </si>
  <si>
    <t>60 / 15</t>
  </si>
  <si>
    <t>75 / 35</t>
  </si>
  <si>
    <t>30 / 20</t>
  </si>
  <si>
    <t>LSS Akhaltsikhe</t>
  </si>
  <si>
    <t>95 / 20</t>
  </si>
  <si>
    <t>LSS Akhaltsikhe / Akhalkalaki</t>
  </si>
  <si>
    <t>55 / 35</t>
  </si>
  <si>
    <t>LSS Akhaltsikhe / Khashuri</t>
  </si>
  <si>
    <t>ZDL Batumi</t>
  </si>
  <si>
    <t>70 / 20</t>
  </si>
  <si>
    <t>ZDL Batumi / Khulo</t>
  </si>
  <si>
    <t>Suspects per 1 TB case (all forms)</t>
  </si>
  <si>
    <t>Est. pulmonary TB cases per 100,000</t>
  </si>
  <si>
    <t>Option 1                  (37 additional instruments)</t>
  </si>
  <si>
    <t>Option 2                  (26 additional instruments)</t>
  </si>
  <si>
    <t>Target No. of suspects to be tested by Xpert</t>
  </si>
  <si>
    <t>Estimated No. of suspects to be tested by Xpert</t>
  </si>
  <si>
    <t>Adjustment coefficient</t>
  </si>
  <si>
    <t>Penitentiary system</t>
  </si>
  <si>
    <t>HIV/AIDS service</t>
  </si>
  <si>
    <t>GEORGIA Total</t>
  </si>
  <si>
    <r>
      <t xml:space="preserve">Estimated No. of suspects                    </t>
    </r>
    <r>
      <rPr>
        <b/>
        <sz val="12"/>
        <color rgb="FFFF0000"/>
        <rFont val="Calibri"/>
        <family val="2"/>
        <scheme val="minor"/>
      </rPr>
      <t xml:space="preserve">  (1)</t>
    </r>
  </si>
  <si>
    <r>
      <t xml:space="preserve">Estimated No. of suspects                    </t>
    </r>
    <r>
      <rPr>
        <b/>
        <sz val="12"/>
        <color rgb="FFFF0000"/>
        <rFont val="Calibri"/>
        <family val="2"/>
        <scheme val="minor"/>
      </rPr>
      <t xml:space="preserve">  (2)</t>
    </r>
  </si>
  <si>
    <r>
      <t xml:space="preserve">Estimated No. of suspects                    </t>
    </r>
    <r>
      <rPr>
        <b/>
        <sz val="12"/>
        <color rgb="FFFF0000"/>
        <rFont val="Calibri"/>
        <family val="2"/>
        <scheme val="minor"/>
      </rPr>
      <t xml:space="preserve">  (3)</t>
    </r>
  </si>
  <si>
    <t>Xpert MTB/RIF needs</t>
  </si>
  <si>
    <t>OPTION 1</t>
  </si>
  <si>
    <t>Number of additional Xpert instruments:</t>
  </si>
  <si>
    <t>OPTION 2</t>
  </si>
  <si>
    <t>NRL-1</t>
  </si>
  <si>
    <t>NRL-2</t>
  </si>
  <si>
    <t>NRL-3</t>
  </si>
  <si>
    <t>NRL-4</t>
  </si>
  <si>
    <t>AIDS Center (IDACIRC)</t>
  </si>
  <si>
    <t>Location</t>
  </si>
  <si>
    <t>To be procured</t>
  </si>
  <si>
    <t>Per w. day (230 days / year)</t>
  </si>
  <si>
    <t>Per module                    per w. day</t>
  </si>
  <si>
    <t>% coverage, Year 1 (2016)</t>
  </si>
  <si>
    <t>% coverage, Year 2 (2017)</t>
  </si>
  <si>
    <t>% coverage, Year 3 (2018)</t>
  </si>
  <si>
    <t>Number of Xpert tests, Year 1 (2016)</t>
  </si>
  <si>
    <t>Number of Xpert tests, Year 2 (2017)</t>
  </si>
  <si>
    <t>Number of Xpert tests, Year 3 (2018)</t>
  </si>
  <si>
    <t>Total 3 years</t>
  </si>
  <si>
    <r>
      <t xml:space="preserve">Target number of Xpert tests,                                         </t>
    </r>
    <r>
      <rPr>
        <b/>
        <sz val="12"/>
        <color rgb="FFFF0000"/>
        <rFont val="Calibri"/>
        <family val="2"/>
        <scheme val="minor"/>
      </rPr>
      <t xml:space="preserve"> Year 1</t>
    </r>
  </si>
  <si>
    <r>
      <t xml:space="preserve">Target number of Xpert tests,                                         </t>
    </r>
    <r>
      <rPr>
        <b/>
        <sz val="12"/>
        <color rgb="FFFF0000"/>
        <rFont val="Calibri"/>
        <family val="2"/>
        <scheme val="minor"/>
      </rPr>
      <t xml:space="preserve"> Year 2</t>
    </r>
  </si>
  <si>
    <r>
      <t xml:space="preserve">Target number of Xpert tests,                                         </t>
    </r>
    <r>
      <rPr>
        <b/>
        <sz val="12"/>
        <color rgb="FFFF0000"/>
        <rFont val="Calibri"/>
        <family val="2"/>
        <scheme val="minor"/>
      </rPr>
      <t xml:space="preserve"> Year 3</t>
    </r>
  </si>
  <si>
    <t>1.1.9</t>
  </si>
  <si>
    <t xml:space="preserve">Training of staff in Xpert MTB/RIF </t>
  </si>
  <si>
    <t>Other equipment for Xpert MTB/RIF sites</t>
  </si>
  <si>
    <t>Maintenance and servicing of Xpert MTB/RIF instruments</t>
  </si>
  <si>
    <t>Supervision / monitoring of Xpert MTB/RIF implementation</t>
  </si>
  <si>
    <t>Warranty extension for Xpert instruments</t>
  </si>
  <si>
    <t>Cartridges for Xpert MTB/RIF tests</t>
  </si>
  <si>
    <t>Number of Xpert instruments</t>
  </si>
  <si>
    <t>Year 3</t>
  </si>
  <si>
    <t>Xpert modules</t>
  </si>
  <si>
    <t>No. of active modules (for servicing)</t>
  </si>
  <si>
    <t>No. of Xpert MTB/RIF instruments for warranty extension</t>
  </si>
  <si>
    <t>Cost of Xpert MTB/RIF Service Pack and warranty extension for 3 additional years</t>
  </si>
  <si>
    <t>No.of peripheral Xpert sites</t>
  </si>
  <si>
    <t>% of unit-quarters covered</t>
  </si>
  <si>
    <t>2.1.9</t>
  </si>
  <si>
    <t>2.1.11</t>
  </si>
  <si>
    <t>Anti-TB drugs, first line treatment</t>
  </si>
  <si>
    <t>Anti-TB drugs, PDR treatment</t>
  </si>
  <si>
    <t>Anti-TB drugs, MDR treatment (standard regimen)</t>
  </si>
  <si>
    <t>Anti-TB drugs, MDR treatment (shortened regimen)</t>
  </si>
  <si>
    <t>Anti-TB drugs, 'pre-XDR' and XDR treatment</t>
  </si>
  <si>
    <t>Cost of TB drugs, first-line treatment</t>
  </si>
  <si>
    <t>No. of patients, first-line treatment</t>
  </si>
  <si>
    <t>Cost of TB drugs, MDR treatment (standard regimen)</t>
  </si>
  <si>
    <t>Cost of TB drugs, MDR treatment (shortened regimen)</t>
  </si>
  <si>
    <t>Cost of TB drugs, 'pre-XDR' and XDR treatment</t>
  </si>
  <si>
    <t>No. of patients, MDR-TB (standard regimen)</t>
  </si>
  <si>
    <t>No. of patients, MDR-TB (shortened regimen)</t>
  </si>
  <si>
    <t>No. of patients, 'pre-XDR' and XDR-TB</t>
  </si>
  <si>
    <t>In-country supply management of anti-TB drugs</t>
  </si>
  <si>
    <t>Category</t>
  </si>
  <si>
    <t>Item</t>
  </si>
  <si>
    <t>Unit</t>
  </si>
  <si>
    <t>USD</t>
  </si>
  <si>
    <t>Average fee of national consultant (gross)</t>
  </si>
  <si>
    <t>Month</t>
  </si>
  <si>
    <t>External technical assistance:</t>
  </si>
  <si>
    <t>Consultancy fee</t>
  </si>
  <si>
    <t>Working day</t>
  </si>
  <si>
    <t>Airfare</t>
  </si>
  <si>
    <t>Round trip</t>
  </si>
  <si>
    <t>Per diem (including accommodation)</t>
  </si>
  <si>
    <t>Day / night</t>
  </si>
  <si>
    <t>Local transportation</t>
  </si>
  <si>
    <t>Day</t>
  </si>
  <si>
    <t>Translation, oral</t>
  </si>
  <si>
    <t>Translation, written</t>
  </si>
  <si>
    <t>Page</t>
  </si>
  <si>
    <t>% of sub-total</t>
  </si>
  <si>
    <t>Transportation of participants</t>
  </si>
  <si>
    <t>Accommodation</t>
  </si>
  <si>
    <t>Person / night</t>
  </si>
  <si>
    <t>Coffee and lunch breaks</t>
  </si>
  <si>
    <t>Person / day</t>
  </si>
  <si>
    <t>Trainers' fee (including tax)</t>
  </si>
  <si>
    <t>Stationery, printing of training materials</t>
  </si>
  <si>
    <t>Person</t>
  </si>
  <si>
    <t>Logistics / secretarial support</t>
  </si>
  <si>
    <t>International training:</t>
  </si>
  <si>
    <t>Hotel accommodation</t>
  </si>
  <si>
    <t>Night</t>
  </si>
  <si>
    <t>DSA</t>
  </si>
  <si>
    <t>Training / attendance fee</t>
  </si>
  <si>
    <t>Payment</t>
  </si>
  <si>
    <t>Insurance</t>
  </si>
  <si>
    <t>Visa</t>
  </si>
  <si>
    <t>Supervision / monitoring visits:</t>
  </si>
  <si>
    <t>Consumption of fuel, L per 100 km</t>
  </si>
  <si>
    <t>L / 100 km</t>
  </si>
  <si>
    <t>Per diem</t>
  </si>
  <si>
    <t>Other expenses</t>
  </si>
  <si>
    <t>% sub-total</t>
  </si>
  <si>
    <t>Cost of 1 L of fuel, GEL</t>
  </si>
  <si>
    <t>Cost of 1 L of fuel, USD</t>
  </si>
  <si>
    <t>L (GEL)</t>
  </si>
  <si>
    <t>L (USD)</t>
  </si>
  <si>
    <t>No. of units</t>
  </si>
  <si>
    <t>Unit cost, USD</t>
  </si>
  <si>
    <t>Total,                   USD</t>
  </si>
  <si>
    <t>Total, USD</t>
  </si>
  <si>
    <t>Number of days</t>
  </si>
  <si>
    <t>Number of trainees</t>
  </si>
  <si>
    <t>Number of local trainers</t>
  </si>
  <si>
    <t>No. of days</t>
  </si>
  <si>
    <t>Number of trainees from regions</t>
  </si>
  <si>
    <t>Training and workshops, central level:</t>
  </si>
  <si>
    <t>Training and workshops, regional level:</t>
  </si>
  <si>
    <t>Number of trainees from districts</t>
  </si>
  <si>
    <t>Cost of 1 training course, regional level</t>
  </si>
  <si>
    <t>Cost of short-term technical consultancy assignment ('standard TA unit')</t>
  </si>
  <si>
    <t>Cost of 1 workshop / training course, central level</t>
  </si>
  <si>
    <t>Number of TA units</t>
  </si>
  <si>
    <t xml:space="preserve">External technical assistance in drug management, centralized procurement and pharmacovigiliance </t>
  </si>
  <si>
    <t>National consultants, drug management</t>
  </si>
  <si>
    <t>Training in drug management, international</t>
  </si>
  <si>
    <t>Training in drug management, local</t>
  </si>
  <si>
    <t>Average cost of 1 person-event, international training</t>
  </si>
  <si>
    <t>Average cost of 1 person-event, international meeting / conference</t>
  </si>
  <si>
    <t>No. of person-events</t>
  </si>
  <si>
    <t>In-country quality assurance of TB drugs</t>
  </si>
  <si>
    <t>National consultants, Xpert MTB/RIF</t>
  </si>
  <si>
    <t>Workshops and coordination meetings on Xpert MTB/RIF</t>
  </si>
  <si>
    <t>1.2.9</t>
  </si>
  <si>
    <t>Support to specimen transportation system</t>
  </si>
  <si>
    <t xml:space="preserve">Laboratory supplies for microscopy investigations </t>
  </si>
  <si>
    <t>Equipment for reference TB laboratories</t>
  </si>
  <si>
    <t>Laboratory supplies for MGIT investigations</t>
  </si>
  <si>
    <t>Laboratory supplies for LPA investigations</t>
  </si>
  <si>
    <t>Laboratory supplies for solid-media culture investigations</t>
  </si>
  <si>
    <t>Maintenance / servicing of laboratory equipment and ventilation systems</t>
  </si>
  <si>
    <t>1.2.11</t>
  </si>
  <si>
    <t>1.2.12</t>
  </si>
  <si>
    <t>1.2.13</t>
  </si>
  <si>
    <t>1.2.14</t>
  </si>
  <si>
    <t>1.2.15</t>
  </si>
  <si>
    <t>1.2.16</t>
  </si>
  <si>
    <t>External technical assistance, strengthening NRL quality management system / support to ISO accreditation</t>
  </si>
  <si>
    <t>International training, strengthening NRL quality management system / support to ISO accreditation</t>
  </si>
  <si>
    <t>Training of staff, strengthening NRL quality management system / support to ISO accreditation</t>
  </si>
  <si>
    <t>National consultants, strengthening NRL quality management system / support to ISO accreditation</t>
  </si>
  <si>
    <t>Training of ZDLs and LSSs staff</t>
  </si>
  <si>
    <t>Training of NRL staff in advanced laboratory techniques abroad</t>
  </si>
  <si>
    <t>1.2.17</t>
  </si>
  <si>
    <t>1.2.18</t>
  </si>
  <si>
    <t>Sub-total 1</t>
  </si>
  <si>
    <t>International trainer's fee</t>
  </si>
  <si>
    <t>Sub-total 2</t>
  </si>
  <si>
    <t>Cost of 1 training course, with participation of international trainer</t>
  </si>
  <si>
    <t>No. of trainings</t>
  </si>
  <si>
    <t>Total No of microscopy tests</t>
  </si>
  <si>
    <t>Proportion of ZN tests</t>
  </si>
  <si>
    <t>Proportion of LED tests</t>
  </si>
  <si>
    <t>No. of LED tests</t>
  </si>
  <si>
    <t>Equipment and furniture for microscopy laboratories</t>
  </si>
  <si>
    <t>No. of MGIT instruments</t>
  </si>
  <si>
    <t>No. of LPA Hain instruments</t>
  </si>
  <si>
    <t>Cost of 1 test, DST to 2nd line drugs (automated MGIT)</t>
  </si>
  <si>
    <t>Environmental infection control measures (UVGI devices) for TB laboratories</t>
  </si>
  <si>
    <t>Individual infection control measures (respirators) for TB laboratories</t>
  </si>
  <si>
    <t>National consultants, development of national TB screening guidelines</t>
  </si>
  <si>
    <t>Medical supplies for TB screening</t>
  </si>
  <si>
    <t>Motivation payments / performance bonuses to health care providers, related to screening for active TB in risk groups</t>
  </si>
  <si>
    <t>'Standard' cost of TWG per year</t>
  </si>
  <si>
    <t>Annual cost of medical supplies for TB screening among risk groups</t>
  </si>
  <si>
    <t>Annual level of motivation payments to health care providers for TB screening among risk groups</t>
  </si>
  <si>
    <t>Human resources, TB laboratories</t>
  </si>
  <si>
    <t>Facility costs, TB laboratories</t>
  </si>
  <si>
    <t>Incentives for TB patients</t>
  </si>
  <si>
    <t>Enablers for TB patients</t>
  </si>
  <si>
    <t>Mobile technologies for adherence support (demonstration projects)</t>
  </si>
  <si>
    <t>pre-XDR and XDR-TB</t>
  </si>
  <si>
    <t>No. of incentive packages per month</t>
  </si>
  <si>
    <t>Total No. of incentive packages</t>
  </si>
  <si>
    <t>Total cost of incentives, USD</t>
  </si>
  <si>
    <t>Total cost of incentives per patient, USD</t>
  </si>
  <si>
    <t>Number of patients to be enrolled in treatment</t>
  </si>
  <si>
    <t>Number of patients to receive incentives</t>
  </si>
  <si>
    <t>Number of incentive packages</t>
  </si>
  <si>
    <t>Program setup:</t>
  </si>
  <si>
    <t>PDR</t>
  </si>
  <si>
    <t>MDR, standard</t>
  </si>
  <si>
    <t>MDR, shortened</t>
  </si>
  <si>
    <t>pre-XDR and XDR</t>
  </si>
  <si>
    <t>Cost of incentive packages</t>
  </si>
  <si>
    <t>Breakdown by NSP years:</t>
  </si>
  <si>
    <t>Incentives for health care staff, related to adherence to TB treatment</t>
  </si>
  <si>
    <t>Total No. of visits</t>
  </si>
  <si>
    <t>Total cost of enablers, USD</t>
  </si>
  <si>
    <t>Total cost of enablers per patient, USD</t>
  </si>
  <si>
    <t>Number of patients to receive enablers</t>
  </si>
  <si>
    <t>Number of visits</t>
  </si>
  <si>
    <t>Annual level of motivation payments to health care providers for adherence to TB treatment</t>
  </si>
  <si>
    <t>Cost of patient enablers</t>
  </si>
  <si>
    <t>Average annual cost of adherence support through mobile technologies</t>
  </si>
  <si>
    <r>
      <t xml:space="preserve">Bacteriological tests for TB treatment monitoring. </t>
    </r>
    <r>
      <rPr>
        <b/>
        <u/>
        <sz val="11"/>
        <color rgb="FFFF0000"/>
        <rFont val="Calibri"/>
        <family val="2"/>
        <scheme val="minor"/>
      </rPr>
      <t>NOTE: included under Intervention 1.2 above.</t>
    </r>
  </si>
  <si>
    <t>Clinical tests for patient monitoring during TB treatment</t>
  </si>
  <si>
    <t>Rapid HIV tests for TB institutions</t>
  </si>
  <si>
    <r>
      <t xml:space="preserve">Tests for ART monitoring in TB/HIV patients. </t>
    </r>
    <r>
      <rPr>
        <b/>
        <u/>
        <sz val="11"/>
        <color rgb="FFFF0000"/>
        <rFont val="Calibri"/>
        <family val="2"/>
        <scheme val="minor"/>
      </rPr>
      <t>NOTE: covered by HIV NSP (and HIV application to TGF).</t>
    </r>
  </si>
  <si>
    <r>
      <t xml:space="preserve">ARV drugs and Cotrimoxazole for TB/HIV patients. </t>
    </r>
    <r>
      <rPr>
        <b/>
        <u/>
        <sz val="11"/>
        <color rgb="FFFF0000"/>
        <rFont val="Calibri"/>
        <family val="2"/>
        <scheme val="minor"/>
      </rPr>
      <t>NOTE: covered by HIV NSP (and HIV application to TGF).</t>
    </r>
  </si>
  <si>
    <t>Average cost of clinical tests per trearment course, first-line treatment</t>
  </si>
  <si>
    <t>Average cost of clinical tests per trearment course, MDR-TB (standard regimen)</t>
  </si>
  <si>
    <t>Average cost of clinical tests per trearment course, MDR-TB (shortened regimen)</t>
  </si>
  <si>
    <t>Average cost of clinical tests per trearment course, pre-XDR and XDR-TB</t>
  </si>
  <si>
    <t>No. of patients, pre-XDR and XDR-TB</t>
  </si>
  <si>
    <t>Average cost of drugs for management of ADRs and comorbidities (all TB cases)</t>
  </si>
  <si>
    <t>Estimated number of TB patients to be tested (DCT) with rapid HIV tests in TB service institutions</t>
  </si>
  <si>
    <t>DCT coverage at TB institutions</t>
  </si>
  <si>
    <t>Number of TB patients to be tested with rapid HIV tests</t>
  </si>
  <si>
    <t>No. of TB patients to be tested with rapid HIV tests</t>
  </si>
  <si>
    <t>Adjustment factor</t>
  </si>
  <si>
    <t>Number of rapid HIV tests</t>
  </si>
  <si>
    <t>Training of TB service staff in HIV counseling and testing</t>
  </si>
  <si>
    <t>National consultants, TB infection control</t>
  </si>
  <si>
    <t>Environmental infection control measures (UVGI devices) for TB treatment institutions</t>
  </si>
  <si>
    <t>Individual infection control measures (respirators) for TB treatment institutions</t>
  </si>
  <si>
    <t>Training on LTBI diagnosis and preventive treatment for general health care providers</t>
  </si>
  <si>
    <t>Diagnostic tests for LTBI</t>
  </si>
  <si>
    <t>Drugs for preventive treatment of LTBI</t>
  </si>
  <si>
    <t>BCG vaccines</t>
  </si>
  <si>
    <t>Estimated number of live births 2014-2020</t>
  </si>
  <si>
    <t>Includes: HIV test (USD 0.66), gloves/pads (USD 0.19), HepB test (USD 0.31) and HepC test (USD 0.62)</t>
  </si>
  <si>
    <t>National consultants, development of national LTBI management guidelines and protocol</t>
  </si>
  <si>
    <t>Cost of 1 TST (Mantoux) test</t>
  </si>
  <si>
    <t>Cost of 1 IGRA (GFT-Gold) test</t>
  </si>
  <si>
    <t>No. of TST tests</t>
  </si>
  <si>
    <t>No. of IGRA tests</t>
  </si>
  <si>
    <t>Total No. of LTBI tests</t>
  </si>
  <si>
    <t>Proportion of TST tests</t>
  </si>
  <si>
    <t>Proportion of IGRA tests</t>
  </si>
  <si>
    <t>Cost of TST tests</t>
  </si>
  <si>
    <t>Cost of IGRA tests</t>
  </si>
  <si>
    <t>Total No. of LTBI treatments</t>
  </si>
  <si>
    <t>Cost of TB preventive treatment in adults, per patient (H, 6 months)</t>
  </si>
  <si>
    <t>Cost of TB preventive treatment in adults, per patient (H+R, 3-4 months)</t>
  </si>
  <si>
    <t>Proportion of 6-month regimen (H)</t>
  </si>
  <si>
    <t>Proportion of 3-4-month regimen (H+R)</t>
  </si>
  <si>
    <t>No. of treatments with 6-month regimen (H)</t>
  </si>
  <si>
    <t>No. of treatments with 3-4-month regimen (H+R)</t>
  </si>
  <si>
    <t>Cost of drugs, 6-month regimen (H)</t>
  </si>
  <si>
    <t>Cost of drugs, 3-4-month regimen (H+R)</t>
  </si>
  <si>
    <t>Cost of 1 BCG dose</t>
  </si>
  <si>
    <t>Estimated No. of live births</t>
  </si>
  <si>
    <t>BCG coverage</t>
  </si>
  <si>
    <t>Estimated No. of newborns to be vaccinated</t>
  </si>
  <si>
    <t xml:space="preserve">Facility costs, TB treatment institutions </t>
  </si>
  <si>
    <t>Human resources, TB treatment institutions</t>
  </si>
  <si>
    <t>External technical assistance, strengthening health system functions for TB control</t>
  </si>
  <si>
    <t>3.1.9</t>
  </si>
  <si>
    <t xml:space="preserve">Training and attendance of international TB events abroad </t>
  </si>
  <si>
    <t xml:space="preserve">Training of health care managers in priority issues of TB control </t>
  </si>
  <si>
    <t>Central NTP supervision</t>
  </si>
  <si>
    <t>Regional NTP supervision</t>
  </si>
  <si>
    <t xml:space="preserve">NTP program coordination meetings </t>
  </si>
  <si>
    <t>WHO reviews of the National TB Program</t>
  </si>
  <si>
    <t>TB management training of TB service staff: doctors</t>
  </si>
  <si>
    <t>TB management training of TB service staff: nurses</t>
  </si>
  <si>
    <t>Training of PHC providers in TB control</t>
  </si>
  <si>
    <t>Printing of TB guidelines, R&amp;R forms and registers</t>
  </si>
  <si>
    <t>Management and administration costs of the Global Fund TB project</t>
  </si>
  <si>
    <t>National consultants, TB information system</t>
  </si>
  <si>
    <t>Cost of central NTP supervision round</t>
  </si>
  <si>
    <t>No. of central supervision rounds per year</t>
  </si>
  <si>
    <t>No. of regional supervision rounds per year</t>
  </si>
  <si>
    <t>No. of meetings per year</t>
  </si>
  <si>
    <t>NTP supervision in the penitentiary system</t>
  </si>
  <si>
    <t>Cost of NTP supervision round in the penitentiary system</t>
  </si>
  <si>
    <t>Cost of regional NTP supervision round (including PHC facilities)</t>
  </si>
  <si>
    <t>Cost of 1 NTP post-supervision coordination meeting</t>
  </si>
  <si>
    <t>Annual cost of IT services for TB information system / database</t>
  </si>
  <si>
    <t xml:space="preserve">Annual cost of printing (NTP) </t>
  </si>
  <si>
    <t>Cost of 1 vehicle</t>
  </si>
  <si>
    <t>Average annual cost of TGF project management</t>
  </si>
  <si>
    <t>3.2.9</t>
  </si>
  <si>
    <t>National consultants, legal framework and TB ethics</t>
  </si>
  <si>
    <t xml:space="preserve">Training in TB legal and ethical issues </t>
  </si>
  <si>
    <t xml:space="preserve">Clinical research studies </t>
  </si>
  <si>
    <t xml:space="preserve">Operational research studies </t>
  </si>
  <si>
    <t>Support to the National Stop TB Partnership</t>
  </si>
  <si>
    <t>National NGO workshops on TB control, civil society involvement and community response</t>
  </si>
  <si>
    <t>TB knowledge, attitude and practice (KAP) studies</t>
  </si>
  <si>
    <t>TB informational and educational materials</t>
  </si>
  <si>
    <t>Training and briefings for mass-media on TB</t>
  </si>
  <si>
    <t>ACSM activities during the World TB Days</t>
  </si>
  <si>
    <t>No. of KAP studies</t>
  </si>
  <si>
    <t>Cost of training at central level, with participation of international trainer</t>
  </si>
  <si>
    <t>Average cost of supervision per Xpert site, per year</t>
  </si>
  <si>
    <t>Cost of genotyping equipment for NRL</t>
  </si>
  <si>
    <t>Genotyping equipment for NRL</t>
  </si>
  <si>
    <t>Genotyping tests at NRL</t>
  </si>
  <si>
    <t>National consultants, legislation and regulations for improving health services’ performance for TB control</t>
  </si>
  <si>
    <t xml:space="preserve">Cost of WHO review of the national TB program </t>
  </si>
  <si>
    <t>Intervention / Activity</t>
  </si>
  <si>
    <t>Objective / Intervention / Activity</t>
  </si>
  <si>
    <t>Objective / Intervention</t>
  </si>
  <si>
    <t>Budget Category (1)</t>
  </si>
  <si>
    <t>Budget Category (2)</t>
  </si>
  <si>
    <t>Clinical and operational research</t>
  </si>
  <si>
    <t>Medical equipment and other equipment</t>
  </si>
  <si>
    <t>SM</t>
  </si>
  <si>
    <t>PS</t>
  </si>
  <si>
    <t>% (by needs, Sub-total)</t>
  </si>
  <si>
    <t>% (by needs, Total)</t>
  </si>
  <si>
    <t>National Strategic Plan for TB control 2016-2020</t>
  </si>
  <si>
    <t>GEL</t>
  </si>
  <si>
    <t>Source: TB Expenditures Assessment, March 2015</t>
  </si>
  <si>
    <t>1.3.3.2</t>
  </si>
  <si>
    <t>1.3.3.4</t>
  </si>
  <si>
    <t>1.3.3.5</t>
  </si>
  <si>
    <t>1.3.3.6</t>
  </si>
  <si>
    <t>Function / category</t>
  </si>
  <si>
    <t>Curative care</t>
  </si>
  <si>
    <t>Inpatient curative care</t>
  </si>
  <si>
    <t>Staff salaries</t>
  </si>
  <si>
    <t>Ancillary drugs and supplies</t>
  </si>
  <si>
    <t>Laboratory and diagnostic services</t>
  </si>
  <si>
    <t>Psycho-social rehabilitation</t>
  </si>
  <si>
    <t>Food for patients</t>
  </si>
  <si>
    <t>Outpatient curative care</t>
  </si>
  <si>
    <t>Rural PHC providers (rural doctors DOT)</t>
  </si>
  <si>
    <t xml:space="preserve">Outpatient specialist care (includes urban PHC providers DOT) </t>
  </si>
  <si>
    <t>Laboratory diagnostic services</t>
  </si>
  <si>
    <t>Indirect costs</t>
  </si>
  <si>
    <t>Healthy condition monitoring programmes</t>
  </si>
  <si>
    <t>Medical Goods</t>
  </si>
  <si>
    <t>Preventive care</t>
  </si>
  <si>
    <t>Governance and health system financing administration</t>
  </si>
  <si>
    <t>Capital investments</t>
  </si>
  <si>
    <t>Annual average exchange rate, GEL for USD 1:</t>
  </si>
  <si>
    <t>Recalculation for estimated breakdown by NSP Interventions</t>
  </si>
  <si>
    <t xml:space="preserve">Investment costs, TB treatment institutions </t>
  </si>
  <si>
    <t>Baseline (2014)</t>
  </si>
  <si>
    <t>Estimated cost</t>
  </si>
  <si>
    <t>NSP needs</t>
  </si>
  <si>
    <t>% annual change</t>
  </si>
  <si>
    <t>Laboratories</t>
  </si>
  <si>
    <t>Treatment institutions</t>
  </si>
  <si>
    <t>Actual expenditure</t>
  </si>
  <si>
    <t>2015 est. (=2014)</t>
  </si>
  <si>
    <t>Summary by Objective and Intervention</t>
  </si>
  <si>
    <t>To provide universal access to early and quality diagnosis of all forms of TB including M/XDR-TB</t>
  </si>
  <si>
    <t>To provide universal access to quality treatment of all forms of TB including M/XDR-TB with appropriate patient support</t>
  </si>
  <si>
    <t>To enable supportive environment and systems for effective TB control</t>
  </si>
  <si>
    <t>TD, OD, SM</t>
  </si>
  <si>
    <t>E, G</t>
  </si>
  <si>
    <t>Capacity building, program management, supervision and quality assurance</t>
  </si>
  <si>
    <t xml:space="preserve">Pharmaceuticals </t>
  </si>
  <si>
    <t>Cost of 1 external TA unit</t>
  </si>
  <si>
    <t>Training</t>
  </si>
  <si>
    <t>At regional level</t>
  </si>
  <si>
    <t>At central level</t>
  </si>
  <si>
    <t>(a)</t>
  </si>
  <si>
    <t>(b)</t>
  </si>
  <si>
    <t>At central level (with international trainer)</t>
  </si>
  <si>
    <t>Abroad</t>
  </si>
  <si>
    <t>For reference only, see detailed costing per activity</t>
  </si>
  <si>
    <t>T, TI</t>
  </si>
  <si>
    <t>Reference unit costs for NC, TA, T/TI and supervision</t>
  </si>
  <si>
    <t>Mid-Year Population by Municipality (thousands)</t>
  </si>
  <si>
    <t>Telavi (LSS)</t>
  </si>
  <si>
    <t>Gori (LSS)</t>
  </si>
  <si>
    <t>Kutaisi (ZDL)</t>
  </si>
  <si>
    <t>Kutaisi (TB)</t>
  </si>
  <si>
    <t>Ozurgeti (LSS)</t>
  </si>
  <si>
    <t>Poti (LSS)</t>
  </si>
  <si>
    <t>Akhaltsikhe (LSS)</t>
  </si>
  <si>
    <t>Batumi (ZDL)</t>
  </si>
  <si>
    <t>Batumi (TB)</t>
  </si>
  <si>
    <t>Tbilisi Dispensary No. 1</t>
  </si>
  <si>
    <t>Tbilisi Dispensary No. 2</t>
  </si>
  <si>
    <t>Tbilisi Dispensary No. 3</t>
  </si>
  <si>
    <t>Tbilisi Dispensary No. 5</t>
  </si>
  <si>
    <t>Prison TB Hospital, Ksani</t>
  </si>
  <si>
    <t>Central Prison Hospital, Tbilisi / Gldani</t>
  </si>
  <si>
    <t>Civilian TB services (without NCTLD)</t>
  </si>
  <si>
    <t>Civilian TB services</t>
  </si>
  <si>
    <t>Total number of Xpert instruments:</t>
  </si>
  <si>
    <t>Pulmonary TB cases</t>
  </si>
  <si>
    <t>Pulm. SS+ cases (new and retr.)</t>
  </si>
  <si>
    <t>Rollout of Xpert MTB/RIF technology</t>
  </si>
  <si>
    <t>Summary Xpert MTB/RIF</t>
  </si>
  <si>
    <t>Xpert needs, diagnostic purpose</t>
  </si>
  <si>
    <t>NEEDS</t>
  </si>
  <si>
    <t>Xpert needs, treatment monitoring purpose</t>
  </si>
  <si>
    <t>Summary of Xpert needs</t>
  </si>
  <si>
    <t>Xpert investigations to be performed</t>
  </si>
  <si>
    <t>4.1.2.1</t>
  </si>
  <si>
    <t>4.2.2.1</t>
  </si>
  <si>
    <t>4.2.2.2</t>
  </si>
  <si>
    <t>4.2.2.3</t>
  </si>
  <si>
    <t>4.2.2.4</t>
  </si>
  <si>
    <t>4.2.2.5</t>
  </si>
  <si>
    <t>4.2.2.6</t>
  </si>
  <si>
    <t>4.1.2.2</t>
  </si>
  <si>
    <t>4.1.2.3</t>
  </si>
  <si>
    <t>4.1.2.4</t>
  </si>
  <si>
    <t>4.1.2.5</t>
  </si>
  <si>
    <t>4.1.2.6</t>
  </si>
  <si>
    <t>Summary of Xpert investigations to be performed</t>
  </si>
  <si>
    <t>'Group 2'</t>
  </si>
  <si>
    <t>OLD</t>
  </si>
  <si>
    <t>DST profile to FLDs, 2010-2014</t>
  </si>
  <si>
    <t>Treatment success</t>
  </si>
  <si>
    <t>Failure</t>
  </si>
  <si>
    <t>Death</t>
  </si>
  <si>
    <t>Transfer out</t>
  </si>
  <si>
    <t>Moved to Cat. IV</t>
  </si>
  <si>
    <t>Not evaluated</t>
  </si>
  <si>
    <t>Civilian sector</t>
  </si>
  <si>
    <t>Penientiary sector</t>
  </si>
  <si>
    <t>ABS.</t>
  </si>
  <si>
    <t>Old classification</t>
  </si>
  <si>
    <t>Treatment outcomes, 2002-2013 cohorts</t>
  </si>
  <si>
    <t>NEW AFB+ cases</t>
  </si>
  <si>
    <t>New classification</t>
  </si>
  <si>
    <t>Unspecified expenses</t>
  </si>
  <si>
    <t>Actual and MTEF/BDD expected total Government contrubutions, GEL</t>
  </si>
  <si>
    <t>Adjusted expected total Government contrubutions, GEL</t>
  </si>
  <si>
    <t>% annual change, GEL</t>
  </si>
  <si>
    <t>% annual change, USD</t>
  </si>
  <si>
    <t>Estimated breakdown by Objective, %:</t>
  </si>
  <si>
    <t>Estimated breakdown by Objective, USD:</t>
  </si>
  <si>
    <t>Estimated breakdown by Objective, GEL:</t>
  </si>
  <si>
    <t>Estimated breakdown by agency, USD:</t>
  </si>
  <si>
    <t>USAID</t>
  </si>
  <si>
    <t>WHO</t>
  </si>
  <si>
    <t>MSF</t>
  </si>
  <si>
    <t>Estimate of Government funding 2016-2018, by Objective</t>
  </si>
  <si>
    <t>Estimated breakdown of total external funding by Objective, USD:</t>
  </si>
  <si>
    <t>CASE NOTIFICATIONS BY CATEGORY, 1996-2014, and forecast until 2020</t>
  </si>
  <si>
    <t>CASE NOTIFICATIONS BY CATEGORY, 2005-2014,  and forecast until 2020</t>
  </si>
  <si>
    <t>CASE NOTIFICATIONS BY CATEGORY, 1999-2014, and forecast until 2020</t>
  </si>
  <si>
    <t>...</t>
  </si>
  <si>
    <t>Table to the right - for NSP text</t>
  </si>
  <si>
    <t>Check 1</t>
  </si>
  <si>
    <t>Check 2</t>
  </si>
  <si>
    <t>DST coverage with all methods (on liquid+solid media)</t>
  </si>
  <si>
    <t>From here onwards, culture refers to automated culture on liquid media (MGIT).</t>
  </si>
  <si>
    <t>Culture for treatment monitoring also refers to MGIT.</t>
  </si>
  <si>
    <t>Xpert supervision</t>
  </si>
  <si>
    <t>No. of sites for supervision</t>
  </si>
  <si>
    <t>OPTION 3</t>
  </si>
  <si>
    <t>Option 3                  (14 additional instruments)</t>
  </si>
  <si>
    <t>LSS Telavi</t>
  </si>
  <si>
    <t>Yes BUT</t>
  </si>
  <si>
    <t>LSS Gori</t>
  </si>
  <si>
    <t>65 / 30</t>
  </si>
  <si>
    <t>Sachkhere /                 ZDL Kutaisi</t>
  </si>
  <si>
    <t>15 / 75</t>
  </si>
  <si>
    <t>Annual cost of minor equipment and supplies for reference labs</t>
  </si>
  <si>
    <t>Cost of other equipment for reference labs</t>
  </si>
  <si>
    <t>Annual number of culture-positive patients</t>
  </si>
  <si>
    <t>Number of tests</t>
  </si>
  <si>
    <t>Cost of 1 set of genotyping tests at NRL (spolygotyping + MIRU)</t>
  </si>
  <si>
    <t>Annual in-country PSM costs for anti-TB drugs</t>
  </si>
  <si>
    <t>Psychological and social assistance to TB patients</t>
  </si>
  <si>
    <t>Cost of 1 incentive package (per month), first-line treatment</t>
  </si>
  <si>
    <t>Cost of 1 incentive package (per month), PDR treatment</t>
  </si>
  <si>
    <t>Cost of 1 incentive package (per month), MDR treatment (all MDR forms)</t>
  </si>
  <si>
    <t>Annual payment to PHC DOT nurses</t>
  </si>
  <si>
    <t>Annual cost of psycho-social assistance to TB patients</t>
  </si>
  <si>
    <t>Pharmaceuticals for management of ADRs during TB treatment</t>
  </si>
  <si>
    <t>Training of health care staff in management of TB and diabetes</t>
  </si>
  <si>
    <t>Supervision, monitoring and evaluation of the National TB Program</t>
  </si>
  <si>
    <t>IT services, maintenance of national TB database</t>
  </si>
  <si>
    <t>Human resources support to program supervision, M&amp;E</t>
  </si>
  <si>
    <t>Human resources costs for project M&amp;E (NCTLD, regional coordinators, prisons and database management)</t>
  </si>
  <si>
    <t>Average annual cost of one NGO project</t>
  </si>
  <si>
    <t xml:space="preserve">NGO projects for case detection, case management and prevention among risk groups </t>
  </si>
  <si>
    <t>NGO projects for innovative approaches in adherence support</t>
  </si>
  <si>
    <t>Annual cost of clinical research studies</t>
  </si>
  <si>
    <t>Annual cost of operational research studies</t>
  </si>
  <si>
    <t>Takes account of End-TB project, implemented by MSF</t>
  </si>
  <si>
    <t>2.1.12</t>
  </si>
  <si>
    <t>Clinical supervision of implementation of new drugs and treatment regimens for M/XDR-TB: mobile consilium</t>
  </si>
  <si>
    <t>Annual cost of 'mobile consilium'</t>
  </si>
  <si>
    <t>TGF SR management and administration cost for CSO / ACSM component</t>
  </si>
  <si>
    <t>1.2.19</t>
  </si>
  <si>
    <t>Procurement of other diagnostic equipment (NCTLD)</t>
  </si>
  <si>
    <t>Cost of 1 CT scan unit</t>
  </si>
  <si>
    <t>Cost of 1 mobile MMR unit (on vehicle)</t>
  </si>
  <si>
    <t>Cost of 1 stationary X-ray unit</t>
  </si>
  <si>
    <t>Cost of 1 portable X-ray unit</t>
  </si>
  <si>
    <t>Cost of 1 bronchoscope</t>
  </si>
  <si>
    <t>Cost of other equipment (for NCTLD, pediatric department)</t>
  </si>
  <si>
    <t>Cost of diagnostic equipment set for NCTLD</t>
  </si>
  <si>
    <t>Mobile MMR equipment for active case finding</t>
  </si>
  <si>
    <t>Enablers for health care staff - PHC DOT nurses and fuel</t>
  </si>
  <si>
    <t>Annual cost of fuel for local transportation for DOT</t>
  </si>
  <si>
    <t>Administration of monetary incentives</t>
  </si>
  <si>
    <t xml:space="preserve">Annual HR cost for administration of monetary incentives, at PR level </t>
  </si>
  <si>
    <t xml:space="preserve">Annual HR cost for administration of monetary incentives, at SR level </t>
  </si>
  <si>
    <t>Annual costs of TGF project management</t>
  </si>
  <si>
    <t>Adjustment for anticipated contributions by MoC (prisons), GEL</t>
  </si>
  <si>
    <t>Gap as percentage of total funding needs, by year:</t>
  </si>
  <si>
    <t>Average annual total TB funding needs 2016-2018, USD</t>
  </si>
  <si>
    <t xml:space="preserve">Population </t>
  </si>
  <si>
    <t>Average annual funding needs per capita, USD</t>
  </si>
  <si>
    <t>Government coverage of total needs, by year, %</t>
  </si>
  <si>
    <t>TGF coverage of total needs, by year, %</t>
  </si>
  <si>
    <t>TGF funding as % of total external funding, 2016-2018, %</t>
  </si>
  <si>
    <t>.</t>
  </si>
  <si>
    <t>2016 Current</t>
  </si>
  <si>
    <t>Current 2016</t>
  </si>
  <si>
    <t>Prisons (1999-2016)</t>
  </si>
  <si>
    <t>All country (1996-2016)</t>
  </si>
  <si>
    <t>Total 2019-2022</t>
  </si>
  <si>
    <t>Total (2019-2022)</t>
  </si>
  <si>
    <t>2019-2022</t>
  </si>
  <si>
    <t>Year 1 (2019)</t>
  </si>
  <si>
    <t>Year 2 (2020)</t>
  </si>
  <si>
    <t>Year 3 (2021)</t>
  </si>
  <si>
    <t>Year 4 (2022)</t>
  </si>
  <si>
    <t>Year 3(2021)</t>
  </si>
  <si>
    <t>Total 4 years (2019-2022)</t>
  </si>
  <si>
    <t>Year3 (2021)</t>
  </si>
  <si>
    <t>153.1</t>
  </si>
  <si>
    <t>154.6</t>
  </si>
  <si>
    <t>Telavi City</t>
  </si>
  <si>
    <t>Zugdidi City</t>
  </si>
  <si>
    <t>Gori City</t>
  </si>
  <si>
    <t>% change 2016/2017</t>
  </si>
  <si>
    <t>GEORGIA TB NSP 2016-2020 [2019-2022]</t>
  </si>
  <si>
    <t>Warrenty for new Xperts</t>
  </si>
  <si>
    <t>How many peripheral Xpert sites will be there?</t>
  </si>
  <si>
    <t>Year 6                     (2021)</t>
  </si>
  <si>
    <t>Year 7                      (2022)</t>
  </si>
  <si>
    <t>(Years 4-7)</t>
  </si>
  <si>
    <t>Summary costs of drugs for TB treatment by regimen, Years 4-7</t>
  </si>
  <si>
    <r>
      <rPr>
        <i/>
        <sz val="9"/>
        <color theme="1"/>
        <rFont val="Calibri"/>
        <family val="2"/>
        <scheme val="minor"/>
      </rPr>
      <t>Source:</t>
    </r>
    <r>
      <rPr>
        <sz val="9"/>
        <color theme="1"/>
        <rFont val="Calibri"/>
        <family val="2"/>
        <scheme val="minor"/>
      </rPr>
      <t xml:space="preserve"> GDF online product catalogue, </t>
    </r>
    <r>
      <rPr>
        <u/>
        <sz val="9"/>
        <color rgb="FF0070C0"/>
        <rFont val="Calibri"/>
        <family val="2"/>
        <scheme val="minor"/>
      </rPr>
      <t>http://www.stoptb.org/gdf/drugsupply/pc2.asp</t>
    </r>
    <r>
      <rPr>
        <sz val="9"/>
        <color theme="1"/>
        <rFont val="Calibri"/>
        <family val="2"/>
        <scheme val="minor"/>
      </rPr>
      <t>, 29 April 2018</t>
    </r>
  </si>
  <si>
    <t>Year 4</t>
  </si>
  <si>
    <t>Year 5</t>
  </si>
  <si>
    <t>Year 6</t>
  </si>
  <si>
    <t>Year 7</t>
  </si>
  <si>
    <t>LTFU</t>
  </si>
  <si>
    <t>Treatment success and LTFU rates, all TB cases, all country, 2002-2013 cohorts, %</t>
  </si>
  <si>
    <t>Treatment success and LTFU rates, new AFB+ cases, all country, 2004-2013 cohorts, %</t>
  </si>
  <si>
    <t>Other not classified</t>
  </si>
  <si>
    <t>6.9.</t>
  </si>
  <si>
    <t>Government spending on TB control by function, 2012-2016</t>
  </si>
  <si>
    <t>TB Expenditure analysis by MoLHSA in May 2018</t>
  </si>
  <si>
    <t>Adjusted expected total Government contributions, USD</t>
  </si>
  <si>
    <t>Estimate of external partners' (other than TGF) funding 2019-2022, by Objective</t>
  </si>
  <si>
    <t>Year 3 (20210</t>
  </si>
  <si>
    <t>2017est</t>
  </si>
  <si>
    <t>2018est</t>
  </si>
  <si>
    <t>ACTUAL</t>
  </si>
  <si>
    <t>PROJECTED</t>
  </si>
  <si>
    <t>Global Fund</t>
  </si>
  <si>
    <t xml:space="preserve">European Commission </t>
  </si>
  <si>
    <t>UNFPA</t>
  </si>
  <si>
    <t xml:space="preserve">French 5% initiative </t>
  </si>
  <si>
    <t>Exchange rate 1USD=Gel</t>
  </si>
  <si>
    <t>1 EUR=Gel</t>
  </si>
  <si>
    <t>French 5% initiative</t>
  </si>
  <si>
    <t>External funding on TB control (Updated in 2018)</t>
  </si>
  <si>
    <t>Average annual total TB funding needs 2019-2022, USD</t>
  </si>
  <si>
    <t>TGF funding as % of total external funding, 2019-2022, %</t>
  </si>
  <si>
    <t>National Strategic Plan for TB control 2019-2022</t>
  </si>
  <si>
    <t>Total expenditures on TB control</t>
  </si>
  <si>
    <t>საერთო დანახარჯები ტბ კონტროლზე</t>
  </si>
  <si>
    <t>% of total</t>
  </si>
  <si>
    <t>Government spending</t>
  </si>
  <si>
    <t>სახელმწიფო დანახარჯები</t>
  </si>
  <si>
    <t>External funding</t>
  </si>
  <si>
    <t>გარეშე დაფინანსება</t>
  </si>
  <si>
    <t>Out-of-pocket payment</t>
  </si>
  <si>
    <t>ჯიბიდან გადახდები</t>
  </si>
  <si>
    <t xml:space="preserve">სულ </t>
  </si>
  <si>
    <t xml:space="preserve">Support piloting Results Based Financing Scheme </t>
  </si>
  <si>
    <t>3.1.10</t>
  </si>
  <si>
    <t xml:space="preserve">Result Based Financing Scheme Pilot </t>
  </si>
  <si>
    <t xml:space="preserve">Incentives to outpatient primary care and specilized TB sites </t>
  </si>
  <si>
    <t>Pilot TA, coordination, data analysis (Curatio International Foundation, TB economics and realist evaluation from the QMU, LSHTM (UK) and TME )</t>
  </si>
  <si>
    <t xml:space="preserve">NCTBLD idetifies need for some equipment </t>
  </si>
  <si>
    <t>Oxygen station (800 liter, 100 kb/hour, pressure 150 bar)</t>
  </si>
  <si>
    <t>Generator</t>
  </si>
  <si>
    <t>Unit cost</t>
  </si>
  <si>
    <t>Units</t>
  </si>
  <si>
    <t>Autoclave</t>
  </si>
  <si>
    <t>Elevator (600 kg 5 stops)</t>
  </si>
  <si>
    <t>Elevator (1000 kg 5 stops)</t>
  </si>
  <si>
    <t>Online UPS 55 kW</t>
  </si>
  <si>
    <t>Ventilation for Reference Lab</t>
  </si>
  <si>
    <t>Dezinfection camera</t>
  </si>
  <si>
    <t>water reservoir (20 tone)</t>
  </si>
  <si>
    <t>Shipping, installation</t>
  </si>
  <si>
    <t>Guideline update</t>
  </si>
  <si>
    <t>Refresher training</t>
  </si>
  <si>
    <t>Developing ethics guideline in line with new WHO guide</t>
  </si>
  <si>
    <t xml:space="preserve">Global Fund </t>
  </si>
  <si>
    <t>Actual</t>
  </si>
  <si>
    <t xml:space="preserve">Projected </t>
  </si>
  <si>
    <t>No investment costs envisioned in 2019-2022</t>
  </si>
  <si>
    <t>was 10% in the 2016-2018</t>
  </si>
  <si>
    <t>Exchange rate</t>
  </si>
  <si>
    <t>სულ 4 წელი</t>
  </si>
  <si>
    <t xml:space="preserve">ტუბერკულოზის შემთხვევების სავარაუდო რაოდენობა მთლიანად  </t>
  </si>
  <si>
    <t>აივ-ის სავარაუდო პრევალენტობა ტუბერკულოზის შემთხვევებს შორის, %</t>
  </si>
  <si>
    <t xml:space="preserve">ტუბ/აივ-შემთხვევების სავარაუდო რაოდენობა </t>
  </si>
  <si>
    <t xml:space="preserve">არვ-ში ჩართვის მაჩვენებელი ტუბ/აივ შემთხვევებს შორის  </t>
  </si>
  <si>
    <t>GF</t>
  </si>
  <si>
    <t>State</t>
  </si>
  <si>
    <t>STATE</t>
  </si>
  <si>
    <t xml:space="preserve">for End TB trial is excluded </t>
  </si>
  <si>
    <t>Product Code</t>
  </si>
  <si>
    <t>Descriptiton</t>
  </si>
  <si>
    <t>Number of Units per Primary Packing</t>
  </si>
  <si>
    <t>Number of Units per Secondary Packing</t>
  </si>
  <si>
    <t>Lowest Price</t>
  </si>
  <si>
    <t>Highest Price</t>
  </si>
  <si>
    <t>PK-Cat I &amp; III-A</t>
  </si>
  <si>
    <t>Cat I &amp; III Kit A, Film coated tablet(s), Blister(s)</t>
  </si>
  <si>
    <t>4-FDC/RHZE-150/75/400/275-(B)-672</t>
  </si>
  <si>
    <t>Rifampicin/Isoniazid/Pyrazinamide/Ethambutol, Film coated tablet(s), Blister(s)</t>
  </si>
  <si>
    <t>3-FDC/RHE-150/75/275-(B)-672</t>
  </si>
  <si>
    <t>Rifampicin/Isoniazid/Ethambutol, Film coated tablet(s), Blister(s)</t>
  </si>
  <si>
    <t>2-FDC/RH-150/75-(B)-672</t>
  </si>
  <si>
    <t>Rifampicin/Isoniazid, Film coated tablet(s), Blister(s)</t>
  </si>
  <si>
    <t>E-400-(B)-672</t>
  </si>
  <si>
    <t>Ethambutol, Film coated tablet(s), Blister(s)</t>
  </si>
  <si>
    <t>H-300-(B)-672</t>
  </si>
  <si>
    <t>Isoniazid, Uncoated tablet(s), Blister(s)</t>
  </si>
  <si>
    <t>Z-400-(B)-672</t>
  </si>
  <si>
    <t>Pyrazinamide, Uncoated tablet(s), Blister(s)</t>
  </si>
  <si>
    <t>S&amp;N-5/21Gx1.5 and Safety Box, 5lt</t>
  </si>
  <si>
    <t>Syringe &amp; needle (auto-disabling), Other, Other</t>
  </si>
  <si>
    <t>PAS-(H)-4-(S)-30</t>
  </si>
  <si>
    <t>PAS Acid, Granule(s), Sachet</t>
  </si>
  <si>
    <t>Km-1-(V)-50</t>
  </si>
  <si>
    <t>Kanamycin, Powder for injection, Vial(s)</t>
  </si>
  <si>
    <t>Cs-250-(B)-100</t>
  </si>
  <si>
    <t>Cycloserine, Capsule(s), Blister(s)</t>
  </si>
  <si>
    <t>Cm-1-(V)-1</t>
  </si>
  <si>
    <t>Capreomycin, Powder for injection, Vial(s)</t>
  </si>
  <si>
    <t>WFI-5-(V)-100</t>
  </si>
  <si>
    <t>Water for injections, Solution for injection, Vial(s)</t>
  </si>
  <si>
    <t>H-100-(B)-100 (10x10)</t>
  </si>
  <si>
    <t>Lfx-250-(B)-100</t>
  </si>
  <si>
    <t>Levofloxacin, Film coated tablet(s), Blister(s)</t>
  </si>
  <si>
    <t>Lfx-500-(B)-100</t>
  </si>
  <si>
    <t>Eto-250-(B)-100</t>
  </si>
  <si>
    <t>Ethionamide, Film coated tablet(s), Blister(s)</t>
  </si>
  <si>
    <t>MDR-Z-400-(B)-672</t>
  </si>
  <si>
    <t>Pyrazinamide, Film coated tablet(s), Blister(s)</t>
  </si>
  <si>
    <t>Cfz-100-(L)-100</t>
  </si>
  <si>
    <t>Clofazimine, Capsule(s), HDPE jar(s)</t>
  </si>
  <si>
    <t>Km-1-(A)-10</t>
  </si>
  <si>
    <t>Kanamycin, Solution for injection, Ampoule(s)</t>
  </si>
  <si>
    <t>PAS-(Na)-4-(S)-25</t>
  </si>
  <si>
    <t>PAS Sodium Salt, Granule(s), Sachet</t>
  </si>
  <si>
    <t>Z-500-(B)-672</t>
  </si>
  <si>
    <t>Trd- 250-(B)-50</t>
  </si>
  <si>
    <t>Terizidone, Capsule(s), Blister(s)</t>
  </si>
  <si>
    <t>S-1-(V)-100</t>
  </si>
  <si>
    <t>Streptomycin, Powder for injection, Vial(s)</t>
  </si>
  <si>
    <t>E-100-(B)-100</t>
  </si>
  <si>
    <t>S&amp;N-5/23Gx1 and Safety Box, 5lt</t>
  </si>
  <si>
    <t>Pto-250-(B)-100</t>
  </si>
  <si>
    <t>Prothionamide, Film coated tablet(s), Blister(s)</t>
  </si>
  <si>
    <t>PAS-(Na)-4-(S)-30</t>
  </si>
  <si>
    <t>Am-500-(A)-10</t>
  </si>
  <si>
    <t>Amikacin, Solution for injection, Ampoule(s)</t>
  </si>
  <si>
    <t>Lnz-600-(B)-10</t>
  </si>
  <si>
    <t>Linezolid , Film coated tablet(s), Blister(s)</t>
  </si>
  <si>
    <t>Amx/Clv-500/125-(B)-15</t>
  </si>
  <si>
    <t>Amoxicillin + Clavulanic acid, Film coated tablet(s), Blister(s)</t>
  </si>
  <si>
    <t>Amx/Clv-875/125-(B)-12</t>
  </si>
  <si>
    <t>S&amp;N-5/22Gx1.5 and Safety Box, 5lt</t>
  </si>
  <si>
    <t>Syringe &amp; needle (auto-disabling), Other, Bag(s)</t>
  </si>
  <si>
    <t>Amx/Clv-500/125-(B)-100</t>
  </si>
  <si>
    <t>Amx/Clv-875/125-(B)-100</t>
  </si>
  <si>
    <t>Mfx-400-(B)-100</t>
  </si>
  <si>
    <t>Moxifloxacin, Film coated tablet(s), Blister(s)</t>
  </si>
  <si>
    <t>Amx/Clv-250/125-(B)-20</t>
  </si>
  <si>
    <t>Amx/Clv-250/125-(B)-14</t>
  </si>
  <si>
    <t>Bdq-100-(L)-188</t>
  </si>
  <si>
    <t>Bedaquiline, Uncoated tablet(s), HDPE container(s)</t>
  </si>
  <si>
    <t>R-300-(B)-100</t>
  </si>
  <si>
    <t>Rifampicin, Film coated tablet(s), Blister(s)</t>
  </si>
  <si>
    <t>R-150-(B)-100</t>
  </si>
  <si>
    <t>S&amp;N - 5 ml/21 G (RUP/SIP)</t>
  </si>
  <si>
    <t>AD Syringes (RUP/SIP), Other, Other</t>
  </si>
  <si>
    <t>S&amp;N - 5 ml/23 G (RUP/SIP)</t>
  </si>
  <si>
    <t>Safety box for used S&amp;N - 5L</t>
  </si>
  <si>
    <t>Safety Box for used S&amp;N, Other, Other</t>
  </si>
  <si>
    <t>WFI-5-(V)-50</t>
  </si>
  <si>
    <t>Water for Injections, Solution for injection, Vial(s)</t>
  </si>
  <si>
    <t>Rbt-150-(L) -100</t>
  </si>
  <si>
    <t>Rifabutin, Capsule(s), HDPE jar(s)</t>
  </si>
  <si>
    <t>Amx/Clv-125-(BTL)-1</t>
  </si>
  <si>
    <t>Amoxicillin + Clavulanic acid, Other, HDPE container(s)</t>
  </si>
  <si>
    <t>Imp/Cls-500/500-(V)-10</t>
  </si>
  <si>
    <t>Imipenem / Cilastatin, Solution for injection, Vial(s)</t>
  </si>
  <si>
    <t>Lfx-750-(B)-100</t>
  </si>
  <si>
    <t>3-FDC/RHZ-75/50/150-(B)-84 (28x3)</t>
  </si>
  <si>
    <t>Rifampicin/Isoniazid/Pyrazinamide, Dispersible tablet(s), Blister(s)</t>
  </si>
  <si>
    <t>2-FDC/RH-75/50-(B)-84 (28x3)</t>
  </si>
  <si>
    <t>Rifampicin/Isoniazid, Dispersible tablet(s), Strip(s)</t>
  </si>
  <si>
    <t>Dlm-50-(B)-672</t>
  </si>
  <si>
    <t>Delamanid, Film coated tablet(s), Blister(s)</t>
  </si>
  <si>
    <t>Eto-125-(B)-100</t>
  </si>
  <si>
    <t>Km-0.5-(V)-50</t>
  </si>
  <si>
    <t>Z-500-(B)-120</t>
  </si>
  <si>
    <t>Mrp-1-(V)-1</t>
  </si>
  <si>
    <t>Meropenem, Powder for injection, Vial(s)</t>
  </si>
  <si>
    <t>Rpt-150-(B)-24</t>
  </si>
  <si>
    <t>Rifapentine, Film coated tablet(s), Blister(s)</t>
  </si>
  <si>
    <t>Pyr(B6)-50-(B)-50</t>
  </si>
  <si>
    <t>Pyridoxine, Film coated tablet(s), Blister(s)</t>
  </si>
  <si>
    <t>Pyr(B6)-100-(L)-250</t>
  </si>
  <si>
    <t>Pyrodoxine, Uncoated tablet(s), HDPE jar(s)</t>
  </si>
  <si>
    <t>S-1-(V)-10</t>
  </si>
  <si>
    <t>S&amp;N - 5 ml/22 G (RUP/SIP)</t>
  </si>
  <si>
    <t>Cs-125-(B)-100</t>
  </si>
  <si>
    <t>Cyclocerine, Capsule(s), Blister(s)</t>
  </si>
  <si>
    <t>Mfx-100-(B-DT)-100</t>
  </si>
  <si>
    <t>Moxifloxacin ((hydrochloride), Dispersible tablet(s), Blister(s)</t>
  </si>
  <si>
    <t>Lfx-100-(B-DT)-100</t>
  </si>
  <si>
    <t>Levofloxacin, Dispersible tablet(s), Blister(s)</t>
  </si>
  <si>
    <t>E-100-(B-DT)-100</t>
  </si>
  <si>
    <t>Ethambutol hydrochloride, Dispersible tablet(s), Blister(s)</t>
  </si>
  <si>
    <t>Z-150-(B-DT)-100 (10x10)</t>
  </si>
  <si>
    <t>Pyrazinamide, Dispersible tablet(s), Strip(s)</t>
  </si>
  <si>
    <t>Eto-125-(B-DT)-100</t>
  </si>
  <si>
    <t>Ethionamide, Dispersible tablet(s), Strip(s)</t>
  </si>
  <si>
    <t>Cm-1-(V)-10</t>
  </si>
  <si>
    <t>Cm-0.5-(V)-1</t>
  </si>
  <si>
    <t>4-FDC/RHZE-150/75/400/275-(B)-336</t>
  </si>
  <si>
    <t>2-FDC/RH-150/75-(B)-336</t>
  </si>
  <si>
    <t>Lnz-600-(B)-100</t>
  </si>
  <si>
    <t>HPST-Q-TIB-(L)-30</t>
  </si>
  <si>
    <t>Isoniazid/Pyridoxine hydrochl/Sulfamethoxazole/Trimethoprim, Uncoated tablet(s), HDPE container(s)</t>
  </si>
  <si>
    <t>Higher reference prices are used</t>
  </si>
  <si>
    <t>Delamanid</t>
  </si>
  <si>
    <t>50mg</t>
  </si>
  <si>
    <t>Delamanid Dlm-50-(B)-672</t>
  </si>
  <si>
    <t>Box(es) of 672 (in blister)</t>
  </si>
  <si>
    <t>1. Source of prices: GDF, as ofJune 2018. The highest values were used if ranges were indicated.</t>
  </si>
  <si>
    <t>3. Drug consumption pattern aligned with new TB case management guidelines in consultations with NTP in June 2018</t>
  </si>
  <si>
    <t>Linezolind</t>
  </si>
  <si>
    <t>Clofazemine</t>
  </si>
  <si>
    <t>Collaboration withing French 5% initiative</t>
  </si>
  <si>
    <t>3.3.9.</t>
  </si>
  <si>
    <t>state</t>
  </si>
  <si>
    <t>Other</t>
  </si>
  <si>
    <t xml:space="preserve">Other </t>
  </si>
  <si>
    <t xml:space="preserve">Estimated GF </t>
  </si>
  <si>
    <t>Ob1</t>
  </si>
  <si>
    <t>Ob 2</t>
  </si>
  <si>
    <t>Ob 3</t>
  </si>
  <si>
    <t>State Contribution</t>
  </si>
  <si>
    <t>Ob 1</t>
  </si>
  <si>
    <t>Ob2</t>
  </si>
  <si>
    <t xml:space="preserve">for activities that can pottentially be covered by GF </t>
  </si>
  <si>
    <t>Total per Year</t>
  </si>
  <si>
    <t>Illustrative</t>
  </si>
  <si>
    <t xml:space="preserve">Government per case all notified </t>
  </si>
  <si>
    <t>Objective</t>
  </si>
  <si>
    <t>Funding</t>
  </si>
  <si>
    <t>gap</t>
  </si>
  <si>
    <t>Funding need in 2020-2022</t>
  </si>
  <si>
    <t>Funding for currently co-financed activities</t>
  </si>
  <si>
    <t>Consultancy day</t>
  </si>
  <si>
    <t>Number of central and regional sessions</t>
  </si>
  <si>
    <t>Number of cartridges</t>
  </si>
  <si>
    <t>Number of Active modules</t>
  </si>
  <si>
    <t>Number of peripheral Xpert sites</t>
  </si>
  <si>
    <t>Number of coordination workshops</t>
  </si>
  <si>
    <t>Total number of tests (Culture, DST 1st line, DST 2nd Line)</t>
  </si>
  <si>
    <t>LPA Hain</t>
  </si>
  <si>
    <t>Annual cost</t>
  </si>
  <si>
    <t>Number of person events</t>
  </si>
  <si>
    <t>Annual cost for the following coverage</t>
  </si>
  <si>
    <t xml:space="preserve">Training in TB Screening </t>
  </si>
  <si>
    <t>Budgeted under objective 3</t>
  </si>
  <si>
    <t>Annual Salaries</t>
  </si>
  <si>
    <t>Number of patients</t>
  </si>
  <si>
    <t>Annual PSM cost</t>
  </si>
  <si>
    <t>Costs are based on estimated numbers of DS and DR TB patients receiving incentives</t>
  </si>
  <si>
    <t>Annual costs</t>
  </si>
  <si>
    <t>Costs are based on estimated number of patients and clinical tests</t>
  </si>
  <si>
    <t>TB management training of TB service staff: nurses and epidemiologists</t>
  </si>
  <si>
    <t>Support to the Georgian TB Coalition</t>
  </si>
  <si>
    <t>Number of trainings at central and regional levels</t>
  </si>
  <si>
    <t>Number of regional trainings</t>
  </si>
  <si>
    <t>Included in TB treatment institutions costs</t>
  </si>
  <si>
    <t>Annual costs for salaries</t>
  </si>
  <si>
    <t>Human resources, TB treatment institutions (Outpatient and inpatient0</t>
  </si>
  <si>
    <t>Facility costs, TB treatment institutions (Outpatient and inpatient)</t>
  </si>
  <si>
    <t>Supportive equipment for NCTBLD</t>
  </si>
  <si>
    <t>Training and performance review of PHC providers in TB control</t>
  </si>
  <si>
    <t>Amount of incentives to selected providers</t>
  </si>
  <si>
    <t>Estimated annual cost</t>
  </si>
  <si>
    <t>N of trainings at central and regional levels</t>
  </si>
  <si>
    <t>estimated cost per event</t>
  </si>
  <si>
    <t>Partner</t>
  </si>
  <si>
    <t>Estimates of financial needs, expected domestic and external funding for 4 years 2019-2022</t>
  </si>
  <si>
    <t>Total 5 years</t>
  </si>
  <si>
    <t>Total estimated number of TB cases</t>
  </si>
  <si>
    <t>Estimated HIV prevalence among all TB cases, %</t>
  </si>
  <si>
    <t>Estimated number of TB/HIV cases</t>
  </si>
  <si>
    <t>ART enrolment rate among TB/HIV cases</t>
  </si>
  <si>
    <t>Number of TB/HIV patients on ART</t>
  </si>
  <si>
    <t>All TB/HIV Cases on ARV</t>
  </si>
  <si>
    <t>Treatment category</t>
  </si>
  <si>
    <t>2016-Baseline</t>
  </si>
  <si>
    <t>PDR-TB treatment</t>
  </si>
  <si>
    <t>MDR-TB treatment, total</t>
  </si>
  <si>
    <r>
      <t>·</t>
    </r>
    <r>
      <rPr>
        <sz val="7"/>
        <rFont val="Times New Roman"/>
        <family val="1"/>
      </rPr>
      <t xml:space="preserve">       </t>
    </r>
    <r>
      <rPr>
        <i/>
        <sz val="10"/>
        <rFont val="Times New Roman"/>
        <family val="1"/>
      </rPr>
      <t>MDR-TB without resistance to SLDs</t>
    </r>
  </si>
  <si>
    <r>
      <t>·</t>
    </r>
    <r>
      <rPr>
        <sz val="7"/>
        <rFont val="Times New Roman"/>
        <family val="1"/>
      </rPr>
      <t xml:space="preserve">       </t>
    </r>
    <r>
      <rPr>
        <i/>
        <sz val="10"/>
        <rFont val="Times New Roman"/>
        <family val="1"/>
      </rPr>
      <t>MDR-TB, 'pre-XDR'</t>
    </r>
  </si>
  <si>
    <r>
      <t>·</t>
    </r>
    <r>
      <rPr>
        <sz val="7"/>
        <rFont val="Times New Roman"/>
        <family val="1"/>
      </rPr>
      <t xml:space="preserve">       </t>
    </r>
    <r>
      <rPr>
        <i/>
        <sz val="10"/>
        <rFont val="Times New Roman"/>
        <family val="1"/>
      </rPr>
      <t>MDR-TB, XDR</t>
    </r>
  </si>
  <si>
    <t>Total TB cases</t>
  </si>
  <si>
    <t>Case category</t>
  </si>
  <si>
    <t>New pulmonary SS(+)</t>
  </si>
  <si>
    <t>New pulmonary SS(–)</t>
  </si>
  <si>
    <t>New extrapulmonary</t>
  </si>
  <si>
    <t>Sub-total, new cases</t>
  </si>
  <si>
    <t>Retreatment pulmonary SS(+)</t>
  </si>
  <si>
    <t>Retreatment pulmonary SS(–)</t>
  </si>
  <si>
    <t>Retreatment extrapulmonary</t>
  </si>
  <si>
    <t>Sub-total, retreatment cases</t>
  </si>
  <si>
    <t>New and relapse cases (incident):</t>
  </si>
  <si>
    <r>
      <t>·</t>
    </r>
    <r>
      <rPr>
        <sz val="7"/>
        <rFont val="Times New Roman"/>
        <family val="1"/>
      </rPr>
      <t xml:space="preserve">         </t>
    </r>
    <r>
      <rPr>
        <b/>
        <i/>
        <sz val="10"/>
        <rFont val="Times New Roman"/>
        <family val="1"/>
      </rPr>
      <t>Pulmonary, bacteriologically confirmed</t>
    </r>
  </si>
  <si>
    <r>
      <t>·</t>
    </r>
    <r>
      <rPr>
        <sz val="7"/>
        <rFont val="Times New Roman"/>
        <family val="1"/>
      </rPr>
      <t xml:space="preserve">         </t>
    </r>
    <r>
      <rPr>
        <b/>
        <i/>
        <sz val="10"/>
        <rFont val="Times New Roman"/>
        <family val="1"/>
      </rPr>
      <t>Pulmonary, clinically diagnosed</t>
    </r>
  </si>
  <si>
    <r>
      <t>·</t>
    </r>
    <r>
      <rPr>
        <sz val="7"/>
        <rFont val="Times New Roman"/>
        <family val="1"/>
      </rPr>
      <t xml:space="preserve">         </t>
    </r>
    <r>
      <rPr>
        <b/>
        <i/>
        <sz val="10"/>
        <rFont val="Times New Roman"/>
        <family val="1"/>
      </rPr>
      <t>Extrapulmonary (bacteriologically confirmed, clinically diagnosed)</t>
    </r>
  </si>
  <si>
    <t>Retreatment cases, (pulmonary or extrapulmonary, bacteriologically confirmed or clinically diagnosed)</t>
  </si>
  <si>
    <t xml:space="preserve">All TB cases: </t>
  </si>
  <si>
    <t>Case Catergories Revised</t>
  </si>
  <si>
    <t>Funding Sources and anticipated gap</t>
  </si>
  <si>
    <t xml:space="preserve">Government funding 80%, funding gap 13% </t>
  </si>
  <si>
    <t xml:space="preserve">External technical assistance in drug management, centralized procurement and pharmacovigilance </t>
  </si>
  <si>
    <t>National consultants, legislation and regulations for improving health services’ performance for TB control, including palliative care</t>
  </si>
  <si>
    <t>Government funding 63% funding gap 12%</t>
  </si>
  <si>
    <t>Maintenance</t>
  </si>
  <si>
    <t xml:space="preserve">Government funding 12%, funding gap 17% </t>
  </si>
  <si>
    <r>
      <t xml:space="preserve">Bacteriological tests for TB treatment monitoring. </t>
    </r>
    <r>
      <rPr>
        <b/>
        <u/>
        <sz val="11"/>
        <rFont val="Times New Roman"/>
        <family val="1"/>
      </rPr>
      <t>NOTE: included under Intervention 1.2 above.</t>
    </r>
  </si>
  <si>
    <r>
      <t xml:space="preserve">ARV drugs and Cotrimoxazole for TB/HIV patients. </t>
    </r>
    <r>
      <rPr>
        <b/>
        <u/>
        <sz val="11"/>
        <rFont val="Times New Roman"/>
        <family val="1"/>
      </rPr>
      <t>NOTE: covered by HIV NSP (and HIV application to TGF).</t>
    </r>
  </si>
  <si>
    <r>
      <t xml:space="preserve">Tests for ART monitoring in TB/HIV patients. </t>
    </r>
    <r>
      <rPr>
        <b/>
        <u/>
        <sz val="11"/>
        <rFont val="Times New Roman"/>
        <family val="1"/>
      </rPr>
      <t>NOTE: covered by HIV NSP (and HIV application to TGF).</t>
    </r>
  </si>
  <si>
    <t>2015 (Baseline)</t>
  </si>
  <si>
    <t>2015-Baseline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</si>
</sst>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-* #,##0.00_-;\-* #,##0.00_-;_-* &quot;-&quot;??_-;_-@_-"/>
    <numFmt numFmtId="167" formatCode="#,##0.0"/>
    <numFmt numFmtId="168" formatCode="#,##0.000"/>
    <numFmt numFmtId="169" formatCode="_(* #,##0_);_(* \(#,##0\);_(* &quot;-&quot;??_);_(@_)"/>
    <numFmt numFmtId="170" formatCode="#,##0.0000"/>
    <numFmt numFmtId="171" formatCode="_(* #,##0.0_);_(* \(#,##0.0\);_(* &quot;-&quot;??_);_(@_)"/>
    <numFmt numFmtId="172" formatCode="0.0000%"/>
    <numFmt numFmtId="173" formatCode="_-* #,##0_-;\-* #,##0_-;_-* &quot;-&quot;??_-;_-@_-"/>
    <numFmt numFmtId="174" formatCode="_-* #,##0.0000_-;\-* #,##0.0000_-;_-* &quot;-&quot;??_-;_-@_-"/>
    <numFmt numFmtId="175" formatCode="0.0000"/>
    <numFmt numFmtId="176" formatCode="_-&quot;$&quot;* #,##0_-;\-&quot;$&quot;* #,##0_-;_-&quot;$&quot;* &quot;-&quot;_-;_-@_-"/>
    <numFmt numFmtId="177" formatCode="_ [$€-413]\ * #,##0.00_ ;_ [$€-413]\ * \-#,##0.00_ ;_ [$€-413]\ * &quot;-&quot;_ ;_ @_ "/>
    <numFmt numFmtId="178" formatCode="_-* #,##0.00\ _m_a_n_._-;\-* #,##0.00\ _m_a_n_._-;_-* &quot;-&quot;??\ _m_a_n_._-;_-@_-"/>
    <numFmt numFmtId="179" formatCode="_-* #,##0.00\ &quot;€&quot;_-;\-* #,##0.00\ &quot;€&quot;_-;_-* &quot;-&quot;??\ &quot;€&quot;_-;_-@_-"/>
    <numFmt numFmtId="180" formatCode="_-* #,##0.00_р_._-;\-* #,##0.00_р_._-;_-* &quot;-&quot;??_р_._-;_-@_-"/>
    <numFmt numFmtId="181" formatCode="_-[$€-2]\ * #,##0.00_-;\-[$€-2]\ * #,##0.00_-;_-[$€-2]\ * &quot;-&quot;??_-;_-@_-"/>
    <numFmt numFmtId="182" formatCode="_(* #,##0.000_);_(* \(#,##0.000\);_(* &quot;-&quot;??_);_(@_)"/>
    <numFmt numFmtId="183" formatCode="#,##0.0_);\(#,##0.0\)"/>
    <numFmt numFmtId="184" formatCode="_-* #,##0.00\ _L_a_r_i_-;\-* #,##0.00\ _L_a_r_i_-;_-* &quot;-&quot;??\ _L_a_r_i_-;_-@_-"/>
    <numFmt numFmtId="185" formatCode="_-* #,##0.00\ _F_-;\-* #,##0.00\ _F_-;_-* &quot;-&quot;??\ _F_-;_-@_-"/>
    <numFmt numFmtId="186" formatCode="0_);\(0\)"/>
    <numFmt numFmtId="187" formatCode="_([$GEL]\ * #,##0.00_);_([$GEL]\ * \(#,##0.00\);_([$GEL]\ * &quot;-&quot;??_);_(@_)"/>
    <numFmt numFmtId="188" formatCode="_(&quot;$&quot;* #,##0.0_);_(&quot;$&quot;* \(#,##0.0\);_(&quot;$&quot;* &quot;-&quot;??_);_(@_)"/>
    <numFmt numFmtId="189" formatCode="_(&quot;$&quot;* #,##0.0_);_(&quot;$&quot;* \(#,##0.0\);_(&quot;$&quot;* &quot;-&quot;?_);_(@_)"/>
    <numFmt numFmtId="190" formatCode="_(&quot;$&quot;* #,##0_);_(&quot;$&quot;* \(#,##0\);_(&quot;$&quot;* &quot;-&quot;??_);_(@_)"/>
  </numFmts>
  <fonts count="269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38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 Narrow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indexed="55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70C0"/>
      <name val="Calibri"/>
      <family val="2"/>
      <charset val="204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0.5"/>
      <name val="Times New Roman"/>
      <family val="1"/>
    </font>
    <font>
      <b/>
      <i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12"/>
      <name val="Arial"/>
      <family val="2"/>
      <charset val="238"/>
    </font>
    <font>
      <b/>
      <i/>
      <sz val="8"/>
      <name val="Arial"/>
      <family val="2"/>
      <charset val="238"/>
    </font>
    <font>
      <u/>
      <sz val="10"/>
      <color indexed="12"/>
      <name val="Arial"/>
      <family val="2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u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u/>
      <sz val="9"/>
      <color rgb="FF0070C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b/>
      <sz val="14"/>
      <name val="Calibri"/>
      <family val="2"/>
      <charset val="238"/>
      <scheme val="minor"/>
    </font>
    <font>
      <u/>
      <sz val="7.5"/>
      <color indexed="12"/>
      <name val="Arial Cyr"/>
    </font>
    <font>
      <u/>
      <sz val="7.5"/>
      <color indexed="36"/>
      <name val="Arial Cyr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Arial Cyr"/>
    </font>
    <font>
      <sz val="11"/>
      <color indexed="8"/>
      <name val="Calibri"/>
      <family val="2"/>
      <charset val="186"/>
    </font>
    <font>
      <u/>
      <sz val="10"/>
      <color indexed="12"/>
      <name val="Arial"/>
      <family val="2"/>
      <charset val="204"/>
    </font>
    <font>
      <i/>
      <sz val="8"/>
      <color indexed="55"/>
      <name val="Arial"/>
      <family val="2"/>
    </font>
    <font>
      <u/>
      <sz val="10"/>
      <color indexed="36"/>
      <name val="Arial Cy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b/>
      <i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i/>
      <sz val="11"/>
      <color rgb="FF7030A0"/>
      <name val="Calibri"/>
      <family val="2"/>
      <charset val="238"/>
      <scheme val="minor"/>
    </font>
    <font>
      <b/>
      <i/>
      <sz val="11"/>
      <color rgb="FF7030A0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0"/>
      <name val="Calibri"/>
      <family val="2"/>
    </font>
    <font>
      <b/>
      <u/>
      <sz val="10"/>
      <color rgb="FFFF0000"/>
      <name val="Calibri"/>
      <family val="2"/>
      <scheme val="minor"/>
    </font>
    <font>
      <b/>
      <u/>
      <sz val="1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i/>
      <sz val="10"/>
      <color rgb="FFFF0000"/>
      <name val="Calibri"/>
      <family val="2"/>
      <scheme val="minor"/>
    </font>
    <font>
      <sz val="11"/>
      <color indexed="37"/>
      <name val="Calibri"/>
      <family val="2"/>
    </font>
    <font>
      <sz val="11"/>
      <color indexed="8"/>
      <name val="Calibri"/>
      <family val="2"/>
    </font>
    <font>
      <sz val="11"/>
      <color indexed="49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charset val="1"/>
      <scheme val="minor"/>
    </font>
    <font>
      <b/>
      <sz val="11"/>
      <color indexed="63"/>
      <name val="Calibri"/>
      <family val="2"/>
    </font>
    <font>
      <sz val="10"/>
      <name val="Verdana"/>
      <family val="2"/>
      <charset val="204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49"/>
      <name val="Calibri"/>
      <family val="2"/>
    </font>
    <font>
      <b/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C00000"/>
      <name val="Calibri"/>
      <family val="2"/>
    </font>
    <font>
      <sz val="9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70C0"/>
      <name val="Calibri"/>
      <family val="2"/>
    </font>
    <font>
      <sz val="11"/>
      <color rgb="FF0070C0"/>
      <name val="Calibri"/>
      <family val="2"/>
    </font>
    <font>
      <b/>
      <i/>
      <sz val="11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8"/>
      <color rgb="FF000000"/>
      <name val="Sylfaen"/>
      <family val="1"/>
    </font>
    <font>
      <b/>
      <sz val="8"/>
      <color rgb="FF000000"/>
      <name val="Calibri"/>
      <family val="2"/>
    </font>
    <font>
      <b/>
      <i/>
      <sz val="8"/>
      <color rgb="FF000000"/>
      <name val="Sylfaen"/>
      <family val="1"/>
    </font>
    <font>
      <b/>
      <i/>
      <sz val="8"/>
      <color rgb="FF000000"/>
      <name val="Calibri"/>
      <family val="2"/>
    </font>
    <font>
      <i/>
      <sz val="8"/>
      <color rgb="FF000000"/>
      <name val="Sylfaen"/>
      <family val="1"/>
    </font>
    <font>
      <i/>
      <sz val="8"/>
      <color rgb="FF000000"/>
      <name val="Calibri"/>
      <family val="2"/>
    </font>
    <font>
      <sz val="8"/>
      <color rgb="FF000000"/>
      <name val="Sylfaen"/>
      <family val="1"/>
    </font>
    <font>
      <sz val="12"/>
      <name val="Calibri"/>
      <family val="2"/>
    </font>
    <font>
      <b/>
      <sz val="12"/>
      <color rgb="FF000000"/>
      <name val="Sylfaen"/>
      <family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8"/>
      <name val="Sylfaen"/>
      <family val="1"/>
    </font>
    <font>
      <b/>
      <sz val="8"/>
      <name val="Sylfae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theme="1"/>
      <name val="Times New Roman"/>
      <family val="1"/>
    </font>
    <font>
      <b/>
      <i/>
      <sz val="11"/>
      <name val="Sylfaen"/>
      <family val="1"/>
    </font>
    <font>
      <sz val="11"/>
      <name val="Sylfaen"/>
      <family val="1"/>
    </font>
    <font>
      <b/>
      <sz val="11"/>
      <name val="Sylfaen"/>
      <family val="1"/>
    </font>
    <font>
      <b/>
      <sz val="10"/>
      <name val="Sylfae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/>
      <name val="Times New Roman"/>
      <family val="1"/>
    </font>
    <font>
      <b/>
      <sz val="9"/>
      <color theme="1"/>
      <name val="Times New Roman"/>
      <family val="1"/>
    </font>
    <font>
      <b/>
      <i/>
      <sz val="10"/>
      <name val="Arial"/>
      <family val="2"/>
    </font>
    <font>
      <b/>
      <i/>
      <sz val="10"/>
      <name val="Times New Roman"/>
      <family val="1"/>
    </font>
    <font>
      <sz val="10"/>
      <name val="Symbol"/>
      <family val="1"/>
      <charset val="2"/>
    </font>
    <font>
      <sz val="7"/>
      <name val="Times New Roman"/>
      <family val="1"/>
    </font>
    <font>
      <i/>
      <sz val="10"/>
      <name val="Times New Roman"/>
      <family val="1"/>
    </font>
    <font>
      <b/>
      <i/>
      <sz val="11"/>
      <name val="Calibri"/>
      <family val="2"/>
      <charset val="238"/>
      <scheme val="minor"/>
    </font>
    <font>
      <i/>
      <sz val="11"/>
      <name val="Times New Roman"/>
      <family val="1"/>
    </font>
    <font>
      <b/>
      <u/>
      <sz val="11"/>
      <name val="Times New Roman"/>
      <family val="1"/>
    </font>
  </fonts>
  <fills count="5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2060"/>
        <bgColor indexed="64"/>
      </patternFill>
    </fill>
    <fill>
      <patternFill patternType="solid">
        <f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CCCCCC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rgb="FF7F7F7F"/>
      </bottom>
      <diagonal/>
    </border>
    <border>
      <left/>
      <right style="medium">
        <color indexed="64"/>
      </right>
      <top style="medium">
        <color indexed="64"/>
      </top>
      <bottom style="medium">
        <color rgb="FF7F7F7F"/>
      </bottom>
      <diagonal/>
    </border>
    <border>
      <left/>
      <right/>
      <top style="medium">
        <color indexed="64"/>
      </top>
      <bottom style="medium">
        <color rgb="FF7F7F7F"/>
      </bottom>
      <diagonal/>
    </border>
    <border>
      <left/>
      <right style="medium">
        <color indexed="64"/>
      </right>
      <top/>
      <bottom style="medium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rgb="FF7F7F7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01">
    <xf numFmtId="0" fontId="0" fillId="0" borderId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8" fillId="0" borderId="0"/>
    <xf numFmtId="0" fontId="39" fillId="0" borderId="0"/>
    <xf numFmtId="166" fontId="39" fillId="0" borderId="0" applyFont="0" applyFill="0" applyBorder="0" applyAlignment="0" applyProtection="0"/>
    <xf numFmtId="0" fontId="32" fillId="0" borderId="0"/>
    <xf numFmtId="0" fontId="33" fillId="0" borderId="0"/>
    <xf numFmtId="0" fontId="30" fillId="0" borderId="0"/>
    <xf numFmtId="0" fontId="49" fillId="0" borderId="0"/>
    <xf numFmtId="0" fontId="54" fillId="0" borderId="0" applyNumberFormat="0" applyFill="0" applyBorder="0" applyAlignment="0" applyProtection="0"/>
    <xf numFmtId="43" fontId="31" fillId="0" borderId="0" applyFont="0" applyFill="0" applyBorder="0" applyAlignment="0" applyProtection="0"/>
    <xf numFmtId="0" fontId="32" fillId="0" borderId="0"/>
    <xf numFmtId="0" fontId="73" fillId="0" borderId="0"/>
    <xf numFmtId="0" fontId="28" fillId="0" borderId="0"/>
    <xf numFmtId="9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3" fontId="106" fillId="22" borderId="0">
      <alignment horizontal="center"/>
    </xf>
    <xf numFmtId="9" fontId="106" fillId="22" borderId="0">
      <alignment horizontal="center"/>
    </xf>
    <xf numFmtId="3" fontId="107" fillId="0" borderId="0">
      <alignment horizontal="center" vertical="center"/>
      <protection locked="0"/>
    </xf>
    <xf numFmtId="165" fontId="107" fillId="0" borderId="0">
      <alignment horizontal="center" vertical="center"/>
      <protection locked="0"/>
    </xf>
    <xf numFmtId="49" fontId="108" fillId="0" borderId="0">
      <alignment horizontal="left"/>
    </xf>
    <xf numFmtId="0" fontId="109" fillId="0" borderId="0" applyNumberFormat="0" applyFill="0" applyBorder="0" applyAlignment="0" applyProtection="0"/>
    <xf numFmtId="0" fontId="39" fillId="0" borderId="0"/>
    <xf numFmtId="0" fontId="33" fillId="0" borderId="0"/>
    <xf numFmtId="0" fontId="33" fillId="0" borderId="0"/>
    <xf numFmtId="0" fontId="27" fillId="0" borderId="0"/>
    <xf numFmtId="9" fontId="27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176" fontId="129" fillId="0" borderId="4">
      <alignment horizontal="center" vertical="center"/>
    </xf>
    <xf numFmtId="177" fontId="130" fillId="0" borderId="0">
      <protection locked="0"/>
    </xf>
    <xf numFmtId="177" fontId="131" fillId="0" borderId="0">
      <alignment horizontal="center" vertical="center"/>
    </xf>
    <xf numFmtId="177" fontId="132" fillId="25" borderId="0" applyNumberFormat="0" applyBorder="0" applyAlignment="0" applyProtection="0"/>
    <xf numFmtId="177" fontId="132" fillId="26" borderId="0" applyNumberFormat="0" applyBorder="0" applyAlignment="0" applyProtection="0"/>
    <xf numFmtId="177" fontId="132" fillId="27" borderId="0" applyNumberFormat="0" applyBorder="0" applyAlignment="0" applyProtection="0"/>
    <xf numFmtId="177" fontId="132" fillId="28" borderId="0" applyNumberFormat="0" applyBorder="0" applyAlignment="0" applyProtection="0"/>
    <xf numFmtId="177" fontId="132" fillId="29" borderId="0" applyNumberFormat="0" applyBorder="0" applyAlignment="0" applyProtection="0"/>
    <xf numFmtId="177" fontId="132" fillId="30" borderId="0" applyNumberFormat="0" applyBorder="0" applyAlignment="0" applyProtection="0"/>
    <xf numFmtId="177" fontId="132" fillId="31" borderId="0" applyNumberFormat="0" applyBorder="0" applyAlignment="0" applyProtection="0"/>
    <xf numFmtId="177" fontId="132" fillId="32" borderId="0" applyNumberFormat="0" applyBorder="0" applyAlignment="0" applyProtection="0"/>
    <xf numFmtId="177" fontId="132" fillId="33" borderId="0" applyNumberFormat="0" applyBorder="0" applyAlignment="0" applyProtection="0"/>
    <xf numFmtId="177" fontId="132" fillId="28" borderId="0" applyNumberFormat="0" applyBorder="0" applyAlignment="0" applyProtection="0"/>
    <xf numFmtId="177" fontId="132" fillId="31" borderId="0" applyNumberFormat="0" applyBorder="0" applyAlignment="0" applyProtection="0"/>
    <xf numFmtId="177" fontId="132" fillId="34" borderId="0" applyNumberFormat="0" applyBorder="0" applyAlignment="0" applyProtection="0"/>
    <xf numFmtId="177" fontId="133" fillId="35" borderId="0" applyNumberFormat="0" applyBorder="0" applyAlignment="0" applyProtection="0"/>
    <xf numFmtId="177" fontId="133" fillId="32" borderId="0" applyNumberFormat="0" applyBorder="0" applyAlignment="0" applyProtection="0"/>
    <xf numFmtId="177" fontId="133" fillId="33" borderId="0" applyNumberFormat="0" applyBorder="0" applyAlignment="0" applyProtection="0"/>
    <xf numFmtId="177" fontId="133" fillId="36" borderId="0" applyNumberFormat="0" applyBorder="0" applyAlignment="0" applyProtection="0"/>
    <xf numFmtId="177" fontId="133" fillId="37" borderId="0" applyNumberFormat="0" applyBorder="0" applyAlignment="0" applyProtection="0"/>
    <xf numFmtId="177" fontId="133" fillId="38" borderId="0" applyNumberFormat="0" applyBorder="0" applyAlignment="0" applyProtection="0"/>
    <xf numFmtId="0" fontId="134" fillId="0" borderId="0" applyNumberFormat="0" applyFill="0" applyBorder="0" applyAlignment="0" applyProtection="0">
      <alignment vertical="top"/>
      <protection locked="0"/>
    </xf>
    <xf numFmtId="178" fontId="135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132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136" fillId="0" borderId="0" applyNumberFormat="0" applyFill="0" applyBorder="0" applyAlignment="0" applyProtection="0">
      <alignment vertical="top"/>
      <protection locked="0"/>
    </xf>
    <xf numFmtId="0" fontId="137" fillId="0" borderId="0"/>
    <xf numFmtId="0" fontId="138" fillId="0" borderId="0" applyNumberFormat="0" applyFill="0" applyBorder="0" applyAlignment="0" applyProtection="0">
      <alignment vertical="top"/>
      <protection locked="0"/>
    </xf>
    <xf numFmtId="0" fontId="33" fillId="27" borderId="2" applyBorder="0">
      <alignment vertical="top"/>
    </xf>
    <xf numFmtId="177" fontId="129" fillId="0" borderId="0"/>
    <xf numFmtId="0" fontId="33" fillId="0" borderId="0"/>
    <xf numFmtId="177" fontId="39" fillId="0" borderId="0"/>
    <xf numFmtId="0" fontId="71" fillId="39" borderId="48">
      <alignment horizontal="centerContinuous"/>
    </xf>
    <xf numFmtId="49" fontId="70" fillId="40" borderId="2">
      <alignment horizontal="center" vertical="center" wrapText="1"/>
    </xf>
    <xf numFmtId="177" fontId="133" fillId="41" borderId="0" applyNumberFormat="0" applyBorder="0" applyAlignment="0" applyProtection="0"/>
    <xf numFmtId="177" fontId="133" fillId="42" borderId="0" applyNumberFormat="0" applyBorder="0" applyAlignment="0" applyProtection="0"/>
    <xf numFmtId="177" fontId="133" fillId="43" borderId="0" applyNumberFormat="0" applyBorder="0" applyAlignment="0" applyProtection="0"/>
    <xf numFmtId="177" fontId="133" fillId="36" borderId="0" applyNumberFormat="0" applyBorder="0" applyAlignment="0" applyProtection="0"/>
    <xf numFmtId="177" fontId="133" fillId="37" borderId="0" applyNumberFormat="0" applyBorder="0" applyAlignment="0" applyProtection="0"/>
    <xf numFmtId="177" fontId="133" fillId="44" borderId="0" applyNumberFormat="0" applyBorder="0" applyAlignment="0" applyProtection="0"/>
    <xf numFmtId="177" fontId="139" fillId="30" borderId="56" applyNumberFormat="0" applyAlignment="0" applyProtection="0"/>
    <xf numFmtId="177" fontId="140" fillId="39" borderId="57" applyNumberFormat="0" applyAlignment="0" applyProtection="0"/>
    <xf numFmtId="177" fontId="141" fillId="39" borderId="56" applyNumberFormat="0" applyAlignment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42" fillId="0" borderId="0" applyNumberFormat="0" applyFill="0" applyBorder="0" applyAlignment="0" applyProtection="0">
      <alignment vertical="top"/>
      <protection locked="0"/>
    </xf>
    <xf numFmtId="177" fontId="143" fillId="0" borderId="58" applyNumberFormat="0" applyFill="0" applyAlignment="0" applyProtection="0"/>
    <xf numFmtId="177" fontId="144" fillId="0" borderId="59" applyNumberFormat="0" applyFill="0" applyAlignment="0" applyProtection="0"/>
    <xf numFmtId="177" fontId="145" fillId="0" borderId="60" applyNumberFormat="0" applyFill="0" applyAlignment="0" applyProtection="0"/>
    <xf numFmtId="177" fontId="145" fillId="0" borderId="0" applyNumberFormat="0" applyFill="0" applyBorder="0" applyAlignment="0" applyProtection="0"/>
    <xf numFmtId="177" fontId="146" fillId="0" borderId="61" applyNumberFormat="0" applyFill="0" applyAlignment="0" applyProtection="0"/>
    <xf numFmtId="177" fontId="147" fillId="45" borderId="62" applyNumberFormat="0" applyAlignment="0" applyProtection="0"/>
    <xf numFmtId="177" fontId="148" fillId="0" borderId="0" applyNumberFormat="0" applyFill="0" applyBorder="0" applyAlignment="0" applyProtection="0"/>
    <xf numFmtId="177" fontId="149" fillId="46" borderId="0" applyNumberFormat="0" applyBorder="0" applyAlignment="0" applyProtection="0"/>
    <xf numFmtId="0" fontId="150" fillId="0" borderId="0"/>
    <xf numFmtId="0" fontId="33" fillId="0" borderId="0"/>
    <xf numFmtId="0" fontId="132" fillId="0" borderId="0"/>
    <xf numFmtId="0" fontId="132" fillId="0" borderId="0"/>
    <xf numFmtId="0" fontId="33" fillId="0" borderId="0"/>
    <xf numFmtId="0" fontId="150" fillId="0" borderId="0"/>
    <xf numFmtId="177" fontId="151" fillId="26" borderId="0" applyNumberFormat="0" applyBorder="0" applyAlignment="0" applyProtection="0"/>
    <xf numFmtId="177" fontId="152" fillId="0" borderId="0" applyNumberFormat="0" applyFill="0" applyBorder="0" applyAlignment="0" applyProtection="0"/>
    <xf numFmtId="177" fontId="39" fillId="47" borderId="63" applyNumberFormat="0" applyFont="0" applyAlignment="0" applyProtection="0"/>
    <xf numFmtId="9" fontId="150" fillId="0" borderId="0" applyFont="0" applyFill="0" applyBorder="0" applyAlignment="0" applyProtection="0"/>
    <xf numFmtId="177" fontId="153" fillId="0" borderId="64" applyNumberFormat="0" applyFill="0" applyAlignment="0" applyProtection="0"/>
    <xf numFmtId="177" fontId="154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80" fontId="150" fillId="0" borderId="0" applyFont="0" applyFill="0" applyBorder="0" applyAlignment="0" applyProtection="0"/>
    <xf numFmtId="180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77" fontId="155" fillId="27" borderId="0" applyNumberFormat="0" applyBorder="0" applyAlignment="0" applyProtection="0"/>
    <xf numFmtId="181" fontId="156" fillId="27" borderId="0" applyNumberFormat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9" fontId="174" fillId="0" borderId="0" applyFont="0" applyFill="0" applyBorder="0" applyAlignment="0" applyProtection="0"/>
    <xf numFmtId="0" fontId="31" fillId="0" borderId="0"/>
    <xf numFmtId="0" fontId="14" fillId="0" borderId="0"/>
    <xf numFmtId="0" fontId="176" fillId="25" borderId="0" applyNumberFormat="0" applyBorder="0" applyAlignment="0" applyProtection="0"/>
    <xf numFmtId="0" fontId="176" fillId="26" borderId="0" applyNumberFormat="0" applyBorder="0" applyAlignment="0" applyProtection="0"/>
    <xf numFmtId="0" fontId="176" fillId="27" borderId="0" applyNumberFormat="0" applyBorder="0" applyAlignment="0" applyProtection="0"/>
    <xf numFmtId="0" fontId="176" fillId="28" borderId="0" applyNumberFormat="0" applyBorder="0" applyAlignment="0" applyProtection="0"/>
    <xf numFmtId="0" fontId="176" fillId="29" borderId="0" applyNumberFormat="0" applyBorder="0" applyAlignment="0" applyProtection="0"/>
    <xf numFmtId="0" fontId="176" fillId="30" borderId="0" applyNumberFormat="0" applyBorder="0" applyAlignment="0" applyProtection="0"/>
    <xf numFmtId="0" fontId="177" fillId="49" borderId="0" applyNumberFormat="0" applyBorder="0" applyAlignment="0" applyProtection="0"/>
    <xf numFmtId="0" fontId="177" fillId="30" borderId="0" applyNumberFormat="0" applyBorder="0" applyAlignment="0" applyProtection="0"/>
    <xf numFmtId="0" fontId="177" fillId="47" borderId="0" applyNumberFormat="0" applyBorder="0" applyAlignment="0" applyProtection="0"/>
    <xf numFmtId="0" fontId="177" fillId="49" borderId="0" applyNumberFormat="0" applyBorder="0" applyAlignment="0" applyProtection="0"/>
    <xf numFmtId="0" fontId="177" fillId="29" borderId="0" applyNumberFormat="0" applyBorder="0" applyAlignment="0" applyProtection="0"/>
    <xf numFmtId="0" fontId="177" fillId="30" borderId="0" applyNumberFormat="0" applyBorder="0" applyAlignment="0" applyProtection="0"/>
    <xf numFmtId="0" fontId="176" fillId="31" borderId="0" applyNumberFormat="0" applyBorder="0" applyAlignment="0" applyProtection="0"/>
    <xf numFmtId="0" fontId="176" fillId="32" borderId="0" applyNumberFormat="0" applyBorder="0" applyAlignment="0" applyProtection="0"/>
    <xf numFmtId="0" fontId="176" fillId="33" borderId="0" applyNumberFormat="0" applyBorder="0" applyAlignment="0" applyProtection="0"/>
    <xf numFmtId="0" fontId="176" fillId="28" borderId="0" applyNumberFormat="0" applyBorder="0" applyAlignment="0" applyProtection="0"/>
    <xf numFmtId="0" fontId="176" fillId="31" borderId="0" applyNumberFormat="0" applyBorder="0" applyAlignment="0" applyProtection="0"/>
    <xf numFmtId="0" fontId="176" fillId="34" borderId="0" applyNumberFormat="0" applyBorder="0" applyAlignment="0" applyProtection="0"/>
    <xf numFmtId="0" fontId="177" fillId="39" borderId="0" applyNumberFormat="0" applyBorder="0" applyAlignment="0" applyProtection="0"/>
    <xf numFmtId="0" fontId="177" fillId="32" borderId="0" applyNumberFormat="0" applyBorder="0" applyAlignment="0" applyProtection="0"/>
    <xf numFmtId="0" fontId="177" fillId="46" borderId="0" applyNumberFormat="0" applyBorder="0" applyAlignment="0" applyProtection="0"/>
    <xf numFmtId="0" fontId="177" fillId="39" borderId="0" applyNumberFormat="0" applyBorder="0" applyAlignment="0" applyProtection="0"/>
    <xf numFmtId="0" fontId="177" fillId="31" borderId="0" applyNumberFormat="0" applyBorder="0" applyAlignment="0" applyProtection="0"/>
    <xf numFmtId="0" fontId="177" fillId="30" borderId="0" applyNumberFormat="0" applyBorder="0" applyAlignment="0" applyProtection="0"/>
    <xf numFmtId="0" fontId="178" fillId="35" borderId="0" applyNumberFormat="0" applyBorder="0" applyAlignment="0" applyProtection="0"/>
    <xf numFmtId="0" fontId="178" fillId="32" borderId="0" applyNumberFormat="0" applyBorder="0" applyAlignment="0" applyProtection="0"/>
    <xf numFmtId="0" fontId="178" fillId="33" borderId="0" applyNumberFormat="0" applyBorder="0" applyAlignment="0" applyProtection="0"/>
    <xf numFmtId="0" fontId="178" fillId="36" borderId="0" applyNumberFormat="0" applyBorder="0" applyAlignment="0" applyProtection="0"/>
    <xf numFmtId="0" fontId="178" fillId="37" borderId="0" applyNumberFormat="0" applyBorder="0" applyAlignment="0" applyProtection="0"/>
    <xf numFmtId="0" fontId="178" fillId="38" borderId="0" applyNumberFormat="0" applyBorder="0" applyAlignment="0" applyProtection="0"/>
    <xf numFmtId="0" fontId="179" fillId="37" borderId="0" applyNumberFormat="0" applyBorder="0" applyAlignment="0" applyProtection="0"/>
    <xf numFmtId="0" fontId="179" fillId="32" borderId="0" applyNumberFormat="0" applyBorder="0" applyAlignment="0" applyProtection="0"/>
    <xf numFmtId="0" fontId="179" fillId="46" borderId="0" applyNumberFormat="0" applyBorder="0" applyAlignment="0" applyProtection="0"/>
    <xf numFmtId="0" fontId="179" fillId="39" borderId="0" applyNumberFormat="0" applyBorder="0" applyAlignment="0" applyProtection="0"/>
    <xf numFmtId="0" fontId="179" fillId="37" borderId="0" applyNumberFormat="0" applyBorder="0" applyAlignment="0" applyProtection="0"/>
    <xf numFmtId="0" fontId="179" fillId="30" borderId="0" applyNumberFormat="0" applyBorder="0" applyAlignment="0" applyProtection="0"/>
    <xf numFmtId="0" fontId="180" fillId="0" borderId="0" applyNumberFormat="0" applyFill="0" applyBorder="0" applyAlignment="0" applyProtection="0"/>
    <xf numFmtId="0" fontId="181" fillId="39" borderId="74" applyNumberFormat="0" applyAlignment="0" applyProtection="0"/>
    <xf numFmtId="0" fontId="182" fillId="0" borderId="64" applyNumberFormat="0" applyFill="0" applyAlignment="0" applyProtection="0"/>
    <xf numFmtId="184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84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4" fillId="0" borderId="0" applyFont="0" applyFill="0" applyBorder="0" applyAlignment="0" applyProtection="0"/>
    <xf numFmtId="184" fontId="31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33" fillId="47" borderId="75" applyNumberFormat="0" applyFont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185" fontId="33" fillId="0" borderId="0" applyFont="0" applyFill="0" applyBorder="0" applyAlignment="0" applyProtection="0"/>
    <xf numFmtId="0" fontId="183" fillId="30" borderId="74" applyNumberFormat="0" applyAlignment="0" applyProtection="0"/>
    <xf numFmtId="179" fontId="33" fillId="0" borderId="0" applyFont="0" applyFill="0" applyBorder="0" applyAlignment="0" applyProtection="0"/>
    <xf numFmtId="0" fontId="184" fillId="26" borderId="0" applyNumberFormat="0" applyBorder="0" applyAlignment="0" applyProtection="0"/>
    <xf numFmtId="0" fontId="185" fillId="4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31" fillId="0" borderId="0"/>
    <xf numFmtId="0" fontId="186" fillId="0" borderId="0"/>
    <xf numFmtId="0" fontId="31" fillId="0" borderId="0"/>
    <xf numFmtId="0" fontId="14" fillId="0" borderId="0"/>
    <xf numFmtId="0" fontId="14" fillId="0" borderId="0"/>
    <xf numFmtId="0" fontId="33" fillId="0" borderId="0"/>
    <xf numFmtId="0" fontId="129" fillId="0" borderId="0"/>
    <xf numFmtId="0" fontId="31" fillId="0" borderId="0"/>
    <xf numFmtId="0" fontId="31" fillId="0" borderId="0"/>
    <xf numFmtId="0" fontId="31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6" fillId="27" borderId="0" applyNumberFormat="0" applyBorder="0" applyAlignment="0" applyProtection="0"/>
    <xf numFmtId="0" fontId="187" fillId="39" borderId="76" applyNumberFormat="0" applyAlignment="0" applyProtection="0"/>
    <xf numFmtId="0" fontId="33" fillId="0" borderId="0"/>
    <xf numFmtId="0" fontId="188" fillId="0" borderId="0"/>
    <xf numFmtId="0" fontId="33" fillId="0" borderId="0"/>
    <xf numFmtId="0" fontId="189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1" fillId="0" borderId="58" applyNumberFormat="0" applyFill="0" applyAlignment="0" applyProtection="0"/>
    <xf numFmtId="0" fontId="192" fillId="0" borderId="59" applyNumberFormat="0" applyFill="0" applyAlignment="0" applyProtection="0"/>
    <xf numFmtId="0" fontId="193" fillId="0" borderId="60" applyNumberFormat="0" applyFill="0" applyAlignment="0" applyProtection="0"/>
    <xf numFmtId="0" fontId="193" fillId="0" borderId="0" applyNumberFormat="0" applyFill="0" applyBorder="0" applyAlignment="0" applyProtection="0"/>
    <xf numFmtId="0" fontId="194" fillId="45" borderId="62" applyNumberFormat="0" applyAlignment="0" applyProtection="0"/>
    <xf numFmtId="44" fontId="228" fillId="0" borderId="0" applyFont="0" applyFill="0" applyBorder="0" applyAlignment="0" applyProtection="0"/>
    <xf numFmtId="0" fontId="4" fillId="0" borderId="0"/>
  </cellStyleXfs>
  <cellXfs count="1912">
    <xf numFmtId="0" fontId="0" fillId="0" borderId="0" xfId="0"/>
    <xf numFmtId="0" fontId="34" fillId="0" borderId="0" xfId="0" applyFont="1"/>
    <xf numFmtId="0" fontId="35" fillId="0" borderId="0" xfId="0" applyFont="1"/>
    <xf numFmtId="3" fontId="34" fillId="0" borderId="2" xfId="0" applyNumberFormat="1" applyFont="1" applyBorder="1"/>
    <xf numFmtId="3" fontId="34" fillId="0" borderId="0" xfId="0" applyNumberFormat="1" applyFont="1"/>
    <xf numFmtId="3" fontId="34" fillId="4" borderId="2" xfId="0" applyNumberFormat="1" applyFont="1" applyFill="1" applyBorder="1"/>
    <xf numFmtId="3" fontId="35" fillId="0" borderId="10" xfId="0" applyNumberFormat="1" applyFont="1" applyBorder="1"/>
    <xf numFmtId="0" fontId="35" fillId="0" borderId="15" xfId="0" applyFont="1" applyBorder="1" applyAlignment="1">
      <alignment horizontal="center"/>
    </xf>
    <xf numFmtId="3" fontId="34" fillId="0" borderId="9" xfId="0" applyNumberFormat="1" applyFont="1" applyBorder="1"/>
    <xf numFmtId="3" fontId="35" fillId="0" borderId="18" xfId="0" applyNumberFormat="1" applyFont="1" applyBorder="1"/>
    <xf numFmtId="0" fontId="35" fillId="0" borderId="20" xfId="0" applyFont="1" applyBorder="1" applyAlignment="1">
      <alignment horizontal="center"/>
    </xf>
    <xf numFmtId="3" fontId="34" fillId="0" borderId="21" xfId="0" applyNumberFormat="1" applyFont="1" applyBorder="1"/>
    <xf numFmtId="3" fontId="34" fillId="0" borderId="5" xfId="0" applyNumberFormat="1" applyFont="1" applyBorder="1"/>
    <xf numFmtId="3" fontId="35" fillId="0" borderId="22" xfId="0" applyNumberFormat="1" applyFont="1" applyBorder="1"/>
    <xf numFmtId="3" fontId="35" fillId="0" borderId="23" xfId="0" applyNumberFormat="1" applyFont="1" applyBorder="1"/>
    <xf numFmtId="0" fontId="36" fillId="0" borderId="1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3" fontId="35" fillId="0" borderId="0" xfId="0" applyNumberFormat="1" applyFont="1"/>
    <xf numFmtId="0" fontId="35" fillId="0" borderId="0" xfId="0" applyFont="1" applyAlignment="1">
      <alignment horizontal="center"/>
    </xf>
    <xf numFmtId="164" fontId="34" fillId="0" borderId="0" xfId="0" applyNumberFormat="1" applyFont="1"/>
    <xf numFmtId="0" fontId="35" fillId="7" borderId="0" xfId="0" applyFont="1" applyFill="1"/>
    <xf numFmtId="0" fontId="34" fillId="7" borderId="0" xfId="0" applyFont="1" applyFill="1"/>
    <xf numFmtId="0" fontId="35" fillId="7" borderId="0" xfId="0" applyFont="1" applyFill="1" applyAlignment="1">
      <alignment horizontal="center"/>
    </xf>
    <xf numFmtId="0" fontId="41" fillId="0" borderId="0" xfId="0" applyFont="1" applyAlignment="1">
      <alignment horizontal="center"/>
    </xf>
    <xf numFmtId="0" fontId="45" fillId="0" borderId="11" xfId="7" applyFont="1" applyBorder="1" applyAlignment="1" applyProtection="1">
      <alignment horizontal="center" vertical="center" wrapText="1"/>
    </xf>
    <xf numFmtId="3" fontId="34" fillId="0" borderId="2" xfId="0" applyNumberFormat="1" applyFont="1" applyFill="1" applyBorder="1"/>
    <xf numFmtId="3" fontId="35" fillId="0" borderId="10" xfId="0" applyNumberFormat="1" applyFont="1" applyFill="1" applyBorder="1"/>
    <xf numFmtId="3" fontId="34" fillId="0" borderId="9" xfId="0" applyNumberFormat="1" applyFont="1" applyFill="1" applyBorder="1"/>
    <xf numFmtId="3" fontId="34" fillId="0" borderId="5" xfId="0" applyNumberFormat="1" applyFont="1" applyFill="1" applyBorder="1"/>
    <xf numFmtId="3" fontId="35" fillId="0" borderId="22" xfId="0" applyNumberFormat="1" applyFont="1" applyFill="1" applyBorder="1"/>
    <xf numFmtId="3" fontId="46" fillId="5" borderId="0" xfId="0" applyNumberFormat="1" applyFont="1" applyFill="1"/>
    <xf numFmtId="3" fontId="48" fillId="6" borderId="0" xfId="0" applyNumberFormat="1" applyFont="1" applyFill="1"/>
    <xf numFmtId="3" fontId="47" fillId="6" borderId="0" xfId="0" applyNumberFormat="1" applyFont="1" applyFill="1"/>
    <xf numFmtId="3" fontId="47" fillId="0" borderId="0" xfId="0" applyNumberFormat="1" applyFont="1"/>
    <xf numFmtId="0" fontId="47" fillId="0" borderId="0" xfId="0" applyFont="1"/>
    <xf numFmtId="0" fontId="47" fillId="7" borderId="0" xfId="0" applyFont="1" applyFill="1"/>
    <xf numFmtId="164" fontId="47" fillId="0" borderId="0" xfId="0" applyNumberFormat="1" applyFont="1"/>
    <xf numFmtId="0" fontId="42" fillId="0" borderId="0" xfId="0" applyFont="1"/>
    <xf numFmtId="0" fontId="42" fillId="7" borderId="0" xfId="0" applyFont="1" applyFill="1"/>
    <xf numFmtId="164" fontId="47" fillId="6" borderId="0" xfId="0" applyNumberFormat="1" applyFont="1" applyFill="1"/>
    <xf numFmtId="0" fontId="47" fillId="0" borderId="0" xfId="0" applyFont="1" applyFill="1"/>
    <xf numFmtId="164" fontId="47" fillId="7" borderId="0" xfId="0" applyNumberFormat="1" applyFont="1" applyFill="1"/>
    <xf numFmtId="164" fontId="42" fillId="5" borderId="0" xfId="0" applyNumberFormat="1" applyFont="1" applyFill="1"/>
    <xf numFmtId="164" fontId="42" fillId="0" borderId="0" xfId="0" applyNumberFormat="1" applyFont="1"/>
    <xf numFmtId="164" fontId="42" fillId="7" borderId="0" xfId="0" applyNumberFormat="1" applyFont="1" applyFill="1"/>
    <xf numFmtId="3" fontId="42" fillId="5" borderId="0" xfId="0" applyNumberFormat="1" applyFont="1" applyFill="1"/>
    <xf numFmtId="3" fontId="42" fillId="0" borderId="0" xfId="0" applyNumberFormat="1" applyFont="1" applyFill="1"/>
    <xf numFmtId="164" fontId="44" fillId="8" borderId="0" xfId="0" applyNumberFormat="1" applyFont="1" applyFill="1"/>
    <xf numFmtId="3" fontId="42" fillId="0" borderId="0" xfId="0" applyNumberFormat="1" applyFont="1"/>
    <xf numFmtId="3" fontId="47" fillId="7" borderId="0" xfId="0" applyNumberFormat="1" applyFont="1" applyFill="1"/>
    <xf numFmtId="3" fontId="42" fillId="7" borderId="0" xfId="0" applyNumberFormat="1" applyFont="1" applyFill="1"/>
    <xf numFmtId="167" fontId="47" fillId="6" borderId="0" xfId="0" applyNumberFormat="1" applyFont="1" applyFill="1"/>
    <xf numFmtId="167" fontId="42" fillId="5" borderId="0" xfId="0" applyNumberFormat="1" applyFont="1" applyFill="1"/>
    <xf numFmtId="167" fontId="47" fillId="0" borderId="0" xfId="0" applyNumberFormat="1" applyFont="1"/>
    <xf numFmtId="167" fontId="42" fillId="0" borderId="0" xfId="0" applyNumberFormat="1" applyFont="1"/>
    <xf numFmtId="167" fontId="47" fillId="7" borderId="0" xfId="0" applyNumberFormat="1" applyFont="1" applyFill="1"/>
    <xf numFmtId="167" fontId="42" fillId="7" borderId="0" xfId="0" applyNumberFormat="1" applyFont="1" applyFill="1"/>
    <xf numFmtId="167" fontId="34" fillId="0" borderId="0" xfId="0" applyNumberFormat="1" applyFont="1"/>
    <xf numFmtId="2" fontId="34" fillId="0" borderId="0" xfId="0" applyNumberFormat="1" applyFont="1"/>
    <xf numFmtId="0" fontId="43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0" fontId="51" fillId="0" borderId="2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53" fillId="0" borderId="0" xfId="0" applyFont="1"/>
    <xf numFmtId="0" fontId="53" fillId="0" borderId="2" xfId="0" applyFont="1" applyBorder="1" applyAlignment="1">
      <alignment horizontal="center" vertical="center" wrapText="1"/>
    </xf>
    <xf numFmtId="3" fontId="53" fillId="0" borderId="2" xfId="0" applyNumberFormat="1" applyFont="1" applyBorder="1" applyAlignment="1">
      <alignment vertical="center" wrapText="1"/>
    </xf>
    <xf numFmtId="0" fontId="53" fillId="7" borderId="2" xfId="0" applyFont="1" applyFill="1" applyBorder="1" applyAlignment="1">
      <alignment horizontal="center" vertical="center" wrapText="1"/>
    </xf>
    <xf numFmtId="3" fontId="53" fillId="7" borderId="2" xfId="0" applyNumberFormat="1" applyFont="1" applyFill="1" applyBorder="1" applyAlignment="1">
      <alignment vertical="center" wrapText="1"/>
    </xf>
    <xf numFmtId="4" fontId="53" fillId="7" borderId="2" xfId="0" applyNumberFormat="1" applyFont="1" applyFill="1" applyBorder="1" applyAlignment="1">
      <alignment vertical="center" wrapText="1"/>
    </xf>
    <xf numFmtId="0" fontId="53" fillId="9" borderId="2" xfId="0" applyFont="1" applyFill="1" applyBorder="1" applyAlignment="1">
      <alignment horizontal="center" vertical="center" wrapText="1"/>
    </xf>
    <xf numFmtId="3" fontId="53" fillId="9" borderId="2" xfId="0" applyNumberFormat="1" applyFont="1" applyFill="1" applyBorder="1" applyAlignment="1">
      <alignment vertical="center" wrapText="1"/>
    </xf>
    <xf numFmtId="4" fontId="53" fillId="9" borderId="2" xfId="0" applyNumberFormat="1" applyFont="1" applyFill="1" applyBorder="1" applyAlignment="1">
      <alignment vertical="center" wrapText="1"/>
    </xf>
    <xf numFmtId="0" fontId="53" fillId="10" borderId="2" xfId="0" applyFont="1" applyFill="1" applyBorder="1" applyAlignment="1">
      <alignment horizontal="center" vertical="center" wrapText="1"/>
    </xf>
    <xf numFmtId="3" fontId="53" fillId="10" borderId="2" xfId="0" applyNumberFormat="1" applyFont="1" applyFill="1" applyBorder="1" applyAlignment="1">
      <alignment vertical="center" wrapText="1"/>
    </xf>
    <xf numFmtId="4" fontId="53" fillId="10" borderId="2" xfId="0" applyNumberFormat="1" applyFont="1" applyFill="1" applyBorder="1" applyAlignment="1">
      <alignment vertical="center" wrapText="1"/>
    </xf>
    <xf numFmtId="0" fontId="53" fillId="7" borderId="2" xfId="0" applyFont="1" applyFill="1" applyBorder="1" applyAlignment="1">
      <alignment horizontal="center"/>
    </xf>
    <xf numFmtId="3" fontId="53" fillId="7" borderId="2" xfId="0" applyNumberFormat="1" applyFont="1" applyFill="1" applyBorder="1"/>
    <xf numFmtId="2" fontId="53" fillId="7" borderId="2" xfId="0" applyNumberFormat="1" applyFont="1" applyFill="1" applyBorder="1"/>
    <xf numFmtId="0" fontId="53" fillId="0" borderId="2" xfId="0" applyFont="1" applyBorder="1" applyAlignment="1">
      <alignment horizontal="center"/>
    </xf>
    <xf numFmtId="0" fontId="53" fillId="0" borderId="2" xfId="0" applyFont="1" applyBorder="1"/>
    <xf numFmtId="0" fontId="53" fillId="0" borderId="0" xfId="8" applyFont="1"/>
    <xf numFmtId="0" fontId="43" fillId="0" borderId="0" xfId="0" applyFont="1"/>
    <xf numFmtId="4" fontId="44" fillId="12" borderId="0" xfId="0" applyNumberFormat="1" applyFont="1" applyFill="1"/>
    <xf numFmtId="4" fontId="44" fillId="8" borderId="0" xfId="0" applyNumberFormat="1" applyFont="1" applyFill="1"/>
    <xf numFmtId="167" fontId="47" fillId="0" borderId="0" xfId="0" applyNumberFormat="1" applyFont="1" applyFill="1"/>
    <xf numFmtId="167" fontId="42" fillId="0" borderId="0" xfId="0" applyNumberFormat="1" applyFont="1" applyFill="1"/>
    <xf numFmtId="0" fontId="34" fillId="0" borderId="0" xfId="0" applyFont="1" applyFill="1"/>
    <xf numFmtId="3" fontId="53" fillId="0" borderId="0" xfId="4" applyNumberFormat="1" applyFont="1" applyFill="1"/>
    <xf numFmtId="3" fontId="53" fillId="0" borderId="0" xfId="4" applyNumberFormat="1" applyFont="1"/>
    <xf numFmtId="0" fontId="56" fillId="0" borderId="0" xfId="4" applyFont="1" applyFill="1"/>
    <xf numFmtId="3" fontId="56" fillId="0" borderId="0" xfId="4" applyNumberFormat="1" applyFont="1" applyFill="1"/>
    <xf numFmtId="3" fontId="57" fillId="0" borderId="0" xfId="4" applyNumberFormat="1" applyFont="1" applyFill="1"/>
    <xf numFmtId="3" fontId="57" fillId="0" borderId="0" xfId="4" applyNumberFormat="1" applyFont="1"/>
    <xf numFmtId="3" fontId="53" fillId="0" borderId="0" xfId="0" applyNumberFormat="1" applyFont="1"/>
    <xf numFmtId="168" fontId="34" fillId="0" borderId="0" xfId="0" applyNumberFormat="1" applyFont="1"/>
    <xf numFmtId="0" fontId="48" fillId="6" borderId="15" xfId="0" applyFont="1" applyFill="1" applyBorder="1" applyAlignment="1">
      <alignment horizontal="center"/>
    </xf>
    <xf numFmtId="3" fontId="47" fillId="6" borderId="9" xfId="0" applyNumberFormat="1" applyFont="1" applyFill="1" applyBorder="1"/>
    <xf numFmtId="3" fontId="47" fillId="6" borderId="2" xfId="0" applyNumberFormat="1" applyFont="1" applyFill="1" applyBorder="1"/>
    <xf numFmtId="3" fontId="48" fillId="6" borderId="10" xfId="0" applyNumberFormat="1" applyFont="1" applyFill="1" applyBorder="1"/>
    <xf numFmtId="3" fontId="48" fillId="6" borderId="18" xfId="0" applyNumberFormat="1" applyFont="1" applyFill="1" applyBorder="1"/>
    <xf numFmtId="0" fontId="46" fillId="5" borderId="15" xfId="0" applyFont="1" applyFill="1" applyBorder="1" applyAlignment="1">
      <alignment horizontal="center"/>
    </xf>
    <xf numFmtId="3" fontId="42" fillId="5" borderId="9" xfId="0" applyNumberFormat="1" applyFont="1" applyFill="1" applyBorder="1"/>
    <xf numFmtId="3" fontId="42" fillId="5" borderId="2" xfId="0" applyNumberFormat="1" applyFont="1" applyFill="1" applyBorder="1"/>
    <xf numFmtId="3" fontId="46" fillId="5" borderId="10" xfId="0" applyNumberFormat="1" applyFont="1" applyFill="1" applyBorder="1"/>
    <xf numFmtId="3" fontId="46" fillId="5" borderId="18" xfId="0" applyNumberFormat="1" applyFont="1" applyFill="1" applyBorder="1"/>
    <xf numFmtId="0" fontId="40" fillId="0" borderId="0" xfId="8" applyFont="1" applyAlignment="1">
      <alignment horizontal="left" vertical="center"/>
    </xf>
    <xf numFmtId="0" fontId="40" fillId="0" borderId="0" xfId="8" applyFont="1" applyAlignment="1">
      <alignment horizontal="centerContinuous" vertical="center" wrapText="1"/>
    </xf>
    <xf numFmtId="0" fontId="53" fillId="0" borderId="0" xfId="8" applyFont="1" applyAlignment="1">
      <alignment horizontal="centerContinuous"/>
    </xf>
    <xf numFmtId="0" fontId="60" fillId="0" borderId="0" xfId="8" applyFont="1" applyAlignment="1">
      <alignment horizontal="center"/>
    </xf>
    <xf numFmtId="167" fontId="56" fillId="0" borderId="2" xfId="8" applyNumberFormat="1" applyFont="1" applyFill="1" applyBorder="1" applyAlignment="1">
      <alignment vertical="center"/>
    </xf>
    <xf numFmtId="0" fontId="53" fillId="0" borderId="0" xfId="8" applyFont="1" applyAlignment="1">
      <alignment horizontal="center" vertical="center"/>
    </xf>
    <xf numFmtId="0" fontId="35" fillId="0" borderId="2" xfId="8" applyFont="1" applyFill="1" applyBorder="1" applyAlignment="1">
      <alignment horizontal="left" indent="1"/>
    </xf>
    <xf numFmtId="167" fontId="61" fillId="0" borderId="2" xfId="8" applyNumberFormat="1" applyFont="1" applyFill="1" applyBorder="1" applyAlignment="1"/>
    <xf numFmtId="167" fontId="61" fillId="0" borderId="2" xfId="8" applyNumberFormat="1" applyFont="1" applyFill="1" applyBorder="1" applyAlignment="1">
      <alignment horizontal="right"/>
    </xf>
    <xf numFmtId="167" fontId="41" fillId="0" borderId="2" xfId="8" applyNumberFormat="1" applyFont="1" applyFill="1" applyBorder="1" applyAlignment="1">
      <alignment horizontal="right"/>
    </xf>
    <xf numFmtId="0" fontId="53" fillId="0" borderId="2" xfId="8" applyFont="1" applyFill="1" applyBorder="1" applyAlignment="1">
      <alignment horizontal="left" indent="3"/>
    </xf>
    <xf numFmtId="167" fontId="41" fillId="0" borderId="2" xfId="8" applyNumberFormat="1" applyFont="1" applyFill="1" applyBorder="1" applyAlignment="1"/>
    <xf numFmtId="167" fontId="41" fillId="4" borderId="2" xfId="8" applyNumberFormat="1" applyFont="1" applyFill="1" applyBorder="1" applyAlignment="1"/>
    <xf numFmtId="167" fontId="41" fillId="4" borderId="2" xfId="8" applyNumberFormat="1" applyFont="1" applyFill="1" applyBorder="1" applyAlignment="1">
      <alignment horizontal="right"/>
    </xf>
    <xf numFmtId="0" fontId="56" fillId="0" borderId="0" xfId="8" applyFont="1"/>
    <xf numFmtId="0" fontId="35" fillId="0" borderId="5" xfId="8" applyFont="1" applyFill="1" applyBorder="1" applyAlignment="1">
      <alignment horizontal="left" wrapText="1" indent="1"/>
    </xf>
    <xf numFmtId="0" fontId="35" fillId="0" borderId="2" xfId="8" applyFont="1" applyFill="1" applyBorder="1" applyAlignment="1">
      <alignment horizontal="left" wrapText="1" indent="1"/>
    </xf>
    <xf numFmtId="0" fontId="53" fillId="2" borderId="2" xfId="9" applyFont="1" applyFill="1" applyBorder="1" applyAlignment="1">
      <alignment horizontal="left" indent="3"/>
    </xf>
    <xf numFmtId="0" fontId="53" fillId="4" borderId="0" xfId="9" applyFont="1" applyFill="1" applyBorder="1" applyAlignment="1">
      <alignment horizontal="left" indent="4"/>
    </xf>
    <xf numFmtId="0" fontId="53" fillId="4" borderId="0" xfId="8" applyFont="1" applyFill="1"/>
    <xf numFmtId="0" fontId="54" fillId="0" borderId="0" xfId="11" applyFont="1"/>
    <xf numFmtId="0" fontId="62" fillId="11" borderId="1" xfId="0" applyFont="1" applyFill="1" applyBorder="1" applyAlignment="1">
      <alignment horizontal="center" vertical="center"/>
    </xf>
    <xf numFmtId="0" fontId="62" fillId="11" borderId="3" xfId="0" applyFont="1" applyFill="1" applyBorder="1"/>
    <xf numFmtId="0" fontId="62" fillId="11" borderId="4" xfId="0" applyFont="1" applyFill="1" applyBorder="1"/>
    <xf numFmtId="0" fontId="62" fillId="11" borderId="5" xfId="0" applyFont="1" applyFill="1" applyBorder="1" applyAlignment="1">
      <alignment horizontal="center" vertical="center"/>
    </xf>
    <xf numFmtId="0" fontId="62" fillId="11" borderId="5" xfId="0" quotePrefix="1" applyFont="1" applyFill="1" applyBorder="1" applyAlignment="1">
      <alignment horizontal="center" vertical="center" wrapText="1"/>
    </xf>
    <xf numFmtId="0" fontId="62" fillId="11" borderId="37" xfId="0" quotePrefix="1" applyFont="1" applyFill="1" applyBorder="1" applyAlignment="1">
      <alignment horizontal="center" vertical="center" wrapText="1"/>
    </xf>
    <xf numFmtId="0" fontId="62" fillId="11" borderId="2" xfId="0" quotePrefix="1" applyFont="1" applyFill="1" applyBorder="1" applyAlignment="1">
      <alignment horizontal="right"/>
    </xf>
    <xf numFmtId="0" fontId="56" fillId="0" borderId="0" xfId="0" applyFont="1" applyAlignment="1">
      <alignment horizontal="center"/>
    </xf>
    <xf numFmtId="0" fontId="63" fillId="0" borderId="0" xfId="0" applyFont="1"/>
    <xf numFmtId="0" fontId="63" fillId="0" borderId="0" xfId="0" applyFont="1" applyAlignment="1">
      <alignment horizontal="left" indent="2"/>
    </xf>
    <xf numFmtId="0" fontId="63" fillId="0" borderId="0" xfId="0" applyFont="1" applyAlignment="1">
      <alignment horizontal="center"/>
    </xf>
    <xf numFmtId="167" fontId="63" fillId="0" borderId="0" xfId="0" applyNumberFormat="1" applyFont="1" applyAlignment="1">
      <alignment horizontal="right"/>
    </xf>
    <xf numFmtId="167" fontId="63" fillId="6" borderId="0" xfId="0" applyNumberFormat="1" applyFont="1" applyFill="1" applyAlignment="1">
      <alignment horizontal="right"/>
    </xf>
    <xf numFmtId="167" fontId="63" fillId="5" borderId="0" xfId="0" applyNumberFormat="1" applyFont="1" applyFill="1" applyAlignment="1">
      <alignment horizontal="right"/>
    </xf>
    <xf numFmtId="2" fontId="53" fillId="0" borderId="0" xfId="0" applyNumberFormat="1" applyFont="1"/>
    <xf numFmtId="2" fontId="53" fillId="6" borderId="0" xfId="0" applyNumberFormat="1" applyFont="1" applyFill="1"/>
    <xf numFmtId="2" fontId="53" fillId="5" borderId="0" xfId="0" applyNumberFormat="1" applyFont="1" applyFill="1"/>
    <xf numFmtId="2" fontId="57" fillId="0" borderId="0" xfId="0" applyNumberFormat="1" applyFont="1"/>
    <xf numFmtId="2" fontId="57" fillId="6" borderId="0" xfId="0" applyNumberFormat="1" applyFont="1" applyFill="1"/>
    <xf numFmtId="2" fontId="57" fillId="5" borderId="0" xfId="0" applyNumberFormat="1" applyFont="1" applyFill="1"/>
    <xf numFmtId="0" fontId="56" fillId="0" borderId="0" xfId="0" applyFont="1"/>
    <xf numFmtId="0" fontId="53" fillId="0" borderId="0" xfId="0" applyFont="1" applyAlignment="1">
      <alignment horizontal="center"/>
    </xf>
    <xf numFmtId="165" fontId="53" fillId="0" borderId="0" xfId="1" applyNumberFormat="1" applyFont="1"/>
    <xf numFmtId="1" fontId="53" fillId="0" borderId="0" xfId="0" applyNumberFormat="1" applyFont="1"/>
    <xf numFmtId="165" fontId="53" fillId="0" borderId="0" xfId="1" applyNumberFormat="1" applyFont="1" applyFill="1"/>
    <xf numFmtId="3" fontId="56" fillId="0" borderId="0" xfId="0" applyNumberFormat="1" applyFont="1"/>
    <xf numFmtId="0" fontId="53" fillId="0" borderId="0" xfId="4" applyFont="1"/>
    <xf numFmtId="3" fontId="65" fillId="0" borderId="0" xfId="4" applyNumberFormat="1" applyFont="1" applyFill="1"/>
    <xf numFmtId="169" fontId="53" fillId="0" borderId="0" xfId="12" applyNumberFormat="1" applyFont="1" applyFill="1"/>
    <xf numFmtId="0" fontId="45" fillId="0" borderId="13" xfId="7" applyFont="1" applyBorder="1" applyAlignment="1" applyProtection="1">
      <alignment horizontal="center" vertical="center" wrapText="1"/>
    </xf>
    <xf numFmtId="0" fontId="45" fillId="0" borderId="12" xfId="7" applyFont="1" applyBorder="1" applyAlignment="1" applyProtection="1">
      <alignment horizontal="center" vertical="center" wrapText="1"/>
    </xf>
    <xf numFmtId="0" fontId="56" fillId="0" borderId="0" xfId="4" applyFont="1" applyFill="1" applyAlignment="1">
      <alignment horizontal="left" indent="1"/>
    </xf>
    <xf numFmtId="0" fontId="53" fillId="0" borderId="0" xfId="4" applyFont="1" applyAlignment="1">
      <alignment horizontal="center"/>
    </xf>
    <xf numFmtId="0" fontId="56" fillId="0" borderId="0" xfId="4" applyFont="1" applyFill="1" applyAlignment="1">
      <alignment horizontal="left"/>
    </xf>
    <xf numFmtId="0" fontId="56" fillId="0" borderId="0" xfId="4" applyFont="1" applyAlignment="1">
      <alignment horizontal="center"/>
    </xf>
    <xf numFmtId="0" fontId="56" fillId="0" borderId="0" xfId="4" applyFont="1"/>
    <xf numFmtId="0" fontId="53" fillId="0" borderId="0" xfId="4" applyFont="1" applyFill="1" applyAlignment="1">
      <alignment horizontal="left" indent="1"/>
    </xf>
    <xf numFmtId="0" fontId="66" fillId="6" borderId="0" xfId="4" applyFont="1" applyFill="1" applyAlignment="1">
      <alignment horizontal="center" vertical="center" wrapText="1"/>
    </xf>
    <xf numFmtId="3" fontId="67" fillId="0" borderId="0" xfId="4" applyNumberFormat="1" applyFont="1" applyFill="1"/>
    <xf numFmtId="3" fontId="66" fillId="0" borderId="0" xfId="4" applyNumberFormat="1" applyFont="1" applyFill="1"/>
    <xf numFmtId="0" fontId="67" fillId="0" borderId="0" xfId="0" applyFont="1" applyFill="1"/>
    <xf numFmtId="9" fontId="67" fillId="0" borderId="0" xfId="1" applyFont="1" applyFill="1"/>
    <xf numFmtId="9" fontId="66" fillId="0" borderId="0" xfId="1" applyFont="1" applyFill="1"/>
    <xf numFmtId="0" fontId="57" fillId="6" borderId="0" xfId="4" applyFont="1" applyFill="1" applyAlignment="1">
      <alignment horizontal="center" vertical="center" wrapText="1"/>
    </xf>
    <xf numFmtId="3" fontId="68" fillId="0" borderId="0" xfId="4" applyNumberFormat="1" applyFont="1"/>
    <xf numFmtId="0" fontId="68" fillId="0" borderId="0" xfId="0" applyFont="1"/>
    <xf numFmtId="9" fontId="68" fillId="0" borderId="0" xfId="1" applyFont="1"/>
    <xf numFmtId="9" fontId="57" fillId="0" borderId="0" xfId="1" applyFont="1"/>
    <xf numFmtId="9" fontId="57" fillId="0" borderId="0" xfId="1" applyFont="1" applyFill="1"/>
    <xf numFmtId="0" fontId="67" fillId="6" borderId="0" xfId="0" applyFont="1" applyFill="1" applyAlignment="1">
      <alignment vertical="center"/>
    </xf>
    <xf numFmtId="0" fontId="68" fillId="6" borderId="0" xfId="0" applyFont="1" applyFill="1" applyAlignment="1">
      <alignment vertical="center"/>
    </xf>
    <xf numFmtId="0" fontId="56" fillId="15" borderId="0" xfId="4" applyFont="1" applyFill="1"/>
    <xf numFmtId="3" fontId="66" fillId="15" borderId="0" xfId="4" applyNumberFormat="1" applyFont="1" applyFill="1"/>
    <xf numFmtId="3" fontId="57" fillId="15" borderId="0" xfId="4" applyNumberFormat="1" applyFont="1" applyFill="1"/>
    <xf numFmtId="0" fontId="56" fillId="15" borderId="0" xfId="4" applyFont="1" applyFill="1" applyAlignment="1">
      <alignment horizontal="left"/>
    </xf>
    <xf numFmtId="0" fontId="56" fillId="15" borderId="0" xfId="4" applyFont="1" applyFill="1" applyAlignment="1">
      <alignment horizontal="center"/>
    </xf>
    <xf numFmtId="3" fontId="53" fillId="15" borderId="0" xfId="4" applyNumberFormat="1" applyFont="1" applyFill="1"/>
    <xf numFmtId="0" fontId="36" fillId="0" borderId="0" xfId="0" applyFont="1"/>
    <xf numFmtId="3" fontId="34" fillId="0" borderId="2" xfId="0" applyNumberFormat="1" applyFont="1" applyBorder="1" applyAlignment="1">
      <alignment horizontal="right" vertical="center" wrapText="1"/>
    </xf>
    <xf numFmtId="3" fontId="34" fillId="0" borderId="2" xfId="0" applyNumberFormat="1" applyFont="1" applyBorder="1" applyAlignment="1">
      <alignment horizontal="right" vertical="center"/>
    </xf>
    <xf numFmtId="3" fontId="34" fillId="0" borderId="10" xfId="0" applyNumberFormat="1" applyFont="1" applyBorder="1" applyAlignment="1">
      <alignment horizontal="right" vertical="center"/>
    </xf>
    <xf numFmtId="1" fontId="35" fillId="0" borderId="15" xfId="0" applyNumberFormat="1" applyFont="1" applyBorder="1" applyAlignment="1">
      <alignment horizontal="center" vertical="center" wrapText="1"/>
    </xf>
    <xf numFmtId="1" fontId="35" fillId="0" borderId="15" xfId="0" applyNumberFormat="1" applyFont="1" applyFill="1" applyBorder="1" applyAlignment="1">
      <alignment horizontal="center" vertical="center" wrapText="1"/>
    </xf>
    <xf numFmtId="3" fontId="34" fillId="0" borderId="9" xfId="0" applyNumberFormat="1" applyFont="1" applyBorder="1" applyAlignment="1">
      <alignment horizontal="right" vertical="center" wrapText="1"/>
    </xf>
    <xf numFmtId="3" fontId="34" fillId="0" borderId="10" xfId="0" applyNumberFormat="1" applyFont="1" applyBorder="1" applyAlignment="1">
      <alignment horizontal="right" vertical="center" wrapText="1"/>
    </xf>
    <xf numFmtId="3" fontId="34" fillId="0" borderId="25" xfId="0" applyNumberFormat="1" applyFont="1" applyBorder="1" applyAlignment="1">
      <alignment horizontal="right" vertical="center" wrapText="1"/>
    </xf>
    <xf numFmtId="1" fontId="35" fillId="0" borderId="20" xfId="0" applyNumberFormat="1" applyFont="1" applyBorder="1" applyAlignment="1">
      <alignment horizontal="center" vertical="center" wrapText="1"/>
    </xf>
    <xf numFmtId="3" fontId="34" fillId="0" borderId="21" xfId="0" applyNumberFormat="1" applyFont="1" applyBorder="1" applyAlignment="1">
      <alignment horizontal="right" vertical="center" wrapText="1"/>
    </xf>
    <xf numFmtId="3" fontId="34" fillId="0" borderId="5" xfId="0" applyNumberFormat="1" applyFont="1" applyBorder="1" applyAlignment="1">
      <alignment horizontal="right" vertical="center" wrapText="1"/>
    </xf>
    <xf numFmtId="3" fontId="34" fillId="0" borderId="22" xfId="0" applyNumberFormat="1" applyFont="1" applyBorder="1" applyAlignment="1">
      <alignment horizontal="right" vertical="center" wrapText="1"/>
    </xf>
    <xf numFmtId="3" fontId="34" fillId="0" borderId="27" xfId="0" applyNumberFormat="1" applyFont="1" applyBorder="1" applyAlignment="1">
      <alignment horizontal="right" vertical="center" wrapText="1"/>
    </xf>
    <xf numFmtId="3" fontId="34" fillId="0" borderId="5" xfId="0" applyNumberFormat="1" applyFont="1" applyBorder="1" applyAlignment="1">
      <alignment horizontal="right" vertical="center"/>
    </xf>
    <xf numFmtId="3" fontId="34" fillId="0" borderId="22" xfId="0" applyNumberFormat="1" applyFont="1" applyBorder="1" applyAlignment="1">
      <alignment horizontal="right" vertical="center"/>
    </xf>
    <xf numFmtId="3" fontId="35" fillId="0" borderId="22" xfId="0" applyNumberFormat="1" applyFont="1" applyBorder="1" applyAlignment="1">
      <alignment horizontal="right" vertical="center" wrapText="1"/>
    </xf>
    <xf numFmtId="3" fontId="35" fillId="0" borderId="10" xfId="0" applyNumberFormat="1" applyFont="1" applyBorder="1" applyAlignment="1">
      <alignment horizontal="right" vertical="center" wrapText="1"/>
    </xf>
    <xf numFmtId="3" fontId="35" fillId="0" borderId="21" xfId="0" applyNumberFormat="1" applyFont="1" applyBorder="1" applyAlignment="1">
      <alignment horizontal="right" vertical="center" wrapText="1"/>
    </xf>
    <xf numFmtId="3" fontId="35" fillId="0" borderId="9" xfId="0" applyNumberFormat="1" applyFont="1" applyBorder="1" applyAlignment="1">
      <alignment horizontal="right" vertical="center" wrapText="1"/>
    </xf>
    <xf numFmtId="0" fontId="40" fillId="0" borderId="0" xfId="0" applyFont="1"/>
    <xf numFmtId="167" fontId="34" fillId="0" borderId="21" xfId="0" applyNumberFormat="1" applyFont="1" applyBorder="1" applyAlignment="1">
      <alignment horizontal="right" vertical="center" wrapText="1"/>
    </xf>
    <xf numFmtId="167" fontId="34" fillId="0" borderId="5" xfId="0" applyNumberFormat="1" applyFont="1" applyBorder="1" applyAlignment="1">
      <alignment horizontal="right" vertical="center"/>
    </xf>
    <xf numFmtId="167" fontId="34" fillId="0" borderId="22" xfId="0" applyNumberFormat="1" applyFont="1" applyBorder="1" applyAlignment="1">
      <alignment horizontal="right" vertical="center"/>
    </xf>
    <xf numFmtId="167" fontId="34" fillId="0" borderId="9" xfId="0" applyNumberFormat="1" applyFont="1" applyBorder="1" applyAlignment="1">
      <alignment horizontal="right" vertical="center" wrapText="1"/>
    </xf>
    <xf numFmtId="167" fontId="34" fillId="0" borderId="2" xfId="0" applyNumberFormat="1" applyFont="1" applyBorder="1" applyAlignment="1">
      <alignment horizontal="right" vertical="center"/>
    </xf>
    <xf numFmtId="167" fontId="34" fillId="0" borderId="10" xfId="0" applyNumberFormat="1" applyFont="1" applyBorder="1" applyAlignment="1">
      <alignment horizontal="right" vertical="center"/>
    </xf>
    <xf numFmtId="0" fontId="69" fillId="0" borderId="0" xfId="0" applyFont="1"/>
    <xf numFmtId="0" fontId="35" fillId="6" borderId="0" xfId="0" applyFont="1" applyFill="1" applyAlignment="1">
      <alignment horizontal="center"/>
    </xf>
    <xf numFmtId="0" fontId="35" fillId="6" borderId="0" xfId="0" applyFont="1" applyFill="1"/>
    <xf numFmtId="0" fontId="34" fillId="6" borderId="0" xfId="0" applyFont="1" applyFill="1"/>
    <xf numFmtId="0" fontId="64" fillId="0" borderId="0" xfId="8" applyFont="1" applyBorder="1" applyAlignment="1">
      <alignment horizontal="left"/>
    </xf>
    <xf numFmtId="0" fontId="59" fillId="0" borderId="0" xfId="8" applyFont="1" applyBorder="1" applyAlignment="1">
      <alignment horizontal="center"/>
    </xf>
    <xf numFmtId="0" fontId="53" fillId="0" borderId="0" xfId="8" applyFont="1" applyBorder="1" applyAlignment="1">
      <alignment horizontal="center"/>
    </xf>
    <xf numFmtId="0" fontId="53" fillId="0" borderId="0" xfId="8" applyFont="1" applyBorder="1"/>
    <xf numFmtId="0" fontId="53" fillId="13" borderId="2" xfId="8" applyFont="1" applyFill="1" applyBorder="1" applyAlignment="1">
      <alignment horizontal="center" vertical="center"/>
    </xf>
    <xf numFmtId="0" fontId="35" fillId="13" borderId="2" xfId="8" applyFont="1" applyFill="1" applyBorder="1" applyAlignment="1">
      <alignment horizontal="center" vertical="center"/>
    </xf>
    <xf numFmtId="0" fontId="40" fillId="0" borderId="2" xfId="8" applyFont="1" applyFill="1" applyBorder="1" applyAlignment="1">
      <alignment horizontal="left" vertical="center" indent="1"/>
    </xf>
    <xf numFmtId="0" fontId="72" fillId="0" borderId="0" xfId="0" applyFont="1"/>
    <xf numFmtId="0" fontId="71" fillId="3" borderId="0" xfId="0" applyFont="1" applyFill="1" applyAlignment="1">
      <alignment horizontal="center"/>
    </xf>
    <xf numFmtId="0" fontId="71" fillId="0" borderId="0" xfId="0" applyFont="1"/>
    <xf numFmtId="0" fontId="74" fillId="0" borderId="0" xfId="14" applyFont="1" applyAlignment="1">
      <alignment horizontal="center"/>
    </xf>
    <xf numFmtId="0" fontId="73" fillId="0" borderId="0" xfId="14"/>
    <xf numFmtId="0" fontId="29" fillId="0" borderId="0" xfId="14" applyFont="1" applyAlignment="1">
      <alignment horizontal="center"/>
    </xf>
    <xf numFmtId="0" fontId="29" fillId="0" borderId="0" xfId="14" applyFont="1"/>
    <xf numFmtId="0" fontId="43" fillId="0" borderId="0" xfId="14" applyFont="1" applyAlignment="1">
      <alignment horizontal="center"/>
    </xf>
    <xf numFmtId="0" fontId="75" fillId="0" borderId="0" xfId="14" applyFont="1" applyAlignment="1">
      <alignment horizontal="center"/>
    </xf>
    <xf numFmtId="0" fontId="43" fillId="0" borderId="0" xfId="14" applyFont="1"/>
    <xf numFmtId="0" fontId="73" fillId="0" borderId="0" xfId="14" applyAlignment="1">
      <alignment horizontal="center"/>
    </xf>
    <xf numFmtId="0" fontId="43" fillId="0" borderId="0" xfId="14" applyFont="1" applyAlignment="1">
      <alignment horizontal="left"/>
    </xf>
    <xf numFmtId="0" fontId="43" fillId="0" borderId="0" xfId="14" quotePrefix="1" applyFont="1"/>
    <xf numFmtId="0" fontId="76" fillId="0" borderId="0" xfId="14" applyFont="1"/>
    <xf numFmtId="0" fontId="46" fillId="0" borderId="0" xfId="14" quotePrefix="1" applyFont="1" applyAlignment="1">
      <alignment horizontal="left"/>
    </xf>
    <xf numFmtId="0" fontId="76" fillId="0" borderId="0" xfId="14" applyFont="1" applyAlignment="1">
      <alignment horizontal="center"/>
    </xf>
    <xf numFmtId="0" fontId="77" fillId="0" borderId="0" xfId="14" applyFont="1" applyAlignment="1">
      <alignment horizontal="center"/>
    </xf>
    <xf numFmtId="0" fontId="46" fillId="0" borderId="0" xfId="14" applyFont="1" applyAlignment="1">
      <alignment horizontal="center"/>
    </xf>
    <xf numFmtId="0" fontId="42" fillId="0" borderId="0" xfId="14" applyFont="1" applyAlignment="1">
      <alignment horizontal="center"/>
    </xf>
    <xf numFmtId="0" fontId="78" fillId="0" borderId="0" xfId="14" quotePrefix="1" applyFont="1" applyAlignment="1">
      <alignment horizontal="left" indent="1"/>
    </xf>
    <xf numFmtId="0" fontId="78" fillId="0" borderId="0" xfId="14" applyFont="1"/>
    <xf numFmtId="0" fontId="79" fillId="0" borderId="0" xfId="14" quotePrefix="1" applyFont="1"/>
    <xf numFmtId="0" fontId="79" fillId="0" borderId="0" xfId="14" applyFont="1" applyAlignment="1">
      <alignment horizontal="center"/>
    </xf>
    <xf numFmtId="0" fontId="80" fillId="0" borderId="0" xfId="14" applyFont="1" applyAlignment="1">
      <alignment horizontal="center"/>
    </xf>
    <xf numFmtId="0" fontId="43" fillId="3" borderId="0" xfId="14" applyFont="1" applyFill="1" applyAlignment="1">
      <alignment horizontal="center"/>
    </xf>
    <xf numFmtId="165" fontId="76" fillId="0" borderId="0" xfId="1" applyNumberFormat="1" applyFont="1" applyAlignment="1">
      <alignment horizontal="center"/>
    </xf>
    <xf numFmtId="165" fontId="79" fillId="0" borderId="0" xfId="1" applyNumberFormat="1" applyFont="1" applyAlignment="1">
      <alignment horizontal="center"/>
    </xf>
    <xf numFmtId="165" fontId="78" fillId="0" borderId="0" xfId="1" applyNumberFormat="1" applyFont="1"/>
    <xf numFmtId="165" fontId="46" fillId="0" borderId="0" xfId="1" applyNumberFormat="1" applyFont="1" applyAlignment="1">
      <alignment horizontal="center"/>
    </xf>
    <xf numFmtId="165" fontId="73" fillId="0" borderId="0" xfId="1" applyNumberFormat="1" applyFont="1"/>
    <xf numFmtId="9" fontId="43" fillId="0" borderId="0" xfId="1" applyNumberFormat="1" applyFont="1"/>
    <xf numFmtId="9" fontId="43" fillId="0" borderId="0" xfId="1" applyFont="1" applyAlignment="1">
      <alignment horizontal="center"/>
    </xf>
    <xf numFmtId="0" fontId="56" fillId="0" borderId="0" xfId="4" applyFont="1" applyFill="1" applyBorder="1"/>
    <xf numFmtId="0" fontId="40" fillId="0" borderId="0" xfId="5" applyFont="1"/>
    <xf numFmtId="0" fontId="81" fillId="0" borderId="0" xfId="4" applyFont="1" applyFill="1" applyBorder="1"/>
    <xf numFmtId="0" fontId="40" fillId="0" borderId="0" xfId="4" applyFont="1" applyFill="1" applyBorder="1" applyAlignment="1"/>
    <xf numFmtId="0" fontId="57" fillId="0" borderId="0" xfId="4" applyFont="1"/>
    <xf numFmtId="0" fontId="82" fillId="14" borderId="0" xfId="4" applyFont="1" applyFill="1" applyAlignment="1">
      <alignment horizontal="center" vertical="center" wrapText="1"/>
    </xf>
    <xf numFmtId="0" fontId="35" fillId="6" borderId="0" xfId="4" applyFont="1" applyFill="1" applyAlignment="1">
      <alignment horizontal="left" vertical="center" wrapText="1"/>
    </xf>
    <xf numFmtId="0" fontId="83" fillId="6" borderId="0" xfId="4" applyFont="1" applyFill="1" applyAlignment="1">
      <alignment horizontal="center" vertical="center" wrapText="1"/>
    </xf>
    <xf numFmtId="0" fontId="56" fillId="6" borderId="0" xfId="4" applyFont="1" applyFill="1" applyAlignment="1">
      <alignment horizontal="center" vertical="center" wrapText="1"/>
    </xf>
    <xf numFmtId="3" fontId="68" fillId="0" borderId="0" xfId="4" applyNumberFormat="1" applyFont="1" applyFill="1"/>
    <xf numFmtId="3" fontId="83" fillId="0" borderId="0" xfId="4" applyNumberFormat="1" applyFont="1" applyFill="1"/>
    <xf numFmtId="0" fontId="53" fillId="0" borderId="0" xfId="4" applyFont="1" applyFill="1"/>
    <xf numFmtId="0" fontId="53" fillId="0" borderId="0" xfId="0" applyFont="1" applyFill="1"/>
    <xf numFmtId="0" fontId="35" fillId="6" borderId="0" xfId="4" applyFont="1" applyFill="1" applyAlignment="1">
      <alignment horizontal="left" vertical="center"/>
    </xf>
    <xf numFmtId="0" fontId="53" fillId="6" borderId="0" xfId="4" applyFont="1" applyFill="1" applyAlignment="1">
      <alignment vertical="center"/>
    </xf>
    <xf numFmtId="0" fontId="53" fillId="6" borderId="0" xfId="4" applyFont="1" applyFill="1" applyAlignment="1">
      <alignment horizontal="center" vertical="center"/>
    </xf>
    <xf numFmtId="0" fontId="53" fillId="6" borderId="0" xfId="0" applyFont="1" applyFill="1" applyAlignment="1">
      <alignment vertical="center"/>
    </xf>
    <xf numFmtId="9" fontId="53" fillId="0" borderId="0" xfId="1" applyFont="1" applyFill="1"/>
    <xf numFmtId="170" fontId="83" fillId="0" borderId="0" xfId="4" applyNumberFormat="1" applyFont="1" applyFill="1"/>
    <xf numFmtId="165" fontId="56" fillId="0" borderId="0" xfId="1" applyNumberFormat="1" applyFont="1" applyFill="1"/>
    <xf numFmtId="167" fontId="83" fillId="0" borderId="0" xfId="4" applyNumberFormat="1" applyFont="1" applyFill="1"/>
    <xf numFmtId="0" fontId="57" fillId="0" borderId="0" xfId="0" applyFont="1"/>
    <xf numFmtId="167" fontId="65" fillId="0" borderId="0" xfId="4" applyNumberFormat="1" applyFont="1" applyFill="1"/>
    <xf numFmtId="169" fontId="56" fillId="0" borderId="0" xfId="12" applyNumberFormat="1" applyFont="1" applyFill="1"/>
    <xf numFmtId="9" fontId="53" fillId="0" borderId="0" xfId="1" applyNumberFormat="1" applyFont="1" applyFill="1"/>
    <xf numFmtId="169" fontId="56" fillId="0" borderId="0" xfId="4" applyNumberFormat="1" applyFont="1" applyFill="1"/>
    <xf numFmtId="0" fontId="84" fillId="0" borderId="0" xfId="4" applyFont="1" applyAlignment="1">
      <alignment horizontal="center"/>
    </xf>
    <xf numFmtId="0" fontId="85" fillId="0" borderId="0" xfId="4" applyFont="1"/>
    <xf numFmtId="0" fontId="85" fillId="0" borderId="0" xfId="4" applyFont="1" applyFill="1"/>
    <xf numFmtId="169" fontId="85" fillId="0" borderId="0" xfId="4" applyNumberFormat="1" applyFont="1" applyFill="1"/>
    <xf numFmtId="3" fontId="86" fillId="0" borderId="0" xfId="4" applyNumberFormat="1" applyFont="1" applyFill="1"/>
    <xf numFmtId="3" fontId="84" fillId="0" borderId="0" xfId="4" applyNumberFormat="1" applyFont="1"/>
    <xf numFmtId="167" fontId="53" fillId="0" borderId="0" xfId="4" applyNumberFormat="1" applyFont="1" applyFill="1"/>
    <xf numFmtId="0" fontId="53" fillId="0" borderId="0" xfId="4" applyFont="1" applyAlignment="1">
      <alignment horizontal="left" indent="1"/>
    </xf>
    <xf numFmtId="172" fontId="53" fillId="0" borderId="0" xfId="1" applyNumberFormat="1" applyFont="1"/>
    <xf numFmtId="0" fontId="53" fillId="15" borderId="0" xfId="4" applyFont="1" applyFill="1"/>
    <xf numFmtId="0" fontId="53" fillId="0" borderId="0" xfId="4" applyFont="1" applyFill="1" applyAlignment="1">
      <alignment horizontal="left" indent="2"/>
    </xf>
    <xf numFmtId="4" fontId="53" fillId="0" borderId="0" xfId="4" applyNumberFormat="1" applyFont="1" applyFill="1"/>
    <xf numFmtId="0" fontId="53" fillId="0" borderId="0" xfId="4" applyFont="1" applyAlignment="1">
      <alignment horizontal="left" indent="2"/>
    </xf>
    <xf numFmtId="171" fontId="53" fillId="0" borderId="0" xfId="12" applyNumberFormat="1" applyFont="1" applyFill="1"/>
    <xf numFmtId="3" fontId="53" fillId="0" borderId="0" xfId="1" applyNumberFormat="1" applyFont="1" applyFill="1"/>
    <xf numFmtId="9" fontId="53" fillId="0" borderId="0" xfId="3" applyFont="1"/>
    <xf numFmtId="0" fontId="88" fillId="0" borderId="2" xfId="0" applyFont="1" applyBorder="1" applyAlignment="1">
      <alignment horizontal="center"/>
    </xf>
    <xf numFmtId="0" fontId="56" fillId="0" borderId="2" xfId="0" applyFont="1" applyBorder="1"/>
    <xf numFmtId="3" fontId="53" fillId="0" borderId="2" xfId="0" applyNumberFormat="1" applyFont="1" applyBorder="1"/>
    <xf numFmtId="3" fontId="56" fillId="0" borderId="2" xfId="0" applyNumberFormat="1" applyFont="1" applyBorder="1"/>
    <xf numFmtId="3" fontId="88" fillId="0" borderId="2" xfId="0" applyNumberFormat="1" applyFont="1" applyBorder="1" applyAlignment="1">
      <alignment horizontal="center" vertical="center"/>
    </xf>
    <xf numFmtId="0" fontId="88" fillId="0" borderId="2" xfId="0" applyFont="1" applyBorder="1" applyAlignment="1">
      <alignment horizontal="center" vertical="center"/>
    </xf>
    <xf numFmtId="0" fontId="56" fillId="0" borderId="0" xfId="0" applyFont="1" applyBorder="1"/>
    <xf numFmtId="3" fontId="53" fillId="0" borderId="0" xfId="0" applyNumberFormat="1" applyFont="1" applyBorder="1"/>
    <xf numFmtId="3" fontId="56" fillId="0" borderId="0" xfId="0" applyNumberFormat="1" applyFont="1" applyBorder="1"/>
    <xf numFmtId="0" fontId="37" fillId="0" borderId="2" xfId="0" applyFont="1" applyBorder="1" applyAlignment="1">
      <alignment horizontal="center"/>
    </xf>
    <xf numFmtId="0" fontId="87" fillId="0" borderId="0" xfId="0" applyFont="1" applyAlignment="1">
      <alignment horizontal="justify" vertical="center"/>
    </xf>
    <xf numFmtId="0" fontId="56" fillId="0" borderId="2" xfId="0" applyFont="1" applyBorder="1" applyAlignment="1">
      <alignment horizontal="center"/>
    </xf>
    <xf numFmtId="164" fontId="88" fillId="0" borderId="2" xfId="0" applyNumberFormat="1" applyFont="1" applyBorder="1"/>
    <xf numFmtId="4" fontId="66" fillId="0" borderId="0" xfId="4" applyNumberFormat="1" applyFont="1" applyFill="1"/>
    <xf numFmtId="0" fontId="70" fillId="0" borderId="0" xfId="0" applyFont="1"/>
    <xf numFmtId="0" fontId="84" fillId="6" borderId="0" xfId="4" applyFont="1" applyFill="1" applyAlignment="1">
      <alignment horizontal="center" vertical="center" wrapText="1"/>
    </xf>
    <xf numFmtId="0" fontId="90" fillId="6" borderId="0" xfId="4" applyFont="1" applyFill="1" applyAlignment="1">
      <alignment horizontal="center" vertical="center" wrapText="1"/>
    </xf>
    <xf numFmtId="0" fontId="61" fillId="6" borderId="0" xfId="4" applyFont="1" applyFill="1" applyAlignment="1">
      <alignment horizontal="center" vertical="center" wrapText="1"/>
    </xf>
    <xf numFmtId="0" fontId="86" fillId="6" borderId="0" xfId="4" applyFont="1" applyFill="1" applyAlignment="1">
      <alignment horizontal="center" vertical="center" wrapText="1"/>
    </xf>
    <xf numFmtId="165" fontId="65" fillId="0" borderId="0" xfId="1" applyNumberFormat="1" applyFont="1" applyFill="1"/>
    <xf numFmtId="165" fontId="68" fillId="0" borderId="0" xfId="1" applyNumberFormat="1" applyFont="1" applyFill="1"/>
    <xf numFmtId="169" fontId="67" fillId="0" borderId="0" xfId="4" applyNumberFormat="1" applyFont="1" applyFill="1"/>
    <xf numFmtId="169" fontId="68" fillId="0" borderId="0" xfId="4" applyNumberFormat="1" applyFont="1"/>
    <xf numFmtId="169" fontId="66" fillId="0" borderId="0" xfId="4" applyNumberFormat="1" applyFont="1" applyFill="1"/>
    <xf numFmtId="169" fontId="57" fillId="0" borderId="0" xfId="4" applyNumberFormat="1" applyFont="1"/>
    <xf numFmtId="43" fontId="65" fillId="0" borderId="0" xfId="12" applyFont="1" applyFill="1"/>
    <xf numFmtId="43" fontId="53" fillId="0" borderId="0" xfId="12" applyNumberFormat="1" applyFont="1" applyFill="1"/>
    <xf numFmtId="169" fontId="91" fillId="0" borderId="0" xfId="4" applyNumberFormat="1" applyFont="1" applyFill="1"/>
    <xf numFmtId="0" fontId="58" fillId="0" borderId="0" xfId="0" applyFont="1" applyAlignment="1">
      <alignment horizontal="center"/>
    </xf>
    <xf numFmtId="0" fontId="28" fillId="0" borderId="0" xfId="15" applyAlignment="1">
      <alignment horizontal="center" vertical="top"/>
    </xf>
    <xf numFmtId="0" fontId="28" fillId="0" borderId="0" xfId="15" applyAlignment="1">
      <alignment horizontal="left" vertical="top"/>
    </xf>
    <xf numFmtId="0" fontId="92" fillId="0" borderId="0" xfId="15" applyFont="1" applyAlignment="1">
      <alignment horizontal="left" vertical="top"/>
    </xf>
    <xf numFmtId="0" fontId="93" fillId="0" borderId="0" xfId="15" applyFont="1" applyAlignment="1">
      <alignment horizontal="left" vertical="top"/>
    </xf>
    <xf numFmtId="0" fontId="28" fillId="0" borderId="0" xfId="15" applyAlignment="1">
      <alignment horizontal="left" vertical="top" wrapText="1"/>
    </xf>
    <xf numFmtId="0" fontId="94" fillId="0" borderId="0" xfId="15" applyFont="1" applyAlignment="1">
      <alignment horizontal="left" vertical="top"/>
    </xf>
    <xf numFmtId="0" fontId="95" fillId="0" borderId="0" xfId="15" applyFont="1" applyAlignment="1">
      <alignment horizontal="left" vertical="top"/>
    </xf>
    <xf numFmtId="0" fontId="93" fillId="0" borderId="0" xfId="15" applyFont="1" applyAlignment="1">
      <alignment horizontal="center" vertical="top"/>
    </xf>
    <xf numFmtId="0" fontId="96" fillId="0" borderId="2" xfId="15" applyFont="1" applyBorder="1" applyAlignment="1">
      <alignment horizontal="center" vertical="center" wrapText="1"/>
    </xf>
    <xf numFmtId="0" fontId="74" fillId="0" borderId="2" xfId="15" applyFont="1" applyBorder="1" applyAlignment="1">
      <alignment horizontal="center" vertical="center" wrapText="1"/>
    </xf>
    <xf numFmtId="0" fontId="97" fillId="17" borderId="2" xfId="15" applyFont="1" applyFill="1" applyBorder="1" applyAlignment="1">
      <alignment horizontal="center" vertical="top" wrapText="1"/>
    </xf>
    <xf numFmtId="0" fontId="97" fillId="17" borderId="2" xfId="15" applyFont="1" applyFill="1" applyBorder="1" applyAlignment="1">
      <alignment horizontal="left" vertical="top" wrapText="1"/>
    </xf>
    <xf numFmtId="0" fontId="97" fillId="17" borderId="2" xfId="15" applyFont="1" applyFill="1" applyBorder="1" applyAlignment="1">
      <alignment horizontal="center" vertical="center" wrapText="1"/>
    </xf>
    <xf numFmtId="3" fontId="97" fillId="17" borderId="2" xfId="15" applyNumberFormat="1" applyFont="1" applyFill="1" applyBorder="1" applyAlignment="1">
      <alignment horizontal="right" vertical="top" wrapText="1"/>
    </xf>
    <xf numFmtId="3" fontId="98" fillId="18" borderId="2" xfId="15" applyNumberFormat="1" applyFont="1" applyFill="1" applyBorder="1" applyAlignment="1">
      <alignment horizontal="right" vertical="top" wrapText="1"/>
    </xf>
    <xf numFmtId="0" fontId="93" fillId="19" borderId="2" xfId="15" applyFont="1" applyFill="1" applyBorder="1" applyAlignment="1">
      <alignment horizontal="center" vertical="top" wrapText="1"/>
    </xf>
    <xf numFmtId="0" fontId="93" fillId="19" borderId="2" xfId="15" applyFont="1" applyFill="1" applyBorder="1" applyAlignment="1">
      <alignment horizontal="left" vertical="top" wrapText="1"/>
    </xf>
    <xf numFmtId="0" fontId="93" fillId="19" borderId="2" xfId="15" applyFont="1" applyFill="1" applyBorder="1" applyAlignment="1">
      <alignment horizontal="center" vertical="center" wrapText="1"/>
    </xf>
    <xf numFmtId="0" fontId="28" fillId="0" borderId="2" xfId="15" applyBorder="1" applyAlignment="1">
      <alignment horizontal="center" vertical="top" wrapText="1"/>
    </xf>
    <xf numFmtId="0" fontId="28" fillId="0" borderId="2" xfId="15" applyBorder="1" applyAlignment="1">
      <alignment horizontal="left" vertical="top" wrapText="1"/>
    </xf>
    <xf numFmtId="0" fontId="93" fillId="0" borderId="2" xfId="15" applyFont="1" applyBorder="1" applyAlignment="1">
      <alignment horizontal="center" vertical="center" wrapText="1"/>
    </xf>
    <xf numFmtId="3" fontId="92" fillId="0" borderId="2" xfId="15" applyNumberFormat="1" applyFont="1" applyBorder="1" applyAlignment="1">
      <alignment horizontal="right" vertical="top" wrapText="1"/>
    </xf>
    <xf numFmtId="3" fontId="93" fillId="15" borderId="2" xfId="15" applyNumberFormat="1" applyFont="1" applyFill="1" applyBorder="1" applyAlignment="1">
      <alignment horizontal="right" vertical="top" wrapText="1"/>
    </xf>
    <xf numFmtId="0" fontId="94" fillId="21" borderId="2" xfId="15" applyFont="1" applyFill="1" applyBorder="1" applyAlignment="1">
      <alignment horizontal="center" vertical="top" wrapText="1"/>
    </xf>
    <xf numFmtId="0" fontId="94" fillId="21" borderId="2" xfId="15" applyFont="1" applyFill="1" applyBorder="1" applyAlignment="1">
      <alignment horizontal="center" vertical="center" wrapText="1"/>
    </xf>
    <xf numFmtId="3" fontId="94" fillId="21" borderId="2" xfId="15" applyNumberFormat="1" applyFont="1" applyFill="1" applyBorder="1" applyAlignment="1">
      <alignment horizontal="right" vertical="top" wrapText="1"/>
    </xf>
    <xf numFmtId="3" fontId="98" fillId="8" borderId="2" xfId="15" applyNumberFormat="1" applyFont="1" applyFill="1" applyBorder="1" applyAlignment="1">
      <alignment horizontal="right" vertical="top" wrapText="1"/>
    </xf>
    <xf numFmtId="0" fontId="28" fillId="0" borderId="0" xfId="15" applyAlignment="1">
      <alignment horizontal="center" vertical="top" wrapText="1"/>
    </xf>
    <xf numFmtId="0" fontId="93" fillId="0" borderId="0" xfId="15" applyFont="1" applyAlignment="1">
      <alignment horizontal="center" vertical="center" wrapText="1"/>
    </xf>
    <xf numFmtId="0" fontId="92" fillId="0" borderId="0" xfId="15" applyFont="1" applyAlignment="1">
      <alignment horizontal="left" vertical="top" wrapText="1"/>
    </xf>
    <xf numFmtId="0" fontId="93" fillId="0" borderId="0" xfId="15" applyFont="1" applyAlignment="1">
      <alignment horizontal="left" vertical="top" wrapText="1"/>
    </xf>
    <xf numFmtId="0" fontId="94" fillId="0" borderId="0" xfId="15" applyFont="1" applyAlignment="1">
      <alignment horizontal="left" vertical="top" wrapText="1"/>
    </xf>
    <xf numFmtId="0" fontId="93" fillId="0" borderId="0" xfId="15" applyFont="1" applyAlignment="1">
      <alignment horizontal="center" vertical="top" wrapText="1"/>
    </xf>
    <xf numFmtId="9" fontId="100" fillId="0" borderId="0" xfId="16" applyNumberFormat="1" applyFont="1" applyAlignment="1">
      <alignment horizontal="right" vertical="top" wrapText="1"/>
    </xf>
    <xf numFmtId="0" fontId="101" fillId="0" borderId="0" xfId="15" applyFont="1" applyAlignment="1">
      <alignment horizontal="center" vertical="top" wrapText="1"/>
    </xf>
    <xf numFmtId="0" fontId="101" fillId="0" borderId="0" xfId="15" applyFont="1" applyAlignment="1">
      <alignment horizontal="left" vertical="top" wrapText="1"/>
    </xf>
    <xf numFmtId="0" fontId="102" fillId="0" borderId="0" xfId="15" applyFont="1" applyAlignment="1">
      <alignment horizontal="center" vertical="top" wrapText="1"/>
    </xf>
    <xf numFmtId="4" fontId="101" fillId="0" borderId="0" xfId="15" applyNumberFormat="1" applyFont="1" applyAlignment="1">
      <alignment horizontal="right" vertical="top" wrapText="1"/>
    </xf>
    <xf numFmtId="165" fontId="101" fillId="0" borderId="0" xfId="16" applyNumberFormat="1" applyFont="1" applyAlignment="1">
      <alignment horizontal="right" vertical="top" wrapText="1"/>
    </xf>
    <xf numFmtId="0" fontId="93" fillId="0" borderId="2" xfId="15" applyFont="1" applyBorder="1" applyAlignment="1">
      <alignment horizontal="center" vertical="top" wrapText="1"/>
    </xf>
    <xf numFmtId="0" fontId="85" fillId="0" borderId="0" xfId="5" applyFont="1"/>
    <xf numFmtId="0" fontId="97" fillId="0" borderId="0" xfId="5" applyFont="1"/>
    <xf numFmtId="0" fontId="110" fillId="0" borderId="0" xfId="5" applyFont="1" applyAlignment="1">
      <alignment horizontal="center"/>
    </xf>
    <xf numFmtId="0" fontId="111" fillId="0" borderId="0" xfId="5" applyFont="1"/>
    <xf numFmtId="0" fontId="101" fillId="0" borderId="0" xfId="5" applyFont="1"/>
    <xf numFmtId="3" fontId="113" fillId="0" borderId="0" xfId="5" applyNumberFormat="1" applyFont="1" applyAlignment="1">
      <alignment horizontal="center"/>
    </xf>
    <xf numFmtId="0" fontId="103" fillId="0" borderId="0" xfId="5" applyFont="1" applyAlignment="1">
      <alignment horizontal="center"/>
    </xf>
    <xf numFmtId="0" fontId="103" fillId="0" borderId="0" xfId="5" applyFont="1"/>
    <xf numFmtId="3" fontId="103" fillId="0" borderId="0" xfId="5" applyNumberFormat="1" applyFont="1"/>
    <xf numFmtId="4" fontId="103" fillId="0" borderId="0" xfId="5" applyNumberFormat="1" applyFont="1"/>
    <xf numFmtId="0" fontId="101" fillId="0" borderId="0" xfId="5" applyFont="1" applyAlignment="1">
      <alignment horizontal="center"/>
    </xf>
    <xf numFmtId="0" fontId="101" fillId="0" borderId="0" xfId="5" applyFont="1" applyAlignment="1">
      <alignment horizontal="left" indent="2"/>
    </xf>
    <xf numFmtId="10" fontId="101" fillId="0" borderId="0" xfId="5" applyNumberFormat="1" applyFont="1"/>
    <xf numFmtId="4" fontId="101" fillId="0" borderId="0" xfId="5" applyNumberFormat="1" applyFont="1"/>
    <xf numFmtId="0" fontId="114" fillId="0" borderId="0" xfId="5" applyFont="1"/>
    <xf numFmtId="9" fontId="85" fillId="0" borderId="0" xfId="16" applyFont="1"/>
    <xf numFmtId="0" fontId="115" fillId="0" borderId="2" xfId="5" applyFont="1" applyBorder="1" applyAlignment="1">
      <alignment horizontal="center" vertical="center" wrapText="1"/>
    </xf>
    <xf numFmtId="0" fontId="85" fillId="0" borderId="2" xfId="5" applyFont="1" applyBorder="1" applyAlignment="1">
      <alignment horizontal="center"/>
    </xf>
    <xf numFmtId="0" fontId="85" fillId="0" borderId="2" xfId="5" applyFont="1" applyFill="1" applyBorder="1"/>
    <xf numFmtId="9" fontId="85" fillId="0" borderId="2" xfId="5" applyNumberFormat="1" applyFont="1" applyFill="1" applyBorder="1"/>
    <xf numFmtId="173" fontId="85" fillId="0" borderId="2" xfId="6" applyNumberFormat="1" applyFont="1" applyFill="1" applyBorder="1"/>
    <xf numFmtId="0" fontId="85" fillId="0" borderId="2" xfId="5" applyFont="1" applyFill="1" applyBorder="1" applyAlignment="1">
      <alignment horizontal="center"/>
    </xf>
    <xf numFmtId="173" fontId="85" fillId="0" borderId="2" xfId="6" applyNumberFormat="1" applyFont="1" applyFill="1" applyBorder="1" applyAlignment="1">
      <alignment horizontal="center"/>
    </xf>
    <xf numFmtId="2" fontId="85" fillId="0" borderId="2" xfId="5" applyNumberFormat="1" applyFont="1" applyFill="1" applyBorder="1"/>
    <xf numFmtId="174" fontId="85" fillId="0" borderId="2" xfId="6" applyNumberFormat="1" applyFont="1" applyFill="1" applyBorder="1"/>
    <xf numFmtId="3" fontId="85" fillId="0" borderId="2" xfId="5" applyNumberFormat="1" applyFont="1" applyBorder="1"/>
    <xf numFmtId="3" fontId="85" fillId="0" borderId="2" xfId="5" applyNumberFormat="1" applyFont="1" applyFill="1" applyBorder="1"/>
    <xf numFmtId="4" fontId="85" fillId="0" borderId="2" xfId="5" applyNumberFormat="1" applyFont="1" applyBorder="1"/>
    <xf numFmtId="0" fontId="85" fillId="0" borderId="2" xfId="5" applyFont="1" applyBorder="1"/>
    <xf numFmtId="3" fontId="94" fillId="0" borderId="2" xfId="5" applyNumberFormat="1" applyFont="1" applyBorder="1"/>
    <xf numFmtId="4" fontId="94" fillId="0" borderId="2" xfId="5" applyNumberFormat="1" applyFont="1" applyBorder="1"/>
    <xf numFmtId="0" fontId="113" fillId="0" borderId="0" xfId="5" applyFont="1" applyAlignment="1">
      <alignment horizontal="center"/>
    </xf>
    <xf numFmtId="0" fontId="85" fillId="0" borderId="0" xfId="5" applyFont="1" applyAlignment="1">
      <alignment horizontal="center"/>
    </xf>
    <xf numFmtId="3" fontId="101" fillId="0" borderId="0" xfId="5" applyNumberFormat="1" applyFont="1"/>
    <xf numFmtId="9" fontId="85" fillId="0" borderId="2" xfId="5" applyNumberFormat="1" applyFont="1" applyBorder="1"/>
    <xf numFmtId="173" fontId="85" fillId="0" borderId="2" xfId="6" applyNumberFormat="1" applyFont="1" applyBorder="1"/>
    <xf numFmtId="173" fontId="85" fillId="0" borderId="2" xfId="6" applyNumberFormat="1" applyFont="1" applyBorder="1" applyAlignment="1">
      <alignment horizontal="center"/>
    </xf>
    <xf numFmtId="2" fontId="85" fillId="0" borderId="2" xfId="5" applyNumberFormat="1" applyFont="1" applyBorder="1"/>
    <xf numFmtId="174" fontId="85" fillId="0" borderId="2" xfId="6" applyNumberFormat="1" applyFont="1" applyBorder="1"/>
    <xf numFmtId="0" fontId="85" fillId="0" borderId="0" xfId="5" applyFont="1" applyFill="1"/>
    <xf numFmtId="0" fontId="110" fillId="0" borderId="0" xfId="5" applyFont="1" applyFill="1" applyAlignment="1">
      <alignment horizontal="center"/>
    </xf>
    <xf numFmtId="3" fontId="85" fillId="3" borderId="2" xfId="5" applyNumberFormat="1" applyFont="1" applyFill="1" applyBorder="1"/>
    <xf numFmtId="3" fontId="85" fillId="10" borderId="2" xfId="5" applyNumberFormat="1" applyFont="1" applyFill="1" applyBorder="1"/>
    <xf numFmtId="0" fontId="118" fillId="0" borderId="0" xfId="5" applyFont="1"/>
    <xf numFmtId="175" fontId="85" fillId="0" borderId="2" xfId="5" applyNumberFormat="1" applyFont="1" applyBorder="1"/>
    <xf numFmtId="0" fontId="119" fillId="23" borderId="2" xfId="5" applyFont="1" applyFill="1" applyBorder="1" applyAlignment="1">
      <alignment horizontal="center" vertical="center" wrapText="1"/>
    </xf>
    <xf numFmtId="9" fontId="120" fillId="23" borderId="2" xfId="16" applyFont="1" applyFill="1" applyBorder="1"/>
    <xf numFmtId="9" fontId="120" fillId="23" borderId="2" xfId="16" applyNumberFormat="1" applyFont="1" applyFill="1" applyBorder="1"/>
    <xf numFmtId="3" fontId="120" fillId="23" borderId="2" xfId="5" applyNumberFormat="1" applyFont="1" applyFill="1" applyBorder="1"/>
    <xf numFmtId="4" fontId="120" fillId="23" borderId="2" xfId="5" applyNumberFormat="1" applyFont="1" applyFill="1" applyBorder="1"/>
    <xf numFmtId="3" fontId="85" fillId="23" borderId="2" xfId="5" applyNumberFormat="1" applyFont="1" applyFill="1" applyBorder="1"/>
    <xf numFmtId="3" fontId="94" fillId="23" borderId="2" xfId="5" applyNumberFormat="1" applyFont="1" applyFill="1" applyBorder="1"/>
    <xf numFmtId="9" fontId="57" fillId="0" borderId="0" xfId="5" applyNumberFormat="1" applyFont="1"/>
    <xf numFmtId="0" fontId="57" fillId="0" borderId="0" xfId="5" applyFont="1"/>
    <xf numFmtId="0" fontId="52" fillId="0" borderId="41" xfId="5" applyFont="1" applyBorder="1"/>
    <xf numFmtId="0" fontId="117" fillId="0" borderId="42" xfId="5" applyFont="1" applyBorder="1" applyAlignment="1">
      <alignment horizontal="center"/>
    </xf>
    <xf numFmtId="0" fontId="117" fillId="0" borderId="43" xfId="5" applyFont="1" applyBorder="1" applyAlignment="1">
      <alignment horizontal="center"/>
    </xf>
    <xf numFmtId="0" fontId="85" fillId="0" borderId="50" xfId="5" applyFont="1" applyBorder="1" applyAlignment="1">
      <alignment horizontal="center"/>
    </xf>
    <xf numFmtId="0" fontId="85" fillId="0" borderId="51" xfId="5" applyFont="1" applyBorder="1" applyAlignment="1">
      <alignment horizontal="center"/>
    </xf>
    <xf numFmtId="165" fontId="85" fillId="0" borderId="0" xfId="1" applyNumberFormat="1" applyFont="1" applyBorder="1"/>
    <xf numFmtId="165" fontId="85" fillId="0" borderId="53" xfId="1" applyNumberFormat="1" applyFont="1" applyBorder="1"/>
    <xf numFmtId="165" fontId="85" fillId="0" borderId="44" xfId="1" applyNumberFormat="1" applyFont="1" applyBorder="1"/>
    <xf numFmtId="165" fontId="85" fillId="0" borderId="55" xfId="1" applyNumberFormat="1" applyFont="1" applyBorder="1"/>
    <xf numFmtId="0" fontId="93" fillId="0" borderId="0" xfId="5" applyFont="1" applyFill="1" applyAlignment="1">
      <alignment horizontal="center"/>
    </xf>
    <xf numFmtId="3" fontId="93" fillId="0" borderId="0" xfId="5" applyNumberFormat="1" applyFont="1" applyFill="1"/>
    <xf numFmtId="9" fontId="116" fillId="0" borderId="0" xfId="5" applyNumberFormat="1" applyFont="1" applyAlignment="1">
      <alignment horizontal="center"/>
    </xf>
    <xf numFmtId="3" fontId="105" fillId="5" borderId="54" xfId="5" applyNumberFormat="1" applyFont="1" applyFill="1" applyBorder="1" applyAlignment="1">
      <alignment horizontal="center"/>
    </xf>
    <xf numFmtId="3" fontId="100" fillId="5" borderId="54" xfId="5" applyNumberFormat="1" applyFont="1" applyFill="1" applyBorder="1" applyAlignment="1">
      <alignment horizontal="center"/>
    </xf>
    <xf numFmtId="167" fontId="85" fillId="0" borderId="2" xfId="5" applyNumberFormat="1" applyFont="1" applyBorder="1"/>
    <xf numFmtId="0" fontId="85" fillId="3" borderId="2" xfId="5" applyFont="1" applyFill="1" applyBorder="1" applyAlignment="1">
      <alignment horizontal="right"/>
    </xf>
    <xf numFmtId="9" fontId="120" fillId="3" borderId="2" xfId="16" applyNumberFormat="1" applyFont="1" applyFill="1" applyBorder="1"/>
    <xf numFmtId="0" fontId="40" fillId="3" borderId="0" xfId="0" applyFont="1" applyFill="1" applyAlignment="1">
      <alignment horizontal="center"/>
    </xf>
    <xf numFmtId="0" fontId="74" fillId="0" borderId="2" xfId="15" applyFont="1" applyBorder="1" applyAlignment="1">
      <alignment horizontal="center" vertical="center" wrapText="1"/>
    </xf>
    <xf numFmtId="164" fontId="85" fillId="0" borderId="2" xfId="5" applyNumberFormat="1" applyFont="1" applyBorder="1"/>
    <xf numFmtId="167" fontId="85" fillId="0" borderId="2" xfId="5" applyNumberFormat="1" applyFont="1" applyFill="1" applyBorder="1"/>
    <xf numFmtId="3" fontId="85" fillId="0" borderId="2" xfId="5" applyNumberFormat="1" applyFont="1" applyFill="1" applyBorder="1" applyAlignment="1">
      <alignment horizontal="right"/>
    </xf>
    <xf numFmtId="2" fontId="85" fillId="0" borderId="0" xfId="5" applyNumberFormat="1" applyFont="1"/>
    <xf numFmtId="0" fontId="91" fillId="0" borderId="0" xfId="5" applyFont="1"/>
    <xf numFmtId="0" fontId="101" fillId="0" borderId="2" xfId="5" applyFont="1" applyBorder="1" applyAlignment="1">
      <alignment horizontal="center" vertical="center"/>
    </xf>
    <xf numFmtId="0" fontId="101" fillId="0" borderId="2" xfId="5" applyFont="1" applyBorder="1" applyAlignment="1">
      <alignment horizontal="left" vertical="center"/>
    </xf>
    <xf numFmtId="0" fontId="101" fillId="0" borderId="2" xfId="5" quotePrefix="1" applyFont="1" applyBorder="1" applyAlignment="1">
      <alignment horizontal="left" vertical="center"/>
    </xf>
    <xf numFmtId="0" fontId="103" fillId="0" borderId="2" xfId="5" applyFont="1" applyBorder="1" applyAlignment="1">
      <alignment horizontal="center" vertical="center"/>
    </xf>
    <xf numFmtId="171" fontId="101" fillId="0" borderId="2" xfId="12" applyNumberFormat="1" applyFont="1" applyBorder="1" applyAlignment="1">
      <alignment vertical="center"/>
    </xf>
    <xf numFmtId="169" fontId="101" fillId="0" borderId="2" xfId="12" applyNumberFormat="1" applyFont="1" applyBorder="1" applyAlignment="1">
      <alignment vertical="center"/>
    </xf>
    <xf numFmtId="169" fontId="103" fillId="0" borderId="2" xfId="12" applyNumberFormat="1" applyFont="1" applyBorder="1" applyAlignment="1">
      <alignment vertical="center"/>
    </xf>
    <xf numFmtId="3" fontId="113" fillId="0" borderId="2" xfId="5" applyNumberFormat="1" applyFont="1" applyBorder="1" applyAlignment="1">
      <alignment horizontal="center" vertical="center" wrapText="1"/>
    </xf>
    <xf numFmtId="4" fontId="113" fillId="0" borderId="2" xfId="5" applyNumberFormat="1" applyFont="1" applyBorder="1" applyAlignment="1">
      <alignment horizontal="center" vertical="center" wrapText="1"/>
    </xf>
    <xf numFmtId="165" fontId="101" fillId="0" borderId="2" xfId="1" applyNumberFormat="1" applyFont="1" applyBorder="1" applyAlignment="1">
      <alignment vertical="center"/>
    </xf>
    <xf numFmtId="165" fontId="103" fillId="0" borderId="2" xfId="1" applyNumberFormat="1" applyFont="1" applyBorder="1" applyAlignment="1">
      <alignment vertical="center"/>
    </xf>
    <xf numFmtId="0" fontId="85" fillId="0" borderId="2" xfId="5" applyFont="1" applyFill="1" applyBorder="1" applyAlignment="1">
      <alignment horizontal="right"/>
    </xf>
    <xf numFmtId="4" fontId="94" fillId="23" borderId="2" xfId="5" applyNumberFormat="1" applyFont="1" applyFill="1" applyBorder="1"/>
    <xf numFmtId="167" fontId="100" fillId="5" borderId="54" xfId="5" applyNumberFormat="1" applyFont="1" applyFill="1" applyBorder="1" applyAlignment="1">
      <alignment horizontal="center"/>
    </xf>
    <xf numFmtId="167" fontId="105" fillId="5" borderId="54" xfId="5" applyNumberFormat="1" applyFont="1" applyFill="1" applyBorder="1" applyAlignment="1">
      <alignment horizontal="center"/>
    </xf>
    <xf numFmtId="0" fontId="101" fillId="0" borderId="2" xfId="5" applyFont="1" applyFill="1" applyBorder="1" applyAlignment="1">
      <alignment horizontal="center" vertical="center"/>
    </xf>
    <xf numFmtId="0" fontId="101" fillId="0" borderId="2" xfId="5" quotePrefix="1" applyFont="1" applyFill="1" applyBorder="1" applyAlignment="1">
      <alignment horizontal="left" vertical="center"/>
    </xf>
    <xf numFmtId="169" fontId="101" fillId="0" borderId="2" xfId="12" applyNumberFormat="1" applyFont="1" applyFill="1" applyBorder="1" applyAlignment="1">
      <alignment vertical="center"/>
    </xf>
    <xf numFmtId="165" fontId="101" fillId="0" borderId="2" xfId="1" applyNumberFormat="1" applyFont="1" applyFill="1" applyBorder="1" applyAlignment="1">
      <alignment vertical="center"/>
    </xf>
    <xf numFmtId="43" fontId="101" fillId="0" borderId="0" xfId="12" applyFont="1"/>
    <xf numFmtId="0" fontId="85" fillId="7" borderId="0" xfId="5" applyFont="1" applyFill="1"/>
    <xf numFmtId="0" fontId="97" fillId="7" borderId="0" xfId="5" applyFont="1" applyFill="1"/>
    <xf numFmtId="0" fontId="110" fillId="7" borderId="0" xfId="5" applyFont="1" applyFill="1" applyAlignment="1">
      <alignment horizontal="center"/>
    </xf>
    <xf numFmtId="0" fontId="82" fillId="14" borderId="0" xfId="5" applyFont="1" applyFill="1" applyAlignment="1">
      <alignment horizontal="center"/>
    </xf>
    <xf numFmtId="0" fontId="82" fillId="14" borderId="0" xfId="5" applyFont="1" applyFill="1" applyAlignment="1">
      <alignment horizontal="center" vertical="center"/>
    </xf>
    <xf numFmtId="3" fontId="53" fillId="0" borderId="0" xfId="4" applyNumberFormat="1" applyFont="1" applyFill="1" applyAlignment="1">
      <alignment horizontal="center"/>
    </xf>
    <xf numFmtId="3" fontId="66" fillId="0" borderId="0" xfId="4" applyNumberFormat="1" applyFont="1" applyFill="1" applyAlignment="1">
      <alignment horizontal="center"/>
    </xf>
    <xf numFmtId="3" fontId="57" fillId="0" borderId="0" xfId="4" applyNumberFormat="1" applyFont="1" applyAlignment="1">
      <alignment horizontal="center"/>
    </xf>
    <xf numFmtId="9" fontId="53" fillId="0" borderId="0" xfId="1" applyFont="1" applyFill="1" applyAlignment="1">
      <alignment horizontal="center"/>
    </xf>
    <xf numFmtId="165" fontId="66" fillId="0" borderId="0" xfId="1" applyNumberFormat="1" applyFont="1" applyFill="1" applyAlignment="1">
      <alignment horizontal="center"/>
    </xf>
    <xf numFmtId="165" fontId="57" fillId="0" borderId="0" xfId="1" applyNumberFormat="1" applyFont="1" applyAlignment="1">
      <alignment horizontal="center"/>
    </xf>
    <xf numFmtId="0" fontId="97" fillId="7" borderId="0" xfId="5" quotePrefix="1" applyFont="1" applyFill="1"/>
    <xf numFmtId="3" fontId="112" fillId="3" borderId="2" xfId="5" applyNumberFormat="1" applyFont="1" applyFill="1" applyBorder="1" applyAlignment="1">
      <alignment horizontal="center"/>
    </xf>
    <xf numFmtId="3" fontId="94" fillId="4" borderId="2" xfId="15" applyNumberFormat="1" applyFont="1" applyFill="1" applyBorder="1" applyAlignment="1">
      <alignment horizontal="right" vertical="top" wrapText="1"/>
    </xf>
    <xf numFmtId="0" fontId="85" fillId="0" borderId="0" xfId="15" applyFont="1" applyAlignment="1">
      <alignment horizontal="center" vertical="top" wrapText="1"/>
    </xf>
    <xf numFmtId="0" fontId="85" fillId="0" borderId="0" xfId="15" applyFont="1" applyAlignment="1">
      <alignment horizontal="left" vertical="top" wrapText="1"/>
    </xf>
    <xf numFmtId="0" fontId="116" fillId="0" borderId="0" xfId="15" applyFont="1" applyAlignment="1">
      <alignment horizontal="center" vertical="top" wrapText="1"/>
    </xf>
    <xf numFmtId="4" fontId="85" fillId="0" borderId="0" xfId="15" applyNumberFormat="1" applyFont="1" applyAlignment="1">
      <alignment horizontal="right" vertical="top" wrapText="1"/>
    </xf>
    <xf numFmtId="0" fontId="94" fillId="4" borderId="2" xfId="15" applyFont="1" applyFill="1" applyBorder="1" applyAlignment="1">
      <alignment horizontal="center" vertical="top" wrapText="1"/>
    </xf>
    <xf numFmtId="0" fontId="94" fillId="4" borderId="2" xfId="15" applyFont="1" applyFill="1" applyBorder="1" applyAlignment="1">
      <alignment horizontal="center" vertical="center" wrapText="1"/>
    </xf>
    <xf numFmtId="0" fontId="94" fillId="0" borderId="0" xfId="15" applyFont="1" applyAlignment="1">
      <alignment horizontal="center" vertical="top"/>
    </xf>
    <xf numFmtId="0" fontId="40" fillId="0" borderId="0" xfId="0" applyFont="1" applyAlignment="1">
      <alignment horizontal="center"/>
    </xf>
    <xf numFmtId="0" fontId="88" fillId="6" borderId="11" xfId="0" applyFont="1" applyFill="1" applyBorder="1" applyAlignment="1">
      <alignment horizontal="center" vertical="center"/>
    </xf>
    <xf numFmtId="0" fontId="88" fillId="6" borderId="13" xfId="0" applyFont="1" applyFill="1" applyBorder="1" applyAlignment="1">
      <alignment horizontal="center" vertical="center"/>
    </xf>
    <xf numFmtId="0" fontId="56" fillId="0" borderId="24" xfId="0" applyFont="1" applyBorder="1" applyAlignment="1">
      <alignment horizontal="center" vertical="center"/>
    </xf>
    <xf numFmtId="0" fontId="56" fillId="0" borderId="28" xfId="0" applyFont="1" applyBorder="1" applyAlignment="1">
      <alignment vertical="center"/>
    </xf>
    <xf numFmtId="3" fontId="56" fillId="0" borderId="6" xfId="0" applyNumberFormat="1" applyFont="1" applyBorder="1" applyAlignment="1">
      <alignment horizontal="center" vertical="center"/>
    </xf>
    <xf numFmtId="164" fontId="56" fillId="0" borderId="8" xfId="0" applyNumberFormat="1" applyFont="1" applyBorder="1" applyAlignment="1">
      <alignment horizontal="center" vertical="center"/>
    </xf>
    <xf numFmtId="0" fontId="56" fillId="0" borderId="25" xfId="0" applyFont="1" applyBorder="1" applyAlignment="1">
      <alignment horizontal="center" vertical="center"/>
    </xf>
    <xf numFmtId="0" fontId="56" fillId="0" borderId="45" xfId="0" applyFont="1" applyBorder="1" applyAlignment="1">
      <alignment vertical="center"/>
    </xf>
    <xf numFmtId="3" fontId="56" fillId="0" borderId="9" xfId="0" applyNumberFormat="1" applyFont="1" applyBorder="1" applyAlignment="1">
      <alignment horizontal="center" vertical="center"/>
    </xf>
    <xf numFmtId="164" fontId="56" fillId="0" borderId="10" xfId="0" applyNumberFormat="1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0" fontId="41" fillId="0" borderId="45" xfId="0" applyFont="1" applyBorder="1" applyAlignment="1">
      <alignment horizontal="left" vertical="center" indent="2"/>
    </xf>
    <xf numFmtId="3" fontId="41" fillId="0" borderId="9" xfId="0" applyNumberFormat="1" applyFont="1" applyBorder="1" applyAlignment="1">
      <alignment vertical="center"/>
    </xf>
    <xf numFmtId="164" fontId="41" fillId="0" borderId="10" xfId="0" applyNumberFormat="1" applyFont="1" applyBorder="1" applyAlignment="1">
      <alignment vertical="center"/>
    </xf>
    <xf numFmtId="0" fontId="41" fillId="0" borderId="26" xfId="0" applyFont="1" applyBorder="1" applyAlignment="1">
      <alignment horizontal="center" vertical="center"/>
    </xf>
    <xf numFmtId="0" fontId="41" fillId="0" borderId="46" xfId="0" applyFont="1" applyBorder="1" applyAlignment="1">
      <alignment horizontal="left" vertical="center" indent="2"/>
    </xf>
    <xf numFmtId="3" fontId="41" fillId="0" borderId="11" xfId="0" applyNumberFormat="1" applyFont="1" applyBorder="1" applyAlignment="1">
      <alignment vertical="center"/>
    </xf>
    <xf numFmtId="164" fontId="41" fillId="0" borderId="13" xfId="0" applyNumberFormat="1" applyFont="1" applyBorder="1" applyAlignment="1">
      <alignment vertical="center"/>
    </xf>
    <xf numFmtId="0" fontId="41" fillId="0" borderId="47" xfId="0" applyFont="1" applyBorder="1" applyAlignment="1">
      <alignment horizontal="center" vertical="center"/>
    </xf>
    <xf numFmtId="0" fontId="41" fillId="0" borderId="4" xfId="0" applyFont="1" applyBorder="1" applyAlignment="1">
      <alignment horizontal="left" vertical="center" indent="2"/>
    </xf>
    <xf numFmtId="3" fontId="41" fillId="0" borderId="34" xfId="0" applyNumberFormat="1" applyFont="1" applyBorder="1" applyAlignment="1">
      <alignment vertical="center"/>
    </xf>
    <xf numFmtId="164" fontId="41" fillId="0" borderId="29" xfId="0" applyNumberFormat="1" applyFont="1" applyBorder="1" applyAlignment="1">
      <alignment vertical="center"/>
    </xf>
    <xf numFmtId="0" fontId="56" fillId="0" borderId="24" xfId="0" applyFont="1" applyBorder="1" applyAlignment="1">
      <alignment vertical="center"/>
    </xf>
    <xf numFmtId="0" fontId="123" fillId="0" borderId="25" xfId="0" applyFont="1" applyBorder="1" applyAlignment="1">
      <alignment horizontal="center" vertical="center"/>
    </xf>
    <xf numFmtId="0" fontId="123" fillId="0" borderId="25" xfId="0" applyFont="1" applyBorder="1" applyAlignment="1">
      <alignment horizontal="left" vertical="center"/>
    </xf>
    <xf numFmtId="3" fontId="123" fillId="0" borderId="9" xfId="0" applyNumberFormat="1" applyFont="1" applyBorder="1" applyAlignment="1">
      <alignment horizontal="center" vertical="center"/>
    </xf>
    <xf numFmtId="164" fontId="123" fillId="0" borderId="10" xfId="0" applyNumberFormat="1" applyFont="1" applyBorder="1" applyAlignment="1">
      <alignment horizontal="center" vertical="center"/>
    </xf>
    <xf numFmtId="0" fontId="124" fillId="0" borderId="25" xfId="0" applyFont="1" applyBorder="1" applyAlignment="1">
      <alignment horizontal="center" vertical="center"/>
    </xf>
    <xf numFmtId="0" fontId="124" fillId="0" borderId="25" xfId="0" applyFont="1" applyBorder="1" applyAlignment="1">
      <alignment horizontal="left" vertical="center"/>
    </xf>
    <xf numFmtId="3" fontId="124" fillId="0" borderId="9" xfId="0" applyNumberFormat="1" applyFont="1" applyBorder="1" applyAlignment="1">
      <alignment horizontal="center" vertical="center"/>
    </xf>
    <xf numFmtId="164" fontId="124" fillId="0" borderId="10" xfId="0" applyNumberFormat="1" applyFont="1" applyBorder="1" applyAlignment="1">
      <alignment horizontal="center" vertical="center"/>
    </xf>
    <xf numFmtId="0" fontId="83" fillId="0" borderId="25" xfId="0" applyFont="1" applyBorder="1" applyAlignment="1">
      <alignment horizontal="center" vertical="center"/>
    </xf>
    <xf numFmtId="0" fontId="83" fillId="0" borderId="25" xfId="0" applyFont="1" applyBorder="1" applyAlignment="1">
      <alignment horizontal="left" vertical="center"/>
    </xf>
    <xf numFmtId="3" fontId="83" fillId="0" borderId="9" xfId="0" applyNumberFormat="1" applyFont="1" applyBorder="1" applyAlignment="1">
      <alignment horizontal="center" vertical="center"/>
    </xf>
    <xf numFmtId="164" fontId="83" fillId="0" borderId="10" xfId="0" applyNumberFormat="1" applyFont="1" applyBorder="1" applyAlignment="1">
      <alignment horizontal="center" vertical="center"/>
    </xf>
    <xf numFmtId="0" fontId="57" fillId="0" borderId="25" xfId="0" applyFont="1" applyBorder="1" applyAlignment="1">
      <alignment horizontal="center" vertical="center"/>
    </xf>
    <xf numFmtId="0" fontId="57" fillId="0" borderId="25" xfId="0" applyFont="1" applyBorder="1" applyAlignment="1">
      <alignment horizontal="left" vertical="center"/>
    </xf>
    <xf numFmtId="3" fontId="57" fillId="0" borderId="9" xfId="0" applyNumberFormat="1" applyFont="1" applyBorder="1" applyAlignment="1">
      <alignment horizontal="center" vertical="center"/>
    </xf>
    <xf numFmtId="164" fontId="57" fillId="0" borderId="10" xfId="0" applyNumberFormat="1" applyFont="1" applyBorder="1" applyAlignment="1">
      <alignment horizontal="center" vertical="center"/>
    </xf>
    <xf numFmtId="0" fontId="125" fillId="0" borderId="26" xfId="0" applyFont="1" applyBorder="1" applyAlignment="1">
      <alignment horizontal="center" vertical="center"/>
    </xf>
    <xf numFmtId="0" fontId="125" fillId="0" borderId="26" xfId="0" applyFont="1" applyBorder="1" applyAlignment="1">
      <alignment horizontal="left" vertical="center" indent="2"/>
    </xf>
    <xf numFmtId="3" fontId="125" fillId="0" borderId="11" xfId="0" applyNumberFormat="1" applyFont="1" applyBorder="1" applyAlignment="1">
      <alignment horizontal="right" vertical="center"/>
    </xf>
    <xf numFmtId="164" fontId="125" fillId="0" borderId="13" xfId="0" applyNumberFormat="1" applyFont="1" applyBorder="1" applyAlignment="1">
      <alignment horizontal="right" vertical="center"/>
    </xf>
    <xf numFmtId="0" fontId="41" fillId="0" borderId="0" xfId="0" applyFont="1"/>
    <xf numFmtId="0" fontId="82" fillId="0" borderId="0" xfId="5" applyFont="1" applyFill="1" applyAlignment="1">
      <alignment horizontal="center"/>
    </xf>
    <xf numFmtId="0" fontId="126" fillId="0" borderId="0" xfId="5" applyFont="1" applyFill="1"/>
    <xf numFmtId="167" fontId="56" fillId="0" borderId="0" xfId="8" applyNumberFormat="1" applyFont="1"/>
    <xf numFmtId="10" fontId="56" fillId="0" borderId="0" xfId="1" applyNumberFormat="1" applyFont="1"/>
    <xf numFmtId="0" fontId="41" fillId="0" borderId="0" xfId="8" applyFont="1"/>
    <xf numFmtId="0" fontId="129" fillId="0" borderId="0" xfId="0" applyFont="1"/>
    <xf numFmtId="0" fontId="53" fillId="0" borderId="0" xfId="8" applyFont="1" applyAlignment="1">
      <alignment horizontal="right"/>
    </xf>
    <xf numFmtId="3" fontId="53" fillId="0" borderId="0" xfId="8" applyNumberFormat="1" applyFont="1"/>
    <xf numFmtId="0" fontId="24" fillId="0" borderId="2" xfId="15" applyFont="1" applyBorder="1" applyAlignment="1">
      <alignment horizontal="left" vertical="top" wrapText="1"/>
    </xf>
    <xf numFmtId="9" fontId="34" fillId="16" borderId="0" xfId="1" applyFont="1" applyFill="1" applyBorder="1" applyAlignment="1">
      <alignment vertical="center" wrapText="1"/>
    </xf>
    <xf numFmtId="9" fontId="93" fillId="0" borderId="2" xfId="15" applyNumberFormat="1" applyFont="1" applyBorder="1" applyAlignment="1">
      <alignment horizontal="center" vertical="center" wrapText="1"/>
    </xf>
    <xf numFmtId="0" fontId="23" fillId="0" borderId="2" xfId="15" applyFont="1" applyBorder="1" applyAlignment="1">
      <alignment horizontal="left" vertical="top" wrapText="1"/>
    </xf>
    <xf numFmtId="0" fontId="43" fillId="0" borderId="0" xfId="15" applyFont="1" applyAlignment="1">
      <alignment horizontal="right" vertical="top"/>
    </xf>
    <xf numFmtId="0" fontId="43" fillId="0" borderId="0" xfId="15" applyFont="1" applyAlignment="1">
      <alignment horizontal="left" vertical="top"/>
    </xf>
    <xf numFmtId="0" fontId="43" fillId="0" borderId="0" xfId="15" applyFont="1" applyAlignment="1">
      <alignment horizontal="center" vertical="top"/>
    </xf>
    <xf numFmtId="0" fontId="162" fillId="0" borderId="0" xfId="15" applyFont="1" applyAlignment="1">
      <alignment horizontal="left" wrapText="1"/>
    </xf>
    <xf numFmtId="0" fontId="104" fillId="0" borderId="0" xfId="15" applyFont="1" applyAlignment="1">
      <alignment horizontal="right" vertical="top" wrapText="1"/>
    </xf>
    <xf numFmtId="4" fontId="104" fillId="0" borderId="0" xfId="15" applyNumberFormat="1" applyFont="1" applyAlignment="1">
      <alignment horizontal="right" vertical="top" wrapText="1"/>
    </xf>
    <xf numFmtId="0" fontId="43" fillId="0" borderId="0" xfId="15" applyFont="1" applyAlignment="1">
      <alignment horizontal="left" vertical="top" wrapText="1"/>
    </xf>
    <xf numFmtId="0" fontId="162" fillId="0" borderId="0" xfId="15" applyFont="1" applyAlignment="1">
      <alignment horizontal="right" vertical="top" wrapText="1"/>
    </xf>
    <xf numFmtId="3" fontId="43" fillId="0" borderId="0" xfId="15" applyNumberFormat="1" applyFont="1" applyAlignment="1">
      <alignment horizontal="right" vertical="top" wrapText="1"/>
    </xf>
    <xf numFmtId="3" fontId="34" fillId="0" borderId="0" xfId="4" applyNumberFormat="1" applyFont="1" applyFill="1"/>
    <xf numFmtId="4" fontId="34" fillId="0" borderId="0" xfId="4" applyNumberFormat="1" applyFont="1" applyFill="1"/>
    <xf numFmtId="167" fontId="34" fillId="0" borderId="0" xfId="4" applyNumberFormat="1" applyFont="1" applyFill="1"/>
    <xf numFmtId="0" fontId="23" fillId="0" borderId="0" xfId="107" applyFont="1"/>
    <xf numFmtId="4" fontId="48" fillId="0" borderId="0" xfId="107" applyNumberFormat="1" applyFont="1"/>
    <xf numFmtId="0" fontId="43" fillId="0" borderId="0" xfId="107" applyFont="1"/>
    <xf numFmtId="9" fontId="23" fillId="0" borderId="0" xfId="1" applyFont="1"/>
    <xf numFmtId="9" fontId="23" fillId="0" borderId="2" xfId="1" applyFont="1" applyBorder="1" applyAlignment="1">
      <alignment horizontal="right" vertical="center"/>
    </xf>
    <xf numFmtId="0" fontId="23" fillId="0" borderId="0" xfId="107" applyFont="1" applyAlignment="1">
      <alignment horizontal="center"/>
    </xf>
    <xf numFmtId="0" fontId="75" fillId="0" borderId="2" xfId="107" applyFont="1" applyBorder="1" applyAlignment="1">
      <alignment horizontal="center" vertical="center"/>
    </xf>
    <xf numFmtId="0" fontId="43" fillId="0" borderId="2" xfId="107" applyFont="1" applyBorder="1" applyAlignment="1">
      <alignment horizontal="center" vertical="center"/>
    </xf>
    <xf numFmtId="0" fontId="23" fillId="0" borderId="2" xfId="107" applyFont="1" applyBorder="1" applyAlignment="1">
      <alignment horizontal="left" vertical="center" wrapText="1"/>
    </xf>
    <xf numFmtId="0" fontId="23" fillId="0" borderId="2" xfId="107" applyFont="1" applyBorder="1" applyAlignment="1">
      <alignment horizontal="center" vertical="center"/>
    </xf>
    <xf numFmtId="1" fontId="23" fillId="0" borderId="2" xfId="107" applyNumberFormat="1" applyFont="1" applyBorder="1" applyAlignment="1">
      <alignment horizontal="right" vertical="center"/>
    </xf>
    <xf numFmtId="1" fontId="23" fillId="0" borderId="0" xfId="107" applyNumberFormat="1" applyFont="1"/>
    <xf numFmtId="2" fontId="23" fillId="0" borderId="2" xfId="107" applyNumberFormat="1" applyFont="1" applyBorder="1" applyAlignment="1">
      <alignment horizontal="right" vertical="center"/>
    </xf>
    <xf numFmtId="0" fontId="43" fillId="0" borderId="2" xfId="107" applyFont="1" applyBorder="1" applyAlignment="1">
      <alignment horizontal="left" vertical="center" wrapText="1"/>
    </xf>
    <xf numFmtId="0" fontId="23" fillId="0" borderId="0" xfId="107" applyFont="1" applyAlignment="1">
      <alignment horizontal="center" vertical="top" wrapText="1"/>
    </xf>
    <xf numFmtId="3" fontId="23" fillId="0" borderId="0" xfId="107" applyNumberFormat="1" applyFont="1" applyAlignment="1">
      <alignment vertical="top" wrapText="1"/>
    </xf>
    <xf numFmtId="0" fontId="23" fillId="0" borderId="2" xfId="107" applyFont="1" applyBorder="1" applyAlignment="1">
      <alignment horizontal="center" vertical="center" wrapText="1"/>
    </xf>
    <xf numFmtId="9" fontId="23" fillId="0" borderId="0" xfId="107" applyNumberFormat="1" applyFont="1" applyAlignment="1">
      <alignment vertical="top" wrapText="1"/>
    </xf>
    <xf numFmtId="2" fontId="23" fillId="0" borderId="0" xfId="107" applyNumberFormat="1" applyFont="1"/>
    <xf numFmtId="164" fontId="23" fillId="0" borderId="2" xfId="107" applyNumberFormat="1" applyFont="1" applyBorder="1" applyAlignment="1">
      <alignment horizontal="right" vertical="center"/>
    </xf>
    <xf numFmtId="164" fontId="23" fillId="0" borderId="0" xfId="107" applyNumberFormat="1" applyFont="1"/>
    <xf numFmtId="0" fontId="23" fillId="0" borderId="2" xfId="107" applyFont="1" applyBorder="1" applyAlignment="1">
      <alignment horizontal="right" vertical="center"/>
    </xf>
    <xf numFmtId="0" fontId="43" fillId="0" borderId="0" xfId="0" applyFont="1" applyAlignment="1">
      <alignment horizontal="center" vertical="top" wrapText="1"/>
    </xf>
    <xf numFmtId="0" fontId="50" fillId="0" borderId="0" xfId="0" applyFont="1" applyAlignment="1">
      <alignment horizontal="center" vertical="center" wrapText="1"/>
    </xf>
    <xf numFmtId="3" fontId="43" fillId="0" borderId="0" xfId="0" applyNumberFormat="1" applyFont="1" applyAlignment="1">
      <alignment vertical="top" wrapText="1"/>
    </xf>
    <xf numFmtId="0" fontId="53" fillId="0" borderId="0" xfId="0" applyFont="1" applyAlignment="1">
      <alignment vertical="top" wrapText="1"/>
    </xf>
    <xf numFmtId="3" fontId="53" fillId="0" borderId="0" xfId="0" applyNumberFormat="1" applyFont="1" applyAlignment="1">
      <alignment vertical="top" wrapText="1"/>
    </xf>
    <xf numFmtId="9" fontId="53" fillId="0" borderId="0" xfId="108" applyFont="1" applyAlignment="1">
      <alignment vertical="top" wrapText="1"/>
    </xf>
    <xf numFmtId="1" fontId="53" fillId="0" borderId="0" xfId="0" applyNumberFormat="1" applyFont="1" applyAlignment="1">
      <alignment vertical="top" wrapText="1"/>
    </xf>
    <xf numFmtId="0" fontId="43" fillId="0" borderId="0" xfId="0" applyFont="1" applyAlignment="1">
      <alignment vertical="top" wrapText="1"/>
    </xf>
    <xf numFmtId="0" fontId="53" fillId="0" borderId="0" xfId="0" applyFont="1" applyAlignment="1">
      <alignment wrapText="1"/>
    </xf>
    <xf numFmtId="0" fontId="53" fillId="0" borderId="0" xfId="0" applyFont="1" applyBorder="1" applyAlignment="1">
      <alignment vertical="top" wrapText="1"/>
    </xf>
    <xf numFmtId="0" fontId="53" fillId="0" borderId="0" xfId="0" applyFont="1" applyBorder="1"/>
    <xf numFmtId="0" fontId="23" fillId="0" borderId="0" xfId="107" applyFont="1" applyBorder="1"/>
    <xf numFmtId="0" fontId="104" fillId="0" borderId="0" xfId="0" applyFont="1" applyAlignment="1">
      <alignment horizontal="right" vertical="top" wrapText="1"/>
    </xf>
    <xf numFmtId="0" fontId="43" fillId="19" borderId="0" xfId="15" applyFont="1" applyFill="1" applyAlignment="1">
      <alignment horizontal="center" vertical="center" wrapText="1"/>
    </xf>
    <xf numFmtId="0" fontId="43" fillId="19" borderId="0" xfId="15" applyFont="1" applyFill="1" applyAlignment="1">
      <alignment vertical="center" wrapText="1"/>
    </xf>
    <xf numFmtId="2" fontId="36" fillId="0" borderId="0" xfId="65" applyNumberFormat="1" applyFont="1" applyFill="1" applyBorder="1" applyAlignment="1">
      <alignment horizontal="center" vertical="center" wrapText="1"/>
    </xf>
    <xf numFmtId="3" fontId="85" fillId="0" borderId="0" xfId="5" applyNumberFormat="1" applyFont="1"/>
    <xf numFmtId="3" fontId="56" fillId="0" borderId="0" xfId="0" applyNumberFormat="1" applyFont="1" applyAlignment="1">
      <alignment horizontal="right" vertical="top" wrapText="1"/>
    </xf>
    <xf numFmtId="2" fontId="64" fillId="0" borderId="0" xfId="65" applyNumberFormat="1" applyFont="1" applyFill="1" applyBorder="1" applyAlignment="1">
      <alignment horizontal="center" vertical="center" wrapText="1"/>
    </xf>
    <xf numFmtId="2" fontId="88" fillId="0" borderId="0" xfId="65" applyNumberFormat="1" applyFont="1" applyFill="1" applyBorder="1" applyAlignment="1">
      <alignment horizontal="center" vertical="center" wrapText="1"/>
    </xf>
    <xf numFmtId="0" fontId="22" fillId="0" borderId="2" xfId="15" applyFont="1" applyBorder="1" applyAlignment="1">
      <alignment horizontal="left" vertical="top" wrapText="1"/>
    </xf>
    <xf numFmtId="169" fontId="53" fillId="0" borderId="0" xfId="4" applyNumberFormat="1" applyFont="1" applyFill="1"/>
    <xf numFmtId="165" fontId="67" fillId="0" borderId="0" xfId="1" applyNumberFormat="1" applyFont="1" applyFill="1"/>
    <xf numFmtId="165" fontId="68" fillId="0" borderId="0" xfId="1" applyNumberFormat="1" applyFont="1"/>
    <xf numFmtId="3" fontId="41" fillId="0" borderId="0" xfId="8" applyNumberFormat="1" applyFont="1"/>
    <xf numFmtId="0" fontId="21" fillId="0" borderId="0" xfId="15" applyFont="1" applyAlignment="1">
      <alignment horizontal="left" wrapText="1"/>
    </xf>
    <xf numFmtId="0" fontId="21" fillId="0" borderId="0" xfId="15" applyFont="1" applyAlignment="1">
      <alignment horizontal="left" vertical="top" wrapText="1"/>
    </xf>
    <xf numFmtId="0" fontId="21" fillId="0" borderId="2" xfId="15" applyFont="1" applyBorder="1" applyAlignment="1">
      <alignment horizontal="left" vertical="top" wrapText="1"/>
    </xf>
    <xf numFmtId="0" fontId="21" fillId="0" borderId="0" xfId="15" applyFont="1" applyAlignment="1">
      <alignment horizontal="center" wrapText="1"/>
    </xf>
    <xf numFmtId="0" fontId="21" fillId="0" borderId="0" xfId="15" applyFont="1" applyAlignment="1">
      <alignment horizontal="right" vertical="top" wrapText="1"/>
    </xf>
    <xf numFmtId="0" fontId="21" fillId="0" borderId="0" xfId="15" applyFont="1" applyAlignment="1">
      <alignment wrapText="1"/>
    </xf>
    <xf numFmtId="0" fontId="21" fillId="0" borderId="0" xfId="15" applyFont="1" applyAlignment="1">
      <alignment horizontal="center" vertical="top"/>
    </xf>
    <xf numFmtId="0" fontId="21" fillId="0" borderId="0" xfId="15" applyFont="1" applyAlignment="1">
      <alignment horizontal="right" vertical="top"/>
    </xf>
    <xf numFmtId="0" fontId="21" fillId="0" borderId="0" xfId="15" applyFont="1" applyAlignment="1">
      <alignment horizontal="left" vertical="top"/>
    </xf>
    <xf numFmtId="164" fontId="21" fillId="0" borderId="0" xfId="15" applyNumberFormat="1" applyFont="1" applyAlignment="1">
      <alignment horizontal="right" vertical="top" wrapText="1"/>
    </xf>
    <xf numFmtId="0" fontId="21" fillId="0" borderId="0" xfId="15" applyFont="1" applyAlignment="1">
      <alignment horizontal="center" vertical="top" wrapText="1"/>
    </xf>
    <xf numFmtId="3" fontId="21" fillId="0" borderId="0" xfId="15" applyNumberFormat="1" applyFont="1" applyAlignment="1">
      <alignment horizontal="right" vertical="top" wrapText="1"/>
    </xf>
    <xf numFmtId="4" fontId="21" fillId="0" borderId="0" xfId="15" applyNumberFormat="1" applyFont="1" applyAlignment="1">
      <alignment horizontal="right" vertical="top" wrapText="1"/>
    </xf>
    <xf numFmtId="0" fontId="21" fillId="0" borderId="0" xfId="15" applyFont="1" applyFill="1" applyAlignment="1">
      <alignment horizontal="center" vertical="top" wrapText="1"/>
    </xf>
    <xf numFmtId="9" fontId="21" fillId="0" borderId="0" xfId="1" applyFont="1" applyAlignment="1">
      <alignment wrapText="1"/>
    </xf>
    <xf numFmtId="0" fontId="53" fillId="0" borderId="0" xfId="0" applyFont="1" applyAlignment="1">
      <alignment horizontal="right" vertical="top" wrapText="1"/>
    </xf>
    <xf numFmtId="0" fontId="43" fillId="0" borderId="0" xfId="0" applyFont="1" applyAlignment="1">
      <alignment horizontal="left" vertical="top" wrapText="1"/>
    </xf>
    <xf numFmtId="3" fontId="43" fillId="0" borderId="0" xfId="0" applyNumberFormat="1" applyFont="1" applyAlignment="1">
      <alignment horizontal="right" vertical="top" wrapText="1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 vertical="top" wrapText="1"/>
    </xf>
    <xf numFmtId="0" fontId="20" fillId="0" borderId="2" xfId="15" applyFont="1" applyBorder="1" applyAlignment="1">
      <alignment horizontal="left" vertical="top" wrapText="1"/>
    </xf>
    <xf numFmtId="0" fontId="104" fillId="0" borderId="2" xfId="15" quotePrefix="1" applyFont="1" applyBorder="1" applyAlignment="1">
      <alignment horizontal="left" vertical="top" wrapText="1"/>
    </xf>
    <xf numFmtId="3" fontId="104" fillId="0" borderId="2" xfId="15" applyNumberFormat="1" applyFont="1" applyBorder="1" applyAlignment="1">
      <alignment horizontal="right" vertical="top" wrapText="1"/>
    </xf>
    <xf numFmtId="0" fontId="104" fillId="0" borderId="2" xfId="15" applyFont="1" applyBorder="1" applyAlignment="1">
      <alignment horizontal="left" vertical="top" wrapText="1"/>
    </xf>
    <xf numFmtId="3" fontId="104" fillId="0" borderId="2" xfId="15" applyNumberFormat="1" applyFont="1" applyFill="1" applyBorder="1" applyAlignment="1">
      <alignment horizontal="right" vertical="top" wrapText="1"/>
    </xf>
    <xf numFmtId="4" fontId="104" fillId="0" borderId="2" xfId="15" applyNumberFormat="1" applyFont="1" applyBorder="1" applyAlignment="1">
      <alignment horizontal="right" vertical="top" wrapText="1"/>
    </xf>
    <xf numFmtId="167" fontId="104" fillId="0" borderId="2" xfId="15" applyNumberFormat="1" applyFont="1" applyBorder="1" applyAlignment="1">
      <alignment horizontal="right" vertical="top" wrapText="1"/>
    </xf>
    <xf numFmtId="167" fontId="104" fillId="0" borderId="2" xfId="15" applyNumberFormat="1" applyFont="1" applyFill="1" applyBorder="1" applyAlignment="1">
      <alignment horizontal="right" vertical="top" wrapText="1"/>
    </xf>
    <xf numFmtId="0" fontId="104" fillId="0" borderId="2" xfId="15" applyFont="1" applyBorder="1" applyAlignment="1">
      <alignment horizontal="left" wrapText="1"/>
    </xf>
    <xf numFmtId="0" fontId="74" fillId="0" borderId="2" xfId="15" applyFont="1" applyBorder="1" applyAlignment="1">
      <alignment horizontal="center" vertical="center" wrapText="1"/>
    </xf>
    <xf numFmtId="0" fontId="43" fillId="0" borderId="3" xfId="15" applyFont="1" applyFill="1" applyBorder="1" applyAlignment="1">
      <alignment horizontal="center" vertical="top" wrapText="1"/>
    </xf>
    <xf numFmtId="0" fontId="43" fillId="0" borderId="4" xfId="15" applyFont="1" applyBorder="1" applyAlignment="1">
      <alignment horizontal="left" vertical="top" wrapText="1"/>
    </xf>
    <xf numFmtId="0" fontId="104" fillId="0" borderId="4" xfId="15" applyFont="1" applyBorder="1" applyAlignment="1">
      <alignment horizontal="right" vertical="top" wrapText="1"/>
    </xf>
    <xf numFmtId="0" fontId="21" fillId="0" borderId="4" xfId="15" applyFont="1" applyBorder="1" applyAlignment="1">
      <alignment horizontal="right" vertical="top" wrapText="1"/>
    </xf>
    <xf numFmtId="0" fontId="21" fillId="0" borderId="66" xfId="15" applyFont="1" applyBorder="1" applyAlignment="1">
      <alignment horizontal="right" vertical="top" wrapText="1"/>
    </xf>
    <xf numFmtId="0" fontId="104" fillId="0" borderId="0" xfId="15" applyFont="1" applyBorder="1" applyAlignment="1">
      <alignment horizontal="right" vertical="top" wrapText="1"/>
    </xf>
    <xf numFmtId="0" fontId="21" fillId="0" borderId="0" xfId="15" applyFont="1" applyBorder="1" applyAlignment="1">
      <alignment horizontal="right" vertical="top" wrapText="1"/>
    </xf>
    <xf numFmtId="0" fontId="21" fillId="0" borderId="68" xfId="15" applyFont="1" applyBorder="1" applyAlignment="1">
      <alignment horizontal="right" vertical="top" wrapText="1"/>
    </xf>
    <xf numFmtId="0" fontId="21" fillId="0" borderId="67" xfId="15" applyFont="1" applyFill="1" applyBorder="1" applyAlignment="1">
      <alignment horizontal="center" vertical="top" wrapText="1"/>
    </xf>
    <xf numFmtId="0" fontId="21" fillId="0" borderId="0" xfId="15" applyFont="1" applyBorder="1" applyAlignment="1">
      <alignment horizontal="left" wrapText="1"/>
    </xf>
    <xf numFmtId="3" fontId="104" fillId="0" borderId="0" xfId="15" applyNumberFormat="1" applyFont="1" applyBorder="1" applyAlignment="1">
      <alignment horizontal="right" vertical="top" wrapText="1"/>
    </xf>
    <xf numFmtId="3" fontId="21" fillId="0" borderId="0" xfId="15" applyNumberFormat="1" applyFont="1" applyBorder="1" applyAlignment="1">
      <alignment horizontal="right" vertical="top" wrapText="1"/>
    </xf>
    <xf numFmtId="9" fontId="104" fillId="0" borderId="0" xfId="16" applyFont="1" applyBorder="1" applyAlignment="1">
      <alignment horizontal="right" vertical="top" wrapText="1"/>
    </xf>
    <xf numFmtId="4" fontId="21" fillId="0" borderId="0" xfId="15" applyNumberFormat="1" applyFont="1" applyBorder="1" applyAlignment="1">
      <alignment horizontal="right" vertical="top" wrapText="1"/>
    </xf>
    <xf numFmtId="4" fontId="104" fillId="0" borderId="0" xfId="15" applyNumberFormat="1" applyFont="1" applyBorder="1" applyAlignment="1">
      <alignment horizontal="right" vertical="top" wrapText="1"/>
    </xf>
    <xf numFmtId="9" fontId="34" fillId="0" borderId="0" xfId="16" applyFont="1" applyBorder="1" applyAlignment="1">
      <alignment horizontal="right" vertical="top" wrapText="1"/>
    </xf>
    <xf numFmtId="0" fontId="21" fillId="0" borderId="37" xfId="15" applyFont="1" applyFill="1" applyBorder="1" applyAlignment="1">
      <alignment horizontal="center" vertical="top" wrapText="1"/>
    </xf>
    <xf numFmtId="0" fontId="43" fillId="0" borderId="65" xfId="15" applyFont="1" applyBorder="1" applyAlignment="1">
      <alignment horizontal="left" vertical="top" wrapText="1"/>
    </xf>
    <xf numFmtId="4" fontId="163" fillId="0" borderId="65" xfId="15" applyNumberFormat="1" applyFont="1" applyBorder="1" applyAlignment="1">
      <alignment horizontal="right" vertical="top" wrapText="1"/>
    </xf>
    <xf numFmtId="3" fontId="43" fillId="0" borderId="65" xfId="15" applyNumberFormat="1" applyFont="1" applyBorder="1" applyAlignment="1">
      <alignment horizontal="right" vertical="top" wrapText="1"/>
    </xf>
    <xf numFmtId="3" fontId="43" fillId="0" borderId="52" xfId="15" applyNumberFormat="1" applyFont="1" applyBorder="1" applyAlignment="1">
      <alignment horizontal="right" vertical="top" wrapText="1"/>
    </xf>
    <xf numFmtId="0" fontId="43" fillId="0" borderId="3" xfId="15" applyFont="1" applyBorder="1" applyAlignment="1">
      <alignment horizontal="center" vertical="top" wrapText="1"/>
    </xf>
    <xf numFmtId="0" fontId="21" fillId="0" borderId="67" xfId="15" applyFont="1" applyBorder="1" applyAlignment="1">
      <alignment horizontal="center" vertical="top" wrapText="1"/>
    </xf>
    <xf numFmtId="0" fontId="21" fillId="0" borderId="0" xfId="15" applyFont="1" applyBorder="1" applyAlignment="1">
      <alignment horizontal="left" vertical="top" wrapText="1"/>
    </xf>
    <xf numFmtId="0" fontId="21" fillId="0" borderId="37" xfId="15" applyFont="1" applyBorder="1" applyAlignment="1">
      <alignment horizontal="center" vertical="top" wrapText="1"/>
    </xf>
    <xf numFmtId="0" fontId="162" fillId="0" borderId="65" xfId="15" applyFont="1" applyBorder="1" applyAlignment="1">
      <alignment horizontal="right" vertical="top" wrapText="1"/>
    </xf>
    <xf numFmtId="0" fontId="104" fillId="0" borderId="65" xfId="15" applyFont="1" applyBorder="1" applyAlignment="1">
      <alignment horizontal="right" vertical="top" wrapText="1"/>
    </xf>
    <xf numFmtId="0" fontId="21" fillId="0" borderId="0" xfId="15" applyFont="1" applyBorder="1" applyAlignment="1">
      <alignment vertical="top" wrapText="1"/>
    </xf>
    <xf numFmtId="0" fontId="20" fillId="0" borderId="0" xfId="15" applyFont="1" applyBorder="1" applyAlignment="1">
      <alignment horizontal="left" wrapText="1"/>
    </xf>
    <xf numFmtId="9" fontId="21" fillId="0" borderId="0" xfId="15" applyNumberFormat="1" applyFont="1" applyBorder="1" applyAlignment="1">
      <alignment horizontal="right" vertical="top" wrapText="1"/>
    </xf>
    <xf numFmtId="0" fontId="43" fillId="0" borderId="4" xfId="15" applyFont="1" applyBorder="1" applyAlignment="1">
      <alignment horizontal="left" vertical="top"/>
    </xf>
    <xf numFmtId="3" fontId="21" fillId="0" borderId="0" xfId="15" applyNumberFormat="1" applyFont="1" applyBorder="1" applyAlignment="1">
      <alignment horizontal="left" wrapText="1"/>
    </xf>
    <xf numFmtId="3" fontId="21" fillId="0" borderId="68" xfId="15" applyNumberFormat="1" applyFont="1" applyBorder="1" applyAlignment="1">
      <alignment horizontal="right" vertical="top" wrapText="1"/>
    </xf>
    <xf numFmtId="0" fontId="34" fillId="0" borderId="0" xfId="0" applyFont="1" applyBorder="1" applyAlignment="1">
      <alignment horizontal="left" vertical="top" wrapText="1"/>
    </xf>
    <xf numFmtId="0" fontId="104" fillId="0" borderId="0" xfId="0" applyFont="1" applyBorder="1" applyAlignment="1">
      <alignment horizontal="right" vertical="top" wrapText="1"/>
    </xf>
    <xf numFmtId="9" fontId="34" fillId="0" borderId="0" xfId="108" applyFont="1" applyBorder="1" applyAlignment="1">
      <alignment horizontal="right" vertical="top" wrapText="1"/>
    </xf>
    <xf numFmtId="9" fontId="21" fillId="0" borderId="0" xfId="1" applyFont="1" applyBorder="1" applyAlignment="1">
      <alignment horizontal="right" vertical="top" wrapText="1"/>
    </xf>
    <xf numFmtId="4" fontId="21" fillId="0" borderId="0" xfId="15" applyNumberFormat="1" applyFont="1" applyBorder="1" applyAlignment="1">
      <alignment horizontal="left" wrapText="1"/>
    </xf>
    <xf numFmtId="167" fontId="104" fillId="0" borderId="0" xfId="15" applyNumberFormat="1" applyFont="1" applyBorder="1" applyAlignment="1">
      <alignment horizontal="right" vertical="top" wrapText="1"/>
    </xf>
    <xf numFmtId="167" fontId="21" fillId="0" borderId="0" xfId="15" applyNumberFormat="1" applyFont="1" applyBorder="1" applyAlignment="1">
      <alignment horizontal="right" vertical="top" wrapText="1"/>
    </xf>
    <xf numFmtId="0" fontId="20" fillId="0" borderId="0" xfId="15" applyFont="1" applyBorder="1" applyAlignment="1">
      <alignment horizontal="left" vertical="top" wrapText="1"/>
    </xf>
    <xf numFmtId="2" fontId="21" fillId="0" borderId="0" xfId="15" applyNumberFormat="1" applyFont="1" applyBorder="1" applyAlignment="1">
      <alignment horizontal="right" vertical="top" wrapText="1"/>
    </xf>
    <xf numFmtId="0" fontId="43" fillId="0" borderId="67" xfId="0" applyFont="1" applyBorder="1" applyAlignment="1">
      <alignment horizontal="center" vertical="top" wrapText="1"/>
    </xf>
    <xf numFmtId="0" fontId="88" fillId="0" borderId="0" xfId="0" applyFont="1" applyBorder="1" applyAlignment="1">
      <alignment horizontal="center" vertical="top" wrapText="1"/>
    </xf>
    <xf numFmtId="0" fontId="64" fillId="0" borderId="0" xfId="0" applyFont="1" applyBorder="1" applyAlignment="1">
      <alignment horizontal="center" vertical="top" wrapText="1"/>
    </xf>
    <xf numFmtId="0" fontId="53" fillId="0" borderId="0" xfId="0" applyFont="1" applyBorder="1" applyAlignment="1">
      <alignment horizontal="left" vertical="top" wrapText="1"/>
    </xf>
    <xf numFmtId="3" fontId="53" fillId="0" borderId="0" xfId="0" applyNumberFormat="1" applyFont="1" applyBorder="1" applyAlignment="1">
      <alignment horizontal="right" vertical="top" wrapText="1"/>
    </xf>
    <xf numFmtId="9" fontId="53" fillId="0" borderId="0" xfId="0" applyNumberFormat="1" applyFont="1" applyBorder="1" applyAlignment="1">
      <alignment horizontal="right" vertical="top" wrapText="1"/>
    </xf>
    <xf numFmtId="0" fontId="53" fillId="0" borderId="0" xfId="0" applyFont="1" applyBorder="1" applyAlignment="1">
      <alignment horizontal="right" vertical="top" wrapText="1"/>
    </xf>
    <xf numFmtId="164" fontId="53" fillId="0" borderId="0" xfId="0" applyNumberFormat="1" applyFont="1" applyBorder="1" applyAlignment="1">
      <alignment horizontal="right" vertical="top" wrapText="1"/>
    </xf>
    <xf numFmtId="0" fontId="53" fillId="0" borderId="0" xfId="0" applyFont="1" applyFill="1" applyBorder="1" applyAlignment="1">
      <alignment horizontal="left" vertical="top" wrapText="1"/>
    </xf>
    <xf numFmtId="3" fontId="53" fillId="0" borderId="0" xfId="0" applyNumberFormat="1" applyFont="1" applyFill="1" applyBorder="1" applyAlignment="1">
      <alignment horizontal="right" vertical="top" wrapText="1"/>
    </xf>
    <xf numFmtId="1" fontId="53" fillId="0" borderId="0" xfId="0" applyNumberFormat="1" applyFont="1" applyFill="1" applyBorder="1" applyAlignment="1">
      <alignment horizontal="right" vertical="top" wrapText="1"/>
    </xf>
    <xf numFmtId="0" fontId="103" fillId="0" borderId="0" xfId="0" applyFont="1" applyBorder="1" applyAlignment="1">
      <alignment horizontal="left" vertical="top" wrapText="1"/>
    </xf>
    <xf numFmtId="0" fontId="165" fillId="0" borderId="0" xfId="0" applyFont="1" applyBorder="1" applyAlignment="1">
      <alignment horizontal="right" vertical="top" wrapText="1"/>
    </xf>
    <xf numFmtId="0" fontId="51" fillId="0" borderId="0" xfId="0" applyFont="1" applyBorder="1" applyAlignment="1">
      <alignment horizontal="left" vertical="top" wrapText="1"/>
    </xf>
    <xf numFmtId="0" fontId="53" fillId="0" borderId="0" xfId="0" applyFont="1" applyBorder="1" applyAlignment="1">
      <alignment wrapText="1"/>
    </xf>
    <xf numFmtId="0" fontId="101" fillId="0" borderId="0" xfId="0" applyFont="1" applyBorder="1" applyAlignment="1">
      <alignment horizontal="left" vertical="top" wrapText="1"/>
    </xf>
    <xf numFmtId="3" fontId="53" fillId="0" borderId="0" xfId="4" applyNumberFormat="1" applyFont="1" applyFill="1" applyBorder="1"/>
    <xf numFmtId="3" fontId="56" fillId="0" borderId="0" xfId="4" applyNumberFormat="1" applyFont="1" applyFill="1" applyBorder="1" applyAlignment="1">
      <alignment horizontal="left"/>
    </xf>
    <xf numFmtId="3" fontId="103" fillId="0" borderId="0" xfId="0" applyNumberFormat="1" applyFont="1" applyFill="1" applyBorder="1" applyAlignment="1">
      <alignment vertical="top"/>
    </xf>
    <xf numFmtId="0" fontId="53" fillId="0" borderId="0" xfId="0" applyFont="1" applyFill="1" applyBorder="1" applyAlignment="1">
      <alignment wrapText="1"/>
    </xf>
    <xf numFmtId="0" fontId="43" fillId="0" borderId="0" xfId="0" applyFont="1" applyBorder="1" applyAlignment="1">
      <alignment horizontal="left" vertical="top" wrapText="1"/>
    </xf>
    <xf numFmtId="0" fontId="53" fillId="0" borderId="0" xfId="0" applyFont="1" applyFill="1" applyBorder="1" applyAlignment="1">
      <alignment horizontal="right" vertical="top" wrapText="1"/>
    </xf>
    <xf numFmtId="0" fontId="21" fillId="0" borderId="0" xfId="0" applyFont="1" applyBorder="1" applyAlignment="1">
      <alignment horizontal="left" vertical="top" wrapText="1"/>
    </xf>
    <xf numFmtId="3" fontId="34" fillId="0" borderId="0" xfId="4" applyNumberFormat="1" applyFont="1" applyFill="1" applyBorder="1"/>
    <xf numFmtId="0" fontId="43" fillId="0" borderId="37" xfId="0" applyFont="1" applyBorder="1" applyAlignment="1">
      <alignment horizontal="center" vertical="top" wrapText="1"/>
    </xf>
    <xf numFmtId="3" fontId="35" fillId="0" borderId="65" xfId="4" applyNumberFormat="1" applyFont="1" applyFill="1" applyBorder="1" applyAlignment="1">
      <alignment horizontal="left"/>
    </xf>
    <xf numFmtId="3" fontId="34" fillId="0" borderId="65" xfId="4" applyNumberFormat="1" applyFont="1" applyFill="1" applyBorder="1"/>
    <xf numFmtId="3" fontId="43" fillId="0" borderId="65" xfId="0" applyNumberFormat="1" applyFont="1" applyFill="1" applyBorder="1" applyAlignment="1">
      <alignment vertical="top"/>
    </xf>
    <xf numFmtId="0" fontId="19" fillId="0" borderId="2" xfId="15" applyFont="1" applyBorder="1" applyAlignment="1">
      <alignment horizontal="left" vertical="top" wrapText="1"/>
    </xf>
    <xf numFmtId="0" fontId="104" fillId="0" borderId="4" xfId="0" applyFont="1" applyBorder="1" applyAlignment="1">
      <alignment horizontal="right" vertical="top" wrapText="1"/>
    </xf>
    <xf numFmtId="0" fontId="34" fillId="0" borderId="4" xfId="0" applyFont="1" applyBorder="1" applyAlignment="1">
      <alignment horizontal="right" vertical="top" wrapText="1"/>
    </xf>
    <xf numFmtId="0" fontId="34" fillId="0" borderId="66" xfId="0" applyFont="1" applyBorder="1" applyAlignment="1">
      <alignment horizontal="right" vertical="top" wrapText="1"/>
    </xf>
    <xf numFmtId="0" fontId="34" fillId="0" borderId="67" xfId="0" applyFont="1" applyBorder="1" applyAlignment="1">
      <alignment horizontal="center" vertical="top" wrapText="1"/>
    </xf>
    <xf numFmtId="3" fontId="34" fillId="0" borderId="0" xfId="0" applyNumberFormat="1" applyFont="1" applyBorder="1" applyAlignment="1">
      <alignment horizontal="right" vertical="top" wrapText="1"/>
    </xf>
    <xf numFmtId="0" fontId="34" fillId="0" borderId="68" xfId="0" applyFont="1" applyBorder="1" applyAlignment="1">
      <alignment horizontal="right" vertical="top" wrapText="1"/>
    </xf>
    <xf numFmtId="0" fontId="34" fillId="0" borderId="37" xfId="0" applyFont="1" applyBorder="1" applyAlignment="1">
      <alignment horizontal="center" vertical="top" wrapText="1"/>
    </xf>
    <xf numFmtId="0" fontId="43" fillId="0" borderId="65" xfId="0" applyFont="1" applyBorder="1" applyAlignment="1">
      <alignment horizontal="left" vertical="top" wrapText="1"/>
    </xf>
    <xf numFmtId="0" fontId="104" fillId="0" borderId="65" xfId="0" applyFont="1" applyBorder="1" applyAlignment="1">
      <alignment horizontal="right" vertical="top" wrapText="1"/>
    </xf>
    <xf numFmtId="3" fontId="43" fillId="0" borderId="65" xfId="0" applyNumberFormat="1" applyFont="1" applyBorder="1" applyAlignment="1">
      <alignment horizontal="right" vertical="top" wrapText="1"/>
    </xf>
    <xf numFmtId="3" fontId="43" fillId="0" borderId="52" xfId="0" applyNumberFormat="1" applyFont="1" applyBorder="1" applyAlignment="1">
      <alignment horizontal="right" vertical="top" wrapText="1"/>
    </xf>
    <xf numFmtId="3" fontId="104" fillId="0" borderId="0" xfId="0" applyNumberFormat="1" applyFont="1" applyBorder="1" applyAlignment="1">
      <alignment horizontal="right" vertical="top" wrapText="1"/>
    </xf>
    <xf numFmtId="0" fontId="18" fillId="0" borderId="2" xfId="15" applyFont="1" applyBorder="1" applyAlignment="1">
      <alignment horizontal="left" vertical="top" wrapText="1"/>
    </xf>
    <xf numFmtId="0" fontId="18" fillId="0" borderId="2" xfId="15" applyFont="1" applyFill="1" applyBorder="1" applyAlignment="1">
      <alignment horizontal="center" vertical="top" wrapText="1"/>
    </xf>
    <xf numFmtId="0" fontId="18" fillId="0" borderId="2" xfId="15" applyFont="1" applyFill="1" applyBorder="1" applyAlignment="1">
      <alignment horizontal="left" vertical="top" wrapText="1"/>
    </xf>
    <xf numFmtId="0" fontId="18" fillId="0" borderId="2" xfId="15" applyFont="1" applyFill="1" applyBorder="1" applyAlignment="1">
      <alignment horizontal="center" vertical="center" wrapText="1"/>
    </xf>
    <xf numFmtId="3" fontId="18" fillId="0" borderId="2" xfId="15" applyNumberFormat="1" applyFont="1" applyFill="1" applyBorder="1" applyAlignment="1">
      <alignment horizontal="right" vertical="top" wrapText="1"/>
    </xf>
    <xf numFmtId="3" fontId="93" fillId="0" borderId="2" xfId="15" applyNumberFormat="1" applyFont="1" applyFill="1" applyBorder="1" applyAlignment="1">
      <alignment horizontal="right" vertical="top" wrapText="1"/>
    </xf>
    <xf numFmtId="0" fontId="50" fillId="6" borderId="48" xfId="15" applyFont="1" applyFill="1" applyBorder="1" applyAlignment="1">
      <alignment horizontal="center" vertical="center" wrapText="1"/>
    </xf>
    <xf numFmtId="0" fontId="50" fillId="6" borderId="45" xfId="15" applyFont="1" applyFill="1" applyBorder="1" applyAlignment="1">
      <alignment horizontal="center" vertical="center" wrapText="1"/>
    </xf>
    <xf numFmtId="0" fontId="164" fillId="6" borderId="45" xfId="15" applyFont="1" applyFill="1" applyBorder="1" applyAlignment="1">
      <alignment horizontal="center" vertical="center" wrapText="1"/>
    </xf>
    <xf numFmtId="0" fontId="75" fillId="6" borderId="49" xfId="15" applyFont="1" applyFill="1" applyBorder="1" applyAlignment="1">
      <alignment horizontal="center" vertical="center" wrapText="1"/>
    </xf>
    <xf numFmtId="3" fontId="92" fillId="4" borderId="2" xfId="15" applyNumberFormat="1" applyFont="1" applyFill="1" applyBorder="1" applyAlignment="1">
      <alignment horizontal="right" vertical="top" wrapText="1"/>
    </xf>
    <xf numFmtId="3" fontId="92" fillId="0" borderId="0" xfId="15" applyNumberFormat="1" applyFont="1" applyAlignment="1">
      <alignment horizontal="left" vertical="top" wrapText="1"/>
    </xf>
    <xf numFmtId="164" fontId="80" fillId="0" borderId="2" xfId="0" applyNumberFormat="1" applyFont="1" applyBorder="1" applyAlignment="1">
      <alignment horizontal="right" vertical="top" wrapText="1"/>
    </xf>
    <xf numFmtId="164" fontId="79" fillId="0" borderId="2" xfId="0" applyNumberFormat="1" applyFont="1" applyBorder="1" applyAlignment="1">
      <alignment horizontal="right" vertical="top" wrapText="1"/>
    </xf>
    <xf numFmtId="0" fontId="166" fillId="0" borderId="2" xfId="15" applyFont="1" applyBorder="1" applyAlignment="1">
      <alignment horizontal="center" vertical="center" wrapText="1"/>
    </xf>
    <xf numFmtId="0" fontId="75" fillId="0" borderId="2" xfId="15" applyFont="1" applyBorder="1" applyAlignment="1">
      <alignment horizontal="center" vertical="center" wrapText="1"/>
    </xf>
    <xf numFmtId="0" fontId="167" fillId="0" borderId="2" xfId="15" applyFont="1" applyBorder="1" applyAlignment="1">
      <alignment horizontal="center" vertical="center" wrapText="1"/>
    </xf>
    <xf numFmtId="0" fontId="170" fillId="0" borderId="0" xfId="0" applyFont="1"/>
    <xf numFmtId="0" fontId="168" fillId="0" borderId="0" xfId="0" applyFont="1"/>
    <xf numFmtId="0" fontId="168" fillId="3" borderId="0" xfId="0" applyFont="1" applyFill="1" applyAlignment="1">
      <alignment horizontal="center"/>
    </xf>
    <xf numFmtId="0" fontId="168" fillId="7" borderId="2" xfId="0" applyFont="1" applyFill="1" applyBorder="1" applyAlignment="1">
      <alignment horizontal="center" vertical="center"/>
    </xf>
    <xf numFmtId="0" fontId="169" fillId="7" borderId="2" xfId="0" applyFont="1" applyFill="1" applyBorder="1" applyAlignment="1">
      <alignment vertical="center" wrapText="1"/>
    </xf>
    <xf numFmtId="3" fontId="168" fillId="7" borderId="2" xfId="0" applyNumberFormat="1" applyFont="1" applyFill="1" applyBorder="1" applyAlignment="1">
      <alignment horizontal="right" vertical="center"/>
    </xf>
    <xf numFmtId="0" fontId="168" fillId="0" borderId="0" xfId="0" applyFont="1" applyAlignment="1">
      <alignment horizontal="center"/>
    </xf>
    <xf numFmtId="170" fontId="168" fillId="0" borderId="0" xfId="0" applyNumberFormat="1" applyFont="1"/>
    <xf numFmtId="0" fontId="17" fillId="0" borderId="0" xfId="15" applyFont="1" applyBorder="1" applyAlignment="1">
      <alignment horizontal="left" wrapText="1"/>
    </xf>
    <xf numFmtId="0" fontId="17" fillId="0" borderId="2" xfId="15" applyFont="1" applyBorder="1" applyAlignment="1">
      <alignment horizontal="left" vertical="top" wrapText="1"/>
    </xf>
    <xf numFmtId="0" fontId="56" fillId="0" borderId="41" xfId="0" applyFont="1" applyBorder="1" applyAlignment="1">
      <alignment horizontal="center" vertical="top" wrapText="1"/>
    </xf>
    <xf numFmtId="0" fontId="56" fillId="0" borderId="42" xfId="0" applyFont="1" applyBorder="1" applyAlignment="1">
      <alignment horizontal="left" vertical="top"/>
    </xf>
    <xf numFmtId="0" fontId="53" fillId="0" borderId="42" xfId="0" applyFont="1" applyBorder="1" applyAlignment="1">
      <alignment vertical="top" wrapText="1"/>
    </xf>
    <xf numFmtId="0" fontId="53" fillId="0" borderId="43" xfId="0" applyFont="1" applyBorder="1" applyAlignment="1">
      <alignment vertical="top" wrapText="1"/>
    </xf>
    <xf numFmtId="0" fontId="53" fillId="0" borderId="50" xfId="0" applyFont="1" applyBorder="1" applyAlignment="1">
      <alignment vertical="top" wrapText="1"/>
    </xf>
    <xf numFmtId="0" fontId="43" fillId="0" borderId="0" xfId="0" applyFont="1" applyBorder="1" applyAlignment="1">
      <alignment vertical="top"/>
    </xf>
    <xf numFmtId="0" fontId="53" fillId="0" borderId="53" xfId="0" applyFont="1" applyBorder="1" applyAlignment="1">
      <alignment vertical="top" wrapText="1"/>
    </xf>
    <xf numFmtId="0" fontId="50" fillId="0" borderId="0" xfId="0" applyFont="1" applyBorder="1" applyAlignment="1">
      <alignment horizontal="center" vertical="center" wrapText="1"/>
    </xf>
    <xf numFmtId="0" fontId="50" fillId="0" borderId="53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top" wrapText="1"/>
    </xf>
    <xf numFmtId="3" fontId="53" fillId="0" borderId="0" xfId="0" applyNumberFormat="1" applyFont="1" applyBorder="1" applyAlignment="1">
      <alignment vertical="top" wrapText="1"/>
    </xf>
    <xf numFmtId="3" fontId="53" fillId="0" borderId="53" xfId="0" applyNumberFormat="1" applyFont="1" applyBorder="1" applyAlignment="1">
      <alignment vertical="top" wrapText="1"/>
    </xf>
    <xf numFmtId="9" fontId="53" fillId="0" borderId="0" xfId="1" applyFont="1" applyBorder="1" applyAlignment="1">
      <alignment vertical="top" wrapText="1"/>
    </xf>
    <xf numFmtId="1" fontId="53" fillId="0" borderId="53" xfId="0" applyNumberFormat="1" applyFont="1" applyBorder="1" applyAlignment="1">
      <alignment vertical="top" wrapText="1"/>
    </xf>
    <xf numFmtId="0" fontId="53" fillId="0" borderId="51" xfId="0" applyFont="1" applyBorder="1" applyAlignment="1">
      <alignment vertical="top" wrapText="1"/>
    </xf>
    <xf numFmtId="0" fontId="43" fillId="0" borderId="44" xfId="0" applyFont="1" applyBorder="1" applyAlignment="1">
      <alignment horizontal="center" vertical="top" wrapText="1"/>
    </xf>
    <xf numFmtId="0" fontId="53" fillId="0" borderId="44" xfId="0" applyFont="1" applyBorder="1" applyAlignment="1">
      <alignment vertical="top" wrapText="1"/>
    </xf>
    <xf numFmtId="3" fontId="43" fillId="6" borderId="55" xfId="0" applyNumberFormat="1" applyFont="1" applyFill="1" applyBorder="1" applyAlignment="1">
      <alignment vertical="top" wrapText="1"/>
    </xf>
    <xf numFmtId="3" fontId="104" fillId="7" borderId="2" xfId="15" applyNumberFormat="1" applyFont="1" applyFill="1" applyBorder="1" applyAlignment="1">
      <alignment horizontal="right" vertical="top" wrapText="1"/>
    </xf>
    <xf numFmtId="1" fontId="21" fillId="0" borderId="0" xfId="15" applyNumberFormat="1" applyFont="1" applyBorder="1" applyAlignment="1">
      <alignment horizontal="right" vertical="top" wrapText="1"/>
    </xf>
    <xf numFmtId="0" fontId="43" fillId="0" borderId="0" xfId="107" applyFont="1" applyAlignment="1">
      <alignment horizontal="center"/>
    </xf>
    <xf numFmtId="0" fontId="43" fillId="0" borderId="41" xfId="107" applyFont="1" applyBorder="1" applyAlignment="1">
      <alignment horizontal="center"/>
    </xf>
    <xf numFmtId="0" fontId="43" fillId="0" borderId="42" xfId="107" applyFont="1" applyBorder="1" applyAlignment="1">
      <alignment horizontal="left"/>
    </xf>
    <xf numFmtId="0" fontId="23" fillId="0" borderId="50" xfId="107" applyFont="1" applyBorder="1" applyAlignment="1">
      <alignment horizontal="center"/>
    </xf>
    <xf numFmtId="0" fontId="23" fillId="0" borderId="50" xfId="107" applyFont="1" applyBorder="1"/>
    <xf numFmtId="0" fontId="43" fillId="0" borderId="0" xfId="107" applyFont="1" applyBorder="1" applyAlignment="1">
      <alignment horizontal="center"/>
    </xf>
    <xf numFmtId="0" fontId="75" fillId="0" borderId="50" xfId="107" applyFont="1" applyBorder="1" applyAlignment="1">
      <alignment horizontal="center"/>
    </xf>
    <xf numFmtId="0" fontId="50" fillId="0" borderId="0" xfId="0" applyFont="1" applyBorder="1" applyAlignment="1">
      <alignment vertical="top"/>
    </xf>
    <xf numFmtId="0" fontId="48" fillId="0" borderId="0" xfId="0" applyFont="1" applyBorder="1" applyAlignment="1">
      <alignment horizontal="center" vertical="top" wrapText="1"/>
    </xf>
    <xf numFmtId="9" fontId="53" fillId="0" borderId="0" xfId="108" applyFont="1" applyBorder="1" applyAlignment="1">
      <alignment vertical="top" wrapText="1"/>
    </xf>
    <xf numFmtId="0" fontId="43" fillId="0" borderId="0" xfId="0" applyFont="1" applyBorder="1" applyAlignment="1">
      <alignment horizontal="center" vertical="top" wrapText="1"/>
    </xf>
    <xf numFmtId="3" fontId="43" fillId="6" borderId="53" xfId="0" applyNumberFormat="1" applyFont="1" applyFill="1" applyBorder="1" applyAlignment="1">
      <alignment vertical="top" wrapText="1"/>
    </xf>
    <xf numFmtId="0" fontId="23" fillId="0" borderId="53" xfId="107" applyFont="1" applyBorder="1"/>
    <xf numFmtId="0" fontId="23" fillId="0" borderId="51" xfId="107" applyFont="1" applyBorder="1" applyAlignment="1">
      <alignment horizontal="center"/>
    </xf>
    <xf numFmtId="0" fontId="43" fillId="0" borderId="50" xfId="107" applyFont="1" applyBorder="1" applyAlignment="1">
      <alignment horizontal="center"/>
    </xf>
    <xf numFmtId="0" fontId="43" fillId="0" borderId="41" xfId="0" applyFont="1" applyBorder="1" applyAlignment="1">
      <alignment vertical="top"/>
    </xf>
    <xf numFmtId="0" fontId="43" fillId="0" borderId="50" xfId="0" applyFont="1" applyBorder="1" applyAlignment="1">
      <alignment vertical="top" wrapText="1"/>
    </xf>
    <xf numFmtId="0" fontId="50" fillId="0" borderId="50" xfId="0" applyFont="1" applyBorder="1" applyAlignment="1">
      <alignment horizontal="center" vertical="center" wrapText="1"/>
    </xf>
    <xf numFmtId="0" fontId="43" fillId="0" borderId="51" xfId="0" applyFont="1" applyBorder="1" applyAlignment="1">
      <alignment horizontal="center" vertical="top" wrapText="1"/>
    </xf>
    <xf numFmtId="0" fontId="43" fillId="0" borderId="50" xfId="0" applyFont="1" applyBorder="1" applyAlignment="1">
      <alignment vertical="top"/>
    </xf>
    <xf numFmtId="0" fontId="50" fillId="0" borderId="50" xfId="0" applyFont="1" applyBorder="1" applyAlignment="1">
      <alignment vertical="top"/>
    </xf>
    <xf numFmtId="0" fontId="43" fillId="0" borderId="50" xfId="0" applyFont="1" applyBorder="1" applyAlignment="1">
      <alignment horizontal="center" vertical="top" wrapText="1"/>
    </xf>
    <xf numFmtId="3" fontId="43" fillId="0" borderId="53" xfId="0" applyNumberFormat="1" applyFont="1" applyBorder="1" applyAlignment="1">
      <alignment vertical="top" wrapText="1"/>
    </xf>
    <xf numFmtId="0" fontId="53" fillId="0" borderId="44" xfId="0" applyFont="1" applyBorder="1"/>
    <xf numFmtId="0" fontId="121" fillId="0" borderId="0" xfId="107" applyFont="1"/>
    <xf numFmtId="0" fontId="43" fillId="0" borderId="0" xfId="0" applyFont="1" applyBorder="1" applyAlignment="1">
      <alignment vertical="top" wrapText="1"/>
    </xf>
    <xf numFmtId="0" fontId="17" fillId="0" borderId="0" xfId="15" applyFont="1" applyAlignment="1">
      <alignment horizontal="left" vertical="top"/>
    </xf>
    <xf numFmtId="3" fontId="53" fillId="0" borderId="23" xfId="0" applyNumberFormat="1" applyFont="1" applyBorder="1"/>
    <xf numFmtId="3" fontId="53" fillId="0" borderId="18" xfId="0" applyNumberFormat="1" applyFont="1" applyBorder="1"/>
    <xf numFmtId="0" fontId="57" fillId="0" borderId="0" xfId="4" applyFont="1" applyAlignment="1">
      <alignment horizontal="center"/>
    </xf>
    <xf numFmtId="0" fontId="53" fillId="0" borderId="0" xfId="4" applyFont="1" applyFill="1" applyAlignment="1">
      <alignment horizontal="left" indent="3"/>
    </xf>
    <xf numFmtId="0" fontId="40" fillId="3" borderId="0" xfId="0" applyFont="1" applyFill="1" applyAlignment="1">
      <alignment horizontal="center"/>
    </xf>
    <xf numFmtId="0" fontId="16" fillId="0" borderId="0" xfId="15" applyFont="1" applyAlignment="1">
      <alignment horizontal="right" vertical="top" wrapText="1"/>
    </xf>
    <xf numFmtId="0" fontId="16" fillId="0" borderId="0" xfId="15" applyFont="1" applyAlignment="1">
      <alignment wrapText="1"/>
    </xf>
    <xf numFmtId="43" fontId="68" fillId="0" borderId="0" xfId="12" applyFont="1"/>
    <xf numFmtId="43" fontId="57" fillId="0" borderId="0" xfId="1" applyNumberFormat="1" applyFont="1"/>
    <xf numFmtId="0" fontId="40" fillId="3" borderId="0" xfId="0" applyFont="1" applyFill="1" applyAlignment="1">
      <alignment horizontal="center"/>
    </xf>
    <xf numFmtId="0" fontId="56" fillId="6" borderId="41" xfId="0" applyFont="1" applyFill="1" applyBorder="1" applyAlignment="1">
      <alignment horizontal="center"/>
    </xf>
    <xf numFmtId="0" fontId="88" fillId="0" borderId="42" xfId="0" applyFont="1" applyBorder="1"/>
    <xf numFmtId="0" fontId="88" fillId="0" borderId="43" xfId="0" applyFont="1" applyBorder="1"/>
    <xf numFmtId="0" fontId="53" fillId="0" borderId="50" xfId="0" applyFont="1" applyBorder="1"/>
    <xf numFmtId="0" fontId="56" fillId="0" borderId="51" xfId="0" applyFont="1" applyBorder="1" applyAlignment="1">
      <alignment horizontal="center"/>
    </xf>
    <xf numFmtId="3" fontId="56" fillId="0" borderId="44" xfId="0" applyNumberFormat="1" applyFont="1" applyBorder="1"/>
    <xf numFmtId="0" fontId="56" fillId="3" borderId="0" xfId="0" applyFont="1" applyFill="1" applyAlignment="1">
      <alignment horizontal="center"/>
    </xf>
    <xf numFmtId="167" fontId="53" fillId="0" borderId="0" xfId="0" applyNumberFormat="1" applyFont="1" applyBorder="1"/>
    <xf numFmtId="4" fontId="53" fillId="0" borderId="0" xfId="0" applyNumberFormat="1" applyFont="1" applyBorder="1"/>
    <xf numFmtId="0" fontId="56" fillId="10" borderId="0" xfId="0" applyFont="1" applyFill="1" applyAlignment="1">
      <alignment horizontal="center"/>
    </xf>
    <xf numFmtId="0" fontId="171" fillId="0" borderId="0" xfId="0" applyFont="1" applyAlignment="1">
      <alignment horizontal="center"/>
    </xf>
    <xf numFmtId="0" fontId="172" fillId="0" borderId="0" xfId="0" applyFont="1" applyAlignment="1">
      <alignment horizontal="center"/>
    </xf>
    <xf numFmtId="0" fontId="56" fillId="7" borderId="0" xfId="0" applyFont="1" applyFill="1" applyAlignment="1">
      <alignment horizontal="center"/>
    </xf>
    <xf numFmtId="0" fontId="88" fillId="4" borderId="43" xfId="0" applyFont="1" applyFill="1" applyBorder="1"/>
    <xf numFmtId="3" fontId="53" fillId="4" borderId="53" xfId="0" applyNumberFormat="1" applyFont="1" applyFill="1" applyBorder="1"/>
    <xf numFmtId="3" fontId="56" fillId="4" borderId="55" xfId="0" applyNumberFormat="1" applyFont="1" applyFill="1" applyBorder="1"/>
    <xf numFmtId="167" fontId="53" fillId="4" borderId="53" xfId="0" applyNumberFormat="1" applyFont="1" applyFill="1" applyBorder="1"/>
    <xf numFmtId="3" fontId="56" fillId="4" borderId="44" xfId="0" applyNumberFormat="1" applyFont="1" applyFill="1" applyBorder="1"/>
    <xf numFmtId="0" fontId="173" fillId="0" borderId="0" xfId="15" applyFont="1" applyAlignment="1">
      <alignment horizontal="center" vertical="top"/>
    </xf>
    <xf numFmtId="0" fontId="173" fillId="0" borderId="0" xfId="15" applyFont="1" applyAlignment="1">
      <alignment horizontal="left" vertical="top"/>
    </xf>
    <xf numFmtId="0" fontId="121" fillId="0" borderId="0" xfId="15" applyFont="1" applyAlignment="1">
      <alignment horizontal="left" vertical="top"/>
    </xf>
    <xf numFmtId="0" fontId="173" fillId="0" borderId="0" xfId="15" applyFont="1" applyAlignment="1">
      <alignment horizontal="left" vertical="top" wrapText="1"/>
    </xf>
    <xf numFmtId="164" fontId="93" fillId="15" borderId="69" xfId="15" applyNumberFormat="1" applyFont="1" applyFill="1" applyBorder="1" applyAlignment="1">
      <alignment horizontal="right" vertical="top" wrapText="1"/>
    </xf>
    <xf numFmtId="164" fontId="28" fillId="0" borderId="69" xfId="15" applyNumberFormat="1" applyBorder="1" applyAlignment="1">
      <alignment horizontal="right" vertical="top" wrapText="1"/>
    </xf>
    <xf numFmtId="164" fontId="28" fillId="0" borderId="0" xfId="15" applyNumberFormat="1" applyAlignment="1">
      <alignment horizontal="center" vertical="top" wrapText="1"/>
    </xf>
    <xf numFmtId="0" fontId="157" fillId="0" borderId="69" xfId="8" applyFont="1" applyBorder="1" applyAlignment="1">
      <alignment horizontal="center" vertical="center" wrapText="1"/>
    </xf>
    <xf numFmtId="0" fontId="175" fillId="5" borderId="69" xfId="8" applyFont="1" applyFill="1" applyBorder="1" applyAlignment="1">
      <alignment horizontal="center" vertical="center" wrapText="1"/>
    </xf>
    <xf numFmtId="0" fontId="46" fillId="13" borderId="69" xfId="8" applyFont="1" applyFill="1" applyBorder="1" applyAlignment="1">
      <alignment horizontal="center" vertical="center"/>
    </xf>
    <xf numFmtId="183" fontId="53" fillId="5" borderId="69" xfId="8" applyNumberFormat="1" applyFont="1" applyFill="1" applyBorder="1"/>
    <xf numFmtId="167" fontId="57" fillId="0" borderId="69" xfId="8" applyNumberFormat="1" applyFont="1" applyFill="1" applyBorder="1" applyAlignment="1">
      <alignment vertical="center"/>
    </xf>
    <xf numFmtId="183" fontId="57" fillId="5" borderId="69" xfId="8" applyNumberFormat="1" applyFont="1" applyFill="1" applyBorder="1" applyAlignment="1">
      <alignment vertical="center"/>
    </xf>
    <xf numFmtId="167" fontId="84" fillId="0" borderId="69" xfId="8" applyNumberFormat="1" applyFont="1" applyFill="1" applyBorder="1" applyAlignment="1">
      <alignment horizontal="right"/>
    </xf>
    <xf numFmtId="167" fontId="158" fillId="0" borderId="69" xfId="8" applyNumberFormat="1" applyFont="1" applyFill="1" applyBorder="1" applyAlignment="1">
      <alignment horizontal="right"/>
    </xf>
    <xf numFmtId="167" fontId="84" fillId="0" borderId="69" xfId="8" applyNumberFormat="1" applyFont="1" applyFill="1" applyBorder="1" applyAlignment="1"/>
    <xf numFmtId="167" fontId="158" fillId="0" borderId="69" xfId="8" applyNumberFormat="1" applyFont="1" applyFill="1" applyBorder="1" applyAlignment="1"/>
    <xf numFmtId="0" fontId="14" fillId="0" borderId="2" xfId="15" applyFont="1" applyFill="1" applyBorder="1" applyAlignment="1">
      <alignment horizontal="center" vertical="top" wrapText="1"/>
    </xf>
    <xf numFmtId="0" fontId="34" fillId="16" borderId="0" xfId="112" applyFont="1" applyFill="1" applyBorder="1" applyAlignment="1">
      <alignment vertical="center" wrapText="1"/>
    </xf>
    <xf numFmtId="0" fontId="34" fillId="16" borderId="0" xfId="112" applyFont="1" applyFill="1" applyBorder="1" applyAlignment="1">
      <alignment horizontal="center" vertical="center" wrapText="1"/>
    </xf>
    <xf numFmtId="0" fontId="35" fillId="16" borderId="0" xfId="112" applyFont="1" applyFill="1" applyBorder="1" applyAlignment="1">
      <alignment horizontal="left" vertical="center" wrapText="1"/>
    </xf>
    <xf numFmtId="0" fontId="40" fillId="16" borderId="0" xfId="112" applyFont="1" applyFill="1" applyBorder="1" applyAlignment="1">
      <alignment vertical="center" wrapText="1"/>
    </xf>
    <xf numFmtId="0" fontId="35" fillId="16" borderId="0" xfId="112" applyFont="1" applyFill="1" applyBorder="1" applyAlignment="1">
      <alignment vertical="center" wrapText="1"/>
    </xf>
    <xf numFmtId="0" fontId="160" fillId="3" borderId="69" xfId="112" applyFont="1" applyFill="1" applyBorder="1" applyAlignment="1">
      <alignment vertical="center" wrapText="1"/>
    </xf>
    <xf numFmtId="0" fontId="34" fillId="16" borderId="65" xfId="112" applyFont="1" applyFill="1" applyBorder="1" applyAlignment="1">
      <alignment vertical="center" wrapText="1"/>
    </xf>
    <xf numFmtId="0" fontId="35" fillId="16" borderId="65" xfId="112" applyFont="1" applyFill="1" applyBorder="1" applyAlignment="1">
      <alignment vertical="center" wrapText="1"/>
    </xf>
    <xf numFmtId="0" fontId="37" fillId="16" borderId="69" xfId="112" applyFont="1" applyFill="1" applyBorder="1" applyAlignment="1">
      <alignment horizontal="center" vertical="center" wrapText="1"/>
    </xf>
    <xf numFmtId="17" fontId="51" fillId="0" borderId="69" xfId="113" applyNumberFormat="1" applyFont="1" applyBorder="1" applyAlignment="1">
      <alignment horizontal="center" vertical="center" textRotation="90" wrapText="1"/>
    </xf>
    <xf numFmtId="17" fontId="51" fillId="6" borderId="69" xfId="113" applyNumberFormat="1" applyFont="1" applyFill="1" applyBorder="1" applyAlignment="1">
      <alignment horizontal="center" vertical="center" wrapText="1"/>
    </xf>
    <xf numFmtId="0" fontId="34" fillId="0" borderId="69" xfId="112" applyFont="1" applyFill="1" applyBorder="1" applyAlignment="1">
      <alignment horizontal="center" vertical="center" wrapText="1"/>
    </xf>
    <xf numFmtId="0" fontId="34" fillId="0" borderId="69" xfId="112" applyFont="1" applyFill="1" applyBorder="1" applyAlignment="1">
      <alignment horizontal="left" vertical="center" wrapText="1"/>
    </xf>
    <xf numFmtId="3" fontId="34" fillId="0" borderId="69" xfId="112" applyNumberFormat="1" applyFont="1" applyFill="1" applyBorder="1" applyAlignment="1">
      <alignment vertical="center" wrapText="1"/>
    </xf>
    <xf numFmtId="167" fontId="34" fillId="0" borderId="69" xfId="112" applyNumberFormat="1" applyFont="1" applyFill="1" applyBorder="1" applyAlignment="1">
      <alignment vertical="center" wrapText="1"/>
    </xf>
    <xf numFmtId="4" fontId="34" fillId="0" borderId="69" xfId="112" applyNumberFormat="1" applyFont="1" applyFill="1" applyBorder="1" applyAlignment="1">
      <alignment vertical="center" wrapText="1"/>
    </xf>
    <xf numFmtId="9" fontId="53" fillId="0" borderId="69" xfId="1" applyFont="1" applyFill="1" applyBorder="1" applyAlignment="1">
      <alignment horizontal="right" vertical="center" wrapText="1"/>
    </xf>
    <xf numFmtId="9" fontId="53" fillId="6" borderId="69" xfId="1" applyFont="1" applyFill="1" applyBorder="1" applyAlignment="1">
      <alignment horizontal="right" vertical="top" wrapText="1"/>
    </xf>
    <xf numFmtId="9" fontId="53" fillId="24" borderId="69" xfId="1" applyFont="1" applyFill="1" applyBorder="1" applyAlignment="1">
      <alignment horizontal="right" vertical="center" wrapText="1"/>
    </xf>
    <xf numFmtId="169" fontId="53" fillId="0" borderId="69" xfId="12" applyNumberFormat="1" applyFont="1" applyFill="1" applyBorder="1" applyAlignment="1">
      <alignment horizontal="right" vertical="center" wrapText="1"/>
    </xf>
    <xf numFmtId="169" fontId="53" fillId="6" borderId="69" xfId="12" applyNumberFormat="1" applyFont="1" applyFill="1" applyBorder="1" applyAlignment="1">
      <alignment horizontal="right" vertical="top" wrapText="1"/>
    </xf>
    <xf numFmtId="169" fontId="53" fillId="7" borderId="69" xfId="12" applyNumberFormat="1" applyFont="1" applyFill="1" applyBorder="1" applyAlignment="1">
      <alignment horizontal="right" vertical="top" wrapText="1"/>
    </xf>
    <xf numFmtId="0" fontId="34" fillId="7" borderId="69" xfId="112" applyFont="1" applyFill="1" applyBorder="1" applyAlignment="1">
      <alignment horizontal="center" vertical="center" wrapText="1"/>
    </xf>
    <xf numFmtId="9" fontId="53" fillId="7" borderId="69" xfId="1" applyFont="1" applyFill="1" applyBorder="1" applyAlignment="1">
      <alignment horizontal="right" vertical="center" wrapText="1"/>
    </xf>
    <xf numFmtId="3" fontId="34" fillId="3" borderId="69" xfId="112" applyNumberFormat="1" applyFont="1" applyFill="1" applyBorder="1" applyAlignment="1">
      <alignment vertical="center" wrapText="1"/>
    </xf>
    <xf numFmtId="3" fontId="34" fillId="6" borderId="69" xfId="112" applyNumberFormat="1" applyFont="1" applyFill="1" applyBorder="1" applyAlignment="1">
      <alignment vertical="center" wrapText="1"/>
    </xf>
    <xf numFmtId="0" fontId="40" fillId="9" borderId="69" xfId="112" applyFont="1" applyFill="1" applyBorder="1" applyAlignment="1">
      <alignment horizontal="center" vertical="center" wrapText="1"/>
    </xf>
    <xf numFmtId="3" fontId="40" fillId="9" borderId="69" xfId="112" applyNumberFormat="1" applyFont="1" applyFill="1" applyBorder="1" applyAlignment="1">
      <alignment vertical="center" wrapText="1"/>
    </xf>
    <xf numFmtId="167" fontId="40" fillId="9" borderId="69" xfId="112" applyNumberFormat="1" applyFont="1" applyFill="1" applyBorder="1" applyAlignment="1">
      <alignment vertical="center" wrapText="1"/>
    </xf>
    <xf numFmtId="4" fontId="40" fillId="9" borderId="69" xfId="112" applyNumberFormat="1" applyFont="1" applyFill="1" applyBorder="1" applyAlignment="1">
      <alignment vertical="center" wrapText="1"/>
    </xf>
    <xf numFmtId="9" fontId="56" fillId="9" borderId="69" xfId="1" applyFont="1" applyFill="1" applyBorder="1" applyAlignment="1">
      <alignment horizontal="right" vertical="center" wrapText="1"/>
    </xf>
    <xf numFmtId="165" fontId="161" fillId="20" borderId="69" xfId="1" applyNumberFormat="1" applyFont="1" applyFill="1" applyBorder="1" applyAlignment="1">
      <alignment horizontal="right" vertical="center" wrapText="1"/>
    </xf>
    <xf numFmtId="169" fontId="56" fillId="9" borderId="69" xfId="12" applyNumberFormat="1" applyFont="1" applyFill="1" applyBorder="1" applyAlignment="1">
      <alignment horizontal="right" vertical="center" wrapText="1"/>
    </xf>
    <xf numFmtId="169" fontId="89" fillId="20" borderId="69" xfId="12" applyNumberFormat="1" applyFont="1" applyFill="1" applyBorder="1" applyAlignment="1">
      <alignment horizontal="right" vertical="center" wrapText="1"/>
    </xf>
    <xf numFmtId="169" fontId="161" fillId="14" borderId="69" xfId="12" applyNumberFormat="1" applyFont="1" applyFill="1" applyBorder="1" applyAlignment="1">
      <alignment horizontal="right" vertical="center" wrapText="1"/>
    </xf>
    <xf numFmtId="3" fontId="34" fillId="24" borderId="69" xfId="112" applyNumberFormat="1" applyFont="1" applyFill="1" applyBorder="1" applyAlignment="1">
      <alignment vertical="center" wrapText="1"/>
    </xf>
    <xf numFmtId="169" fontId="82" fillId="14" borderId="69" xfId="12" applyNumberFormat="1" applyFont="1" applyFill="1" applyBorder="1" applyAlignment="1">
      <alignment horizontal="right" vertical="center" wrapText="1"/>
    </xf>
    <xf numFmtId="0" fontId="34" fillId="16" borderId="0" xfId="112" applyFont="1" applyFill="1" applyAlignment="1">
      <alignment vertical="center" wrapText="1"/>
    </xf>
    <xf numFmtId="3" fontId="34" fillId="16" borderId="0" xfId="112" applyNumberFormat="1" applyFont="1" applyFill="1" applyBorder="1" applyAlignment="1">
      <alignment vertical="center" wrapText="1"/>
    </xf>
    <xf numFmtId="0" fontId="88" fillId="16" borderId="69" xfId="112" applyFont="1" applyFill="1" applyBorder="1" applyAlignment="1">
      <alignment horizontal="center" vertical="center" wrapText="1"/>
    </xf>
    <xf numFmtId="0" fontId="64" fillId="16" borderId="69" xfId="112" applyFont="1" applyFill="1" applyBorder="1" applyAlignment="1">
      <alignment horizontal="center" vertical="center" wrapText="1"/>
    </xf>
    <xf numFmtId="169" fontId="34" fillId="16" borderId="0" xfId="112" applyNumberFormat="1" applyFont="1" applyFill="1" applyBorder="1" applyAlignment="1">
      <alignment vertical="center" wrapText="1"/>
    </xf>
    <xf numFmtId="0" fontId="53" fillId="16" borderId="69" xfId="112" applyFont="1" applyFill="1" applyBorder="1" applyAlignment="1">
      <alignment vertical="center" wrapText="1"/>
    </xf>
    <xf numFmtId="0" fontId="56" fillId="16" borderId="69" xfId="112" applyFont="1" applyFill="1" applyBorder="1" applyAlignment="1">
      <alignment horizontal="center" vertical="center" wrapText="1"/>
    </xf>
    <xf numFmtId="0" fontId="53" fillId="16" borderId="69" xfId="112" applyFont="1" applyFill="1" applyBorder="1" applyAlignment="1">
      <alignment horizontal="center" vertical="center" wrapText="1"/>
    </xf>
    <xf numFmtId="3" fontId="53" fillId="16" borderId="69" xfId="112" applyNumberFormat="1" applyFont="1" applyFill="1" applyBorder="1" applyAlignment="1">
      <alignment vertical="center" wrapText="1"/>
    </xf>
    <xf numFmtId="43" fontId="34" fillId="16" borderId="0" xfId="112" applyNumberFormat="1" applyFont="1" applyFill="1" applyBorder="1" applyAlignment="1">
      <alignment vertical="center" wrapText="1"/>
    </xf>
    <xf numFmtId="0" fontId="160" fillId="0" borderId="0" xfId="112" applyFont="1" applyFill="1" applyBorder="1" applyAlignment="1">
      <alignment vertical="center" wrapText="1"/>
    </xf>
    <xf numFmtId="182" fontId="34" fillId="16" borderId="0" xfId="112" applyNumberFormat="1" applyFont="1" applyFill="1" applyBorder="1" applyAlignment="1">
      <alignment vertical="center" wrapText="1"/>
    </xf>
    <xf numFmtId="3" fontId="34" fillId="7" borderId="69" xfId="112" applyNumberFormat="1" applyFont="1" applyFill="1" applyBorder="1" applyAlignment="1">
      <alignment vertical="center" wrapText="1"/>
    </xf>
    <xf numFmtId="0" fontId="88" fillId="0" borderId="69" xfId="112" applyFont="1" applyFill="1" applyBorder="1" applyAlignment="1">
      <alignment horizontal="center" vertical="center" wrapText="1"/>
    </xf>
    <xf numFmtId="16" fontId="88" fillId="16" borderId="69" xfId="112" quotePrefix="1" applyNumberFormat="1" applyFont="1" applyFill="1" applyBorder="1" applyAlignment="1">
      <alignment horizontal="center" vertical="center" wrapText="1"/>
    </xf>
    <xf numFmtId="0" fontId="89" fillId="48" borderId="69" xfId="112" applyFont="1" applyFill="1" applyBorder="1" applyAlignment="1">
      <alignment horizontal="center" wrapText="1"/>
    </xf>
    <xf numFmtId="167" fontId="89" fillId="48" borderId="69" xfId="112" applyNumberFormat="1" applyFont="1" applyFill="1" applyBorder="1" applyAlignment="1">
      <alignment vertical="center" wrapText="1"/>
    </xf>
    <xf numFmtId="3" fontId="89" fillId="48" borderId="69" xfId="112" applyNumberFormat="1" applyFont="1" applyFill="1" applyBorder="1" applyAlignment="1">
      <alignment vertical="center" wrapText="1"/>
    </xf>
    <xf numFmtId="167" fontId="89" fillId="48" borderId="69" xfId="112" applyNumberFormat="1" applyFont="1" applyFill="1" applyBorder="1" applyAlignment="1">
      <alignment horizontal="center" vertical="center" wrapText="1"/>
    </xf>
    <xf numFmtId="3" fontId="89" fillId="48" borderId="69" xfId="112" applyNumberFormat="1" applyFont="1" applyFill="1" applyBorder="1" applyAlignment="1">
      <alignment horizontal="center" vertical="center" wrapText="1"/>
    </xf>
    <xf numFmtId="4" fontId="89" fillId="48" borderId="69" xfId="112" applyNumberFormat="1" applyFont="1" applyFill="1" applyBorder="1" applyAlignment="1">
      <alignment vertical="center" wrapText="1"/>
    </xf>
    <xf numFmtId="0" fontId="34" fillId="7" borderId="69" xfId="112" applyFont="1" applyFill="1" applyBorder="1" applyAlignment="1">
      <alignment horizontal="left" vertical="center" wrapText="1"/>
    </xf>
    <xf numFmtId="167" fontId="34" fillId="7" borderId="69" xfId="112" applyNumberFormat="1" applyFont="1" applyFill="1" applyBorder="1" applyAlignment="1">
      <alignment vertical="center" wrapText="1"/>
    </xf>
    <xf numFmtId="167" fontId="34" fillId="7" borderId="69" xfId="112" applyNumberFormat="1" applyFont="1" applyFill="1" applyBorder="1" applyAlignment="1">
      <alignment horizontal="center" vertical="center" wrapText="1"/>
    </xf>
    <xf numFmtId="3" fontId="34" fillId="7" borderId="69" xfId="112" applyNumberFormat="1" applyFont="1" applyFill="1" applyBorder="1" applyAlignment="1">
      <alignment horizontal="center" vertical="center" wrapText="1"/>
    </xf>
    <xf numFmtId="4" fontId="34" fillId="7" borderId="69" xfId="112" applyNumberFormat="1" applyFont="1" applyFill="1" applyBorder="1" applyAlignment="1">
      <alignment vertical="center" wrapText="1"/>
    </xf>
    <xf numFmtId="0" fontId="34" fillId="4" borderId="69" xfId="112" applyFont="1" applyFill="1" applyBorder="1" applyAlignment="1">
      <alignment horizontal="center" vertical="center" wrapText="1"/>
    </xf>
    <xf numFmtId="0" fontId="34" fillId="4" borderId="69" xfId="112" applyFont="1" applyFill="1" applyBorder="1" applyAlignment="1">
      <alignment horizontal="left" vertical="center" wrapText="1"/>
    </xf>
    <xf numFmtId="167" fontId="34" fillId="4" borderId="69" xfId="112" applyNumberFormat="1" applyFont="1" applyFill="1" applyBorder="1" applyAlignment="1">
      <alignment vertical="center" wrapText="1"/>
    </xf>
    <xf numFmtId="3" fontId="34" fillId="4" borderId="69" xfId="112" applyNumberFormat="1" applyFont="1" applyFill="1" applyBorder="1" applyAlignment="1">
      <alignment vertical="center" wrapText="1"/>
    </xf>
    <xf numFmtId="167" fontId="34" fillId="4" borderId="69" xfId="112" applyNumberFormat="1" applyFont="1" applyFill="1" applyBorder="1" applyAlignment="1">
      <alignment horizontal="center" vertical="center" wrapText="1"/>
    </xf>
    <xf numFmtId="3" fontId="34" fillId="4" borderId="69" xfId="112" applyNumberFormat="1" applyFont="1" applyFill="1" applyBorder="1" applyAlignment="1">
      <alignment horizontal="center" vertical="center" wrapText="1"/>
    </xf>
    <xf numFmtId="4" fontId="34" fillId="4" borderId="69" xfId="112" applyNumberFormat="1" applyFont="1" applyFill="1" applyBorder="1" applyAlignment="1">
      <alignment vertical="center" wrapText="1"/>
    </xf>
    <xf numFmtId="0" fontId="34" fillId="16" borderId="69" xfId="112" applyFont="1" applyFill="1" applyBorder="1" applyAlignment="1">
      <alignment horizontal="center" vertical="center" wrapText="1"/>
    </xf>
    <xf numFmtId="0" fontId="34" fillId="16" borderId="69" xfId="112" applyFont="1" applyFill="1" applyBorder="1" applyAlignment="1">
      <alignment horizontal="left" vertical="center" wrapText="1"/>
    </xf>
    <xf numFmtId="167" fontId="34" fillId="16" borderId="69" xfId="112" applyNumberFormat="1" applyFont="1" applyFill="1" applyBorder="1" applyAlignment="1">
      <alignment vertical="center" wrapText="1"/>
    </xf>
    <xf numFmtId="3" fontId="34" fillId="16" borderId="69" xfId="112" applyNumberFormat="1" applyFont="1" applyFill="1" applyBorder="1" applyAlignment="1">
      <alignment vertical="center" wrapText="1"/>
    </xf>
    <xf numFmtId="167" fontId="34" fillId="16" borderId="69" xfId="112" applyNumberFormat="1" applyFont="1" applyFill="1" applyBorder="1" applyAlignment="1">
      <alignment horizontal="center" vertical="center" wrapText="1"/>
    </xf>
    <xf numFmtId="3" fontId="34" fillId="16" borderId="69" xfId="112" applyNumberFormat="1" applyFont="1" applyFill="1" applyBorder="1" applyAlignment="1">
      <alignment horizontal="center" vertical="center" wrapText="1"/>
    </xf>
    <xf numFmtId="4" fontId="34" fillId="16" borderId="69" xfId="112" applyNumberFormat="1" applyFont="1" applyFill="1" applyBorder="1" applyAlignment="1">
      <alignment vertical="center" wrapText="1"/>
    </xf>
    <xf numFmtId="0" fontId="89" fillId="48" borderId="69" xfId="112" applyFont="1" applyFill="1" applyBorder="1" applyAlignment="1">
      <alignment horizontal="center" vertical="center" wrapText="1"/>
    </xf>
    <xf numFmtId="3" fontId="35" fillId="16" borderId="0" xfId="112" applyNumberFormat="1" applyFont="1" applyFill="1" applyBorder="1" applyAlignment="1">
      <alignment vertical="center" wrapText="1"/>
    </xf>
    <xf numFmtId="0" fontId="34" fillId="21" borderId="69" xfId="112" applyFont="1" applyFill="1" applyBorder="1" applyAlignment="1">
      <alignment horizontal="center" vertical="center" wrapText="1"/>
    </xf>
    <xf numFmtId="0" fontId="34" fillId="21" borderId="69" xfId="112" applyFont="1" applyFill="1" applyBorder="1" applyAlignment="1">
      <alignment horizontal="left" vertical="center" wrapText="1"/>
    </xf>
    <xf numFmtId="167" fontId="34" fillId="21" borderId="69" xfId="112" applyNumberFormat="1" applyFont="1" applyFill="1" applyBorder="1" applyAlignment="1">
      <alignment vertical="center" wrapText="1"/>
    </xf>
    <xf numFmtId="3" fontId="34" fillId="21" borderId="69" xfId="112" applyNumberFormat="1" applyFont="1" applyFill="1" applyBorder="1" applyAlignment="1">
      <alignment vertical="center" wrapText="1"/>
    </xf>
    <xf numFmtId="167" fontId="34" fillId="21" borderId="69" xfId="112" applyNumberFormat="1" applyFont="1" applyFill="1" applyBorder="1" applyAlignment="1">
      <alignment horizontal="center" vertical="center" wrapText="1"/>
    </xf>
    <xf numFmtId="3" fontId="34" fillId="21" borderId="69" xfId="112" applyNumberFormat="1" applyFont="1" applyFill="1" applyBorder="1" applyAlignment="1">
      <alignment horizontal="center" vertical="center" wrapText="1"/>
    </xf>
    <xf numFmtId="4" fontId="34" fillId="21" borderId="69" xfId="112" applyNumberFormat="1" applyFont="1" applyFill="1" applyBorder="1" applyAlignment="1">
      <alignment vertical="center" wrapText="1"/>
    </xf>
    <xf numFmtId="3" fontId="34" fillId="0" borderId="69" xfId="112" applyNumberFormat="1" applyFont="1" applyFill="1" applyBorder="1" applyAlignment="1">
      <alignment horizontal="center" vertical="center" wrapText="1"/>
    </xf>
    <xf numFmtId="1" fontId="34" fillId="16" borderId="0" xfId="112" applyNumberFormat="1" applyFont="1" applyFill="1" applyBorder="1" applyAlignment="1">
      <alignment vertical="center" wrapText="1"/>
    </xf>
    <xf numFmtId="167" fontId="42" fillId="16" borderId="69" xfId="112" applyNumberFormat="1" applyFont="1" applyFill="1" applyBorder="1" applyAlignment="1">
      <alignment vertical="center" wrapText="1"/>
    </xf>
    <xf numFmtId="3" fontId="42" fillId="16" borderId="69" xfId="112" applyNumberFormat="1" applyFont="1" applyFill="1" applyBorder="1" applyAlignment="1">
      <alignment vertical="center" wrapText="1"/>
    </xf>
    <xf numFmtId="167" fontId="34" fillId="0" borderId="69" xfId="112" applyNumberFormat="1" applyFont="1" applyFill="1" applyBorder="1" applyAlignment="1">
      <alignment horizontal="center" vertical="center" wrapText="1"/>
    </xf>
    <xf numFmtId="0" fontId="44" fillId="14" borderId="69" xfId="112" applyFont="1" applyFill="1" applyBorder="1" applyAlignment="1">
      <alignment horizontal="center" vertical="center" wrapText="1"/>
    </xf>
    <xf numFmtId="0" fontId="44" fillId="14" borderId="69" xfId="112" applyFont="1" applyFill="1" applyBorder="1" applyAlignment="1">
      <alignment horizontal="left" vertical="center" wrapText="1"/>
    </xf>
    <xf numFmtId="167" fontId="44" fillId="14" borderId="69" xfId="112" applyNumberFormat="1" applyFont="1" applyFill="1" applyBorder="1" applyAlignment="1">
      <alignment vertical="center" wrapText="1"/>
    </xf>
    <xf numFmtId="3" fontId="44" fillId="14" borderId="69" xfId="112" applyNumberFormat="1" applyFont="1" applyFill="1" applyBorder="1" applyAlignment="1">
      <alignment vertical="center" wrapText="1"/>
    </xf>
    <xf numFmtId="167" fontId="44" fillId="14" borderId="69" xfId="112" applyNumberFormat="1" applyFont="1" applyFill="1" applyBorder="1" applyAlignment="1">
      <alignment horizontal="center" vertical="center" wrapText="1"/>
    </xf>
    <xf numFmtId="3" fontId="44" fillId="14" borderId="69" xfId="112" applyNumberFormat="1" applyFont="1" applyFill="1" applyBorder="1" applyAlignment="1">
      <alignment horizontal="center" vertical="center" wrapText="1"/>
    </xf>
    <xf numFmtId="4" fontId="44" fillId="14" borderId="69" xfId="112" applyNumberFormat="1" applyFont="1" applyFill="1" applyBorder="1" applyAlignment="1">
      <alignment vertical="center" wrapText="1"/>
    </xf>
    <xf numFmtId="167" fontId="40" fillId="9" borderId="69" xfId="112" applyNumberFormat="1" applyFont="1" applyFill="1" applyBorder="1" applyAlignment="1">
      <alignment horizontal="center" vertical="center" wrapText="1"/>
    </xf>
    <xf numFmtId="3" fontId="40" fillId="9" borderId="69" xfId="112" applyNumberFormat="1" applyFont="1" applyFill="1" applyBorder="1" applyAlignment="1">
      <alignment horizontal="center" vertical="center" wrapText="1"/>
    </xf>
    <xf numFmtId="0" fontId="35" fillId="16" borderId="0" xfId="112" applyFont="1" applyFill="1" applyAlignment="1">
      <alignment horizontal="center" vertical="center" wrapText="1"/>
    </xf>
    <xf numFmtId="4" fontId="34" fillId="16" borderId="0" xfId="112" applyNumberFormat="1" applyFont="1" applyFill="1" applyBorder="1" applyAlignment="1">
      <alignment vertical="center" wrapText="1"/>
    </xf>
    <xf numFmtId="0" fontId="34" fillId="16" borderId="69" xfId="112" applyFont="1" applyFill="1" applyBorder="1" applyAlignment="1">
      <alignment vertical="center"/>
    </xf>
    <xf numFmtId="0" fontId="34" fillId="16" borderId="69" xfId="112" applyFont="1" applyFill="1" applyBorder="1" applyAlignment="1">
      <alignment vertical="center" wrapText="1"/>
    </xf>
    <xf numFmtId="0" fontId="35" fillId="16" borderId="69" xfId="112" applyFont="1" applyFill="1" applyBorder="1" applyAlignment="1">
      <alignment horizontal="center" vertical="center" wrapText="1"/>
    </xf>
    <xf numFmtId="0" fontId="35" fillId="16" borderId="69" xfId="112" applyFont="1" applyFill="1" applyBorder="1" applyAlignment="1">
      <alignment vertical="center" wrapText="1"/>
    </xf>
    <xf numFmtId="0" fontId="34" fillId="16" borderId="69" xfId="112" quotePrefix="1" applyFont="1" applyFill="1" applyBorder="1" applyAlignment="1">
      <alignment horizontal="center" vertical="center" wrapText="1"/>
    </xf>
    <xf numFmtId="0" fontId="26" fillId="0" borderId="2" xfId="15" applyFont="1" applyFill="1" applyBorder="1" applyAlignment="1">
      <alignment horizontal="center" vertical="top" wrapText="1"/>
    </xf>
    <xf numFmtId="0" fontId="21" fillId="0" borderId="0" xfId="15" applyFont="1" applyFill="1" applyAlignment="1">
      <alignment horizontal="right" vertical="top" wrapText="1"/>
    </xf>
    <xf numFmtId="0" fontId="21" fillId="0" borderId="0" xfId="15" applyFont="1" applyFill="1" applyAlignment="1">
      <alignment wrapText="1"/>
    </xf>
    <xf numFmtId="0" fontId="16" fillId="0" borderId="0" xfId="15" applyFont="1" applyFill="1" applyAlignment="1">
      <alignment horizontal="right" vertical="top" wrapText="1"/>
    </xf>
    <xf numFmtId="2" fontId="21" fillId="0" borderId="0" xfId="15" applyNumberFormat="1" applyFont="1" applyFill="1" applyAlignment="1">
      <alignment horizontal="right" vertical="top" wrapText="1"/>
    </xf>
    <xf numFmtId="3" fontId="21" fillId="0" borderId="0" xfId="15" applyNumberFormat="1" applyFont="1" applyAlignment="1">
      <alignment wrapText="1"/>
    </xf>
    <xf numFmtId="3" fontId="104" fillId="0" borderId="69" xfId="15" applyNumberFormat="1" applyFont="1" applyFill="1" applyBorder="1" applyAlignment="1">
      <alignment horizontal="right" vertical="top" wrapText="1"/>
    </xf>
    <xf numFmtId="0" fontId="104" fillId="0" borderId="2" xfId="15" applyFont="1" applyFill="1" applyBorder="1" applyAlignment="1">
      <alignment horizontal="left" vertical="top" wrapText="1"/>
    </xf>
    <xf numFmtId="0" fontId="43" fillId="0" borderId="77" xfId="15" applyFont="1" applyFill="1" applyBorder="1" applyAlignment="1">
      <alignment horizontal="center" vertical="top" wrapText="1"/>
    </xf>
    <xf numFmtId="0" fontId="104" fillId="0" borderId="78" xfId="15" applyFont="1" applyBorder="1" applyAlignment="1">
      <alignment horizontal="right" vertical="top" wrapText="1"/>
    </xf>
    <xf numFmtId="0" fontId="14" fillId="0" borderId="78" xfId="15" applyFont="1" applyBorder="1" applyAlignment="1">
      <alignment horizontal="right" vertical="top" wrapText="1"/>
    </xf>
    <xf numFmtId="0" fontId="14" fillId="0" borderId="79" xfId="15" applyFont="1" applyBorder="1" applyAlignment="1">
      <alignment horizontal="right" vertical="top" wrapText="1"/>
    </xf>
    <xf numFmtId="0" fontId="14" fillId="0" borderId="0" xfId="15" applyFont="1" applyAlignment="1">
      <alignment wrapText="1"/>
    </xf>
    <xf numFmtId="0" fontId="14" fillId="0" borderId="67" xfId="15" applyFont="1" applyFill="1" applyBorder="1" applyAlignment="1">
      <alignment horizontal="center" vertical="top" wrapText="1"/>
    </xf>
    <xf numFmtId="0" fontId="14" fillId="0" borderId="0" xfId="15" applyFont="1" applyBorder="1" applyAlignment="1">
      <alignment horizontal="left" wrapText="1"/>
    </xf>
    <xf numFmtId="3" fontId="14" fillId="0" borderId="0" xfId="15" applyNumberFormat="1" applyFont="1" applyBorder="1" applyAlignment="1">
      <alignment horizontal="right" vertical="top" wrapText="1"/>
    </xf>
    <xf numFmtId="0" fontId="14" fillId="0" borderId="68" xfId="15" applyFont="1" applyBorder="1" applyAlignment="1">
      <alignment horizontal="right" vertical="top" wrapText="1"/>
    </xf>
    <xf numFmtId="0" fontId="14" fillId="0" borderId="37" xfId="15" applyFont="1" applyFill="1" applyBorder="1" applyAlignment="1">
      <alignment horizontal="center" vertical="top" wrapText="1"/>
    </xf>
    <xf numFmtId="0" fontId="14" fillId="0" borderId="0" xfId="15" applyFont="1" applyFill="1" applyAlignment="1">
      <alignment horizontal="center" vertical="top" wrapText="1"/>
    </xf>
    <xf numFmtId="0" fontId="43" fillId="0" borderId="77" xfId="15" applyFont="1" applyFill="1" applyBorder="1" applyAlignment="1">
      <alignment horizontal="left" vertical="top" wrapText="1"/>
    </xf>
    <xf numFmtId="0" fontId="104" fillId="0" borderId="69" xfId="15" applyFont="1" applyFill="1" applyBorder="1" applyAlignment="1">
      <alignment horizontal="left" vertical="top" wrapText="1"/>
    </xf>
    <xf numFmtId="0" fontId="20" fillId="0" borderId="2" xfId="15" applyFont="1" applyFill="1" applyBorder="1" applyAlignment="1">
      <alignment horizontal="left" vertical="top" wrapText="1"/>
    </xf>
    <xf numFmtId="169" fontId="104" fillId="0" borderId="2" xfId="12" applyNumberFormat="1" applyFont="1" applyBorder="1" applyAlignment="1">
      <alignment horizontal="right" vertical="top" wrapText="1"/>
    </xf>
    <xf numFmtId="169" fontId="104" fillId="0" borderId="0" xfId="12" applyNumberFormat="1" applyFont="1" applyBorder="1" applyAlignment="1">
      <alignment horizontal="right" vertical="top" wrapText="1"/>
    </xf>
    <xf numFmtId="169" fontId="34" fillId="0" borderId="0" xfId="12" applyNumberFormat="1" applyFont="1" applyBorder="1" applyAlignment="1">
      <alignment horizontal="right" vertical="top" wrapText="1"/>
    </xf>
    <xf numFmtId="0" fontId="14" fillId="0" borderId="2" xfId="15" applyFont="1" applyBorder="1" applyAlignment="1">
      <alignment horizontal="left" vertical="top" wrapText="1"/>
    </xf>
    <xf numFmtId="0" fontId="43" fillId="0" borderId="77" xfId="15" applyFont="1" applyBorder="1" applyAlignment="1">
      <alignment horizontal="center" vertical="top" wrapText="1"/>
    </xf>
    <xf numFmtId="0" fontId="43" fillId="0" borderId="78" xfId="15" applyFont="1" applyBorder="1" applyAlignment="1">
      <alignment horizontal="left" vertical="top" wrapText="1"/>
    </xf>
    <xf numFmtId="0" fontId="21" fillId="0" borderId="78" xfId="15" applyFont="1" applyBorder="1" applyAlignment="1">
      <alignment horizontal="right" vertical="top" wrapText="1"/>
    </xf>
    <xf numFmtId="3" fontId="56" fillId="0" borderId="0" xfId="0" applyNumberFormat="1" applyFont="1" applyBorder="1" applyAlignment="1">
      <alignment horizontal="right" vertical="top" wrapText="1"/>
    </xf>
    <xf numFmtId="0" fontId="21" fillId="0" borderId="79" xfId="15" applyFont="1" applyBorder="1" applyAlignment="1">
      <alignment horizontal="right" vertical="top" wrapText="1"/>
    </xf>
    <xf numFmtId="0" fontId="22" fillId="0" borderId="2" xfId="15" applyFont="1" applyFill="1" applyBorder="1" applyAlignment="1">
      <alignment horizontal="center" vertical="top" wrapText="1"/>
    </xf>
    <xf numFmtId="0" fontId="43" fillId="0" borderId="77" xfId="107" applyFont="1" applyBorder="1" applyAlignment="1">
      <alignment horizontal="center"/>
    </xf>
    <xf numFmtId="0" fontId="43" fillId="0" borderId="78" xfId="107" applyFont="1" applyBorder="1" applyAlignment="1">
      <alignment horizontal="left"/>
    </xf>
    <xf numFmtId="0" fontId="53" fillId="0" borderId="78" xfId="0" applyFont="1" applyBorder="1" applyAlignment="1">
      <alignment vertical="top" wrapText="1"/>
    </xf>
    <xf numFmtId="0" fontId="53" fillId="0" borderId="79" xfId="0" applyFont="1" applyBorder="1" applyAlignment="1">
      <alignment vertical="top" wrapText="1"/>
    </xf>
    <xf numFmtId="0" fontId="23" fillId="0" borderId="67" xfId="107" applyFont="1" applyBorder="1" applyAlignment="1">
      <alignment horizontal="center"/>
    </xf>
    <xf numFmtId="0" fontId="53" fillId="0" borderId="68" xfId="0" applyFont="1" applyBorder="1" applyAlignment="1">
      <alignment vertical="top" wrapText="1"/>
    </xf>
    <xf numFmtId="0" fontId="43" fillId="0" borderId="67" xfId="107" applyFont="1" applyBorder="1" applyAlignment="1">
      <alignment horizontal="center"/>
    </xf>
    <xf numFmtId="0" fontId="75" fillId="0" borderId="67" xfId="107" applyFont="1" applyBorder="1" applyAlignment="1">
      <alignment horizontal="center"/>
    </xf>
    <xf numFmtId="0" fontId="50" fillId="0" borderId="68" xfId="0" applyFont="1" applyBorder="1" applyAlignment="1">
      <alignment horizontal="center" vertical="center" wrapText="1"/>
    </xf>
    <xf numFmtId="3" fontId="53" fillId="0" borderId="68" xfId="0" applyNumberFormat="1" applyFont="1" applyBorder="1" applyAlignment="1">
      <alignment vertical="top" wrapText="1"/>
    </xf>
    <xf numFmtId="1" fontId="53" fillId="0" borderId="68" xfId="0" applyNumberFormat="1" applyFont="1" applyBorder="1" applyAlignment="1">
      <alignment vertical="top" wrapText="1"/>
    </xf>
    <xf numFmtId="0" fontId="23" fillId="0" borderId="37" xfId="107" applyFont="1" applyBorder="1" applyAlignment="1">
      <alignment horizontal="center"/>
    </xf>
    <xf numFmtId="0" fontId="43" fillId="0" borderId="65" xfId="0" applyFont="1" applyBorder="1" applyAlignment="1">
      <alignment horizontal="center" vertical="top" wrapText="1"/>
    </xf>
    <xf numFmtId="0" fontId="53" fillId="0" borderId="65" xfId="0" applyFont="1" applyBorder="1" applyAlignment="1">
      <alignment vertical="top" wrapText="1"/>
    </xf>
    <xf numFmtId="3" fontId="43" fillId="6" borderId="52" xfId="0" applyNumberFormat="1" applyFont="1" applyFill="1" applyBorder="1" applyAlignment="1">
      <alignment vertical="top" wrapText="1"/>
    </xf>
    <xf numFmtId="0" fontId="23" fillId="0" borderId="2" xfId="15" applyFont="1" applyFill="1" applyBorder="1" applyAlignment="1">
      <alignment horizontal="left" vertical="top" wrapText="1"/>
    </xf>
    <xf numFmtId="0" fontId="22" fillId="0" borderId="2" xfId="15" applyFont="1" applyFill="1" applyBorder="1" applyAlignment="1">
      <alignment horizontal="left" vertical="top" wrapText="1"/>
    </xf>
    <xf numFmtId="0" fontId="21" fillId="0" borderId="2" xfId="15" applyFont="1" applyFill="1" applyBorder="1" applyAlignment="1">
      <alignment horizontal="left" vertical="top" wrapText="1"/>
    </xf>
    <xf numFmtId="0" fontId="17" fillId="0" borderId="2" xfId="15" applyFont="1" applyFill="1" applyBorder="1" applyAlignment="1">
      <alignment horizontal="left" vertical="top" wrapText="1"/>
    </xf>
    <xf numFmtId="0" fontId="14" fillId="0" borderId="0" xfId="15" applyFont="1" applyAlignment="1">
      <alignment horizontal="left" vertical="top"/>
    </xf>
    <xf numFmtId="164" fontId="92" fillId="0" borderId="0" xfId="15" applyNumberFormat="1" applyFont="1" applyAlignment="1">
      <alignment horizontal="left" vertical="top" wrapText="1"/>
    </xf>
    <xf numFmtId="0" fontId="13" fillId="0" borderId="0" xfId="15" applyFont="1" applyAlignment="1">
      <alignment horizontal="left" vertical="top" wrapText="1"/>
    </xf>
    <xf numFmtId="3" fontId="28" fillId="0" borderId="0" xfId="15" applyNumberFormat="1" applyAlignment="1">
      <alignment horizontal="left" vertical="top" wrapText="1"/>
    </xf>
    <xf numFmtId="4" fontId="28" fillId="0" borderId="0" xfId="15" applyNumberFormat="1" applyAlignment="1">
      <alignment horizontal="left" vertical="top" wrapText="1"/>
    </xf>
    <xf numFmtId="9" fontId="53" fillId="7" borderId="80" xfId="1" applyFont="1" applyFill="1" applyBorder="1" applyAlignment="1">
      <alignment horizontal="right" vertical="center" wrapText="1"/>
    </xf>
    <xf numFmtId="9" fontId="53" fillId="0" borderId="80" xfId="1" applyFont="1" applyFill="1" applyBorder="1" applyAlignment="1">
      <alignment horizontal="right" vertical="center" wrapText="1"/>
    </xf>
    <xf numFmtId="0" fontId="12" fillId="0" borderId="2" xfId="15" applyFont="1" applyFill="1" applyBorder="1" applyAlignment="1">
      <alignment horizontal="center" vertical="top" wrapText="1"/>
    </xf>
    <xf numFmtId="0" fontId="12" fillId="0" borderId="2" xfId="15" applyFont="1" applyFill="1" applyBorder="1" applyAlignment="1">
      <alignment horizontal="left" vertical="top" wrapText="1"/>
    </xf>
    <xf numFmtId="3" fontId="104" fillId="0" borderId="80" xfId="15" applyNumberFormat="1" applyFont="1" applyFill="1" applyBorder="1" applyAlignment="1">
      <alignment horizontal="right" vertical="top" wrapText="1"/>
    </xf>
    <xf numFmtId="0" fontId="12" fillId="0" borderId="0" xfId="107" applyFont="1" applyAlignment="1">
      <alignment horizontal="center"/>
    </xf>
    <xf numFmtId="0" fontId="104" fillId="0" borderId="80" xfId="15" applyFont="1" applyBorder="1" applyAlignment="1">
      <alignment horizontal="left" vertical="top" wrapText="1"/>
    </xf>
    <xf numFmtId="0" fontId="12" fillId="0" borderId="0" xfId="15" applyFont="1" applyAlignment="1">
      <alignment horizontal="right" vertical="top" wrapText="1"/>
    </xf>
    <xf numFmtId="0" fontId="12" fillId="0" borderId="0" xfId="15" applyFont="1" applyFill="1" applyAlignment="1">
      <alignment horizontal="right" vertical="top" wrapText="1"/>
    </xf>
    <xf numFmtId="164" fontId="12" fillId="0" borderId="0" xfId="15" applyNumberFormat="1" applyFont="1" applyFill="1" applyAlignment="1">
      <alignment horizontal="right" vertical="top" wrapText="1"/>
    </xf>
    <xf numFmtId="0" fontId="12" fillId="0" borderId="0" xfId="15" applyFont="1" applyAlignment="1">
      <alignment wrapText="1"/>
    </xf>
    <xf numFmtId="0" fontId="12" fillId="0" borderId="0" xfId="107" applyFont="1"/>
    <xf numFmtId="0" fontId="12" fillId="0" borderId="0" xfId="15" applyFont="1" applyFill="1" applyAlignment="1">
      <alignment wrapText="1"/>
    </xf>
    <xf numFmtId="0" fontId="104" fillId="0" borderId="80" xfId="15" applyFont="1" applyBorder="1" applyAlignment="1">
      <alignment horizontal="left" wrapText="1"/>
    </xf>
    <xf numFmtId="0" fontId="12" fillId="0" borderId="0" xfId="15" applyFont="1" applyBorder="1" applyAlignment="1">
      <alignment horizontal="left" wrapText="1"/>
    </xf>
    <xf numFmtId="0" fontId="12" fillId="0" borderId="2" xfId="15" applyFont="1" applyBorder="1" applyAlignment="1">
      <alignment horizontal="left" vertical="top" wrapText="1"/>
    </xf>
    <xf numFmtId="3" fontId="97" fillId="17" borderId="2" xfId="15" applyNumberFormat="1" applyFont="1" applyFill="1" applyBorder="1" applyAlignment="1">
      <alignment horizontal="right" vertical="center" wrapText="1"/>
    </xf>
    <xf numFmtId="3" fontId="98" fillId="18" borderId="2" xfId="15" applyNumberFormat="1" applyFont="1" applyFill="1" applyBorder="1" applyAlignment="1">
      <alignment horizontal="right" vertical="center" wrapText="1"/>
    </xf>
    <xf numFmtId="3" fontId="93" fillId="19" borderId="2" xfId="15" applyNumberFormat="1" applyFont="1" applyFill="1" applyBorder="1" applyAlignment="1">
      <alignment horizontal="right" vertical="center" wrapText="1"/>
    </xf>
    <xf numFmtId="3" fontId="99" fillId="20" borderId="2" xfId="15" applyNumberFormat="1" applyFont="1" applyFill="1" applyBorder="1" applyAlignment="1">
      <alignment horizontal="right" vertical="center" wrapText="1"/>
    </xf>
    <xf numFmtId="3" fontId="92" fillId="0" borderId="2" xfId="15" applyNumberFormat="1" applyFont="1" applyBorder="1" applyAlignment="1">
      <alignment horizontal="right" vertical="center" wrapText="1"/>
    </xf>
    <xf numFmtId="3" fontId="93" fillId="15" borderId="2" xfId="15" applyNumberFormat="1" applyFont="1" applyFill="1" applyBorder="1" applyAlignment="1">
      <alignment horizontal="right" vertical="center" wrapText="1"/>
    </xf>
    <xf numFmtId="4" fontId="92" fillId="0" borderId="2" xfId="15" applyNumberFormat="1" applyFont="1" applyBorder="1" applyAlignment="1">
      <alignment horizontal="right" vertical="center" wrapText="1"/>
    </xf>
    <xf numFmtId="3" fontId="94" fillId="4" borderId="2" xfId="15" applyNumberFormat="1" applyFont="1" applyFill="1" applyBorder="1" applyAlignment="1">
      <alignment horizontal="right" vertical="center" wrapText="1"/>
    </xf>
    <xf numFmtId="3" fontId="94" fillId="21" borderId="2" xfId="15" applyNumberFormat="1" applyFont="1" applyFill="1" applyBorder="1" applyAlignment="1">
      <alignment horizontal="right" vertical="center" wrapText="1"/>
    </xf>
    <xf numFmtId="3" fontId="98" fillId="8" borderId="2" xfId="15" applyNumberFormat="1" applyFont="1" applyFill="1" applyBorder="1" applyAlignment="1">
      <alignment horizontal="right" vertical="center" wrapText="1"/>
    </xf>
    <xf numFmtId="4" fontId="168" fillId="0" borderId="0" xfId="0" applyNumberFormat="1" applyFont="1"/>
    <xf numFmtId="164" fontId="43" fillId="3" borderId="80" xfId="15" applyNumberFormat="1" applyFont="1" applyFill="1" applyBorder="1" applyAlignment="1">
      <alignment horizontal="right" vertical="top" wrapText="1"/>
    </xf>
    <xf numFmtId="0" fontId="92" fillId="5" borderId="80" xfId="15" applyFont="1" applyFill="1" applyBorder="1" applyAlignment="1">
      <alignment horizontal="left" vertical="top" wrapText="1"/>
    </xf>
    <xf numFmtId="0" fontId="93" fillId="5" borderId="80" xfId="15" applyFont="1" applyFill="1" applyBorder="1" applyAlignment="1">
      <alignment horizontal="left" vertical="top" wrapText="1"/>
    </xf>
    <xf numFmtId="164" fontId="92" fillId="5" borderId="80" xfId="15" applyNumberFormat="1" applyFont="1" applyFill="1" applyBorder="1" applyAlignment="1">
      <alignment horizontal="right" vertical="top" wrapText="1"/>
    </xf>
    <xf numFmtId="0" fontId="43" fillId="5" borderId="80" xfId="15" applyFont="1" applyFill="1" applyBorder="1" applyAlignment="1">
      <alignment horizontal="left" vertical="top"/>
    </xf>
    <xf numFmtId="0" fontId="12" fillId="0" borderId="0" xfId="15" applyFont="1" applyAlignment="1">
      <alignment horizontal="left" vertical="top" wrapText="1"/>
    </xf>
    <xf numFmtId="3" fontId="92" fillId="0" borderId="0" xfId="15" applyNumberFormat="1" applyFont="1" applyAlignment="1">
      <alignment horizontal="right" vertical="top" wrapText="1"/>
    </xf>
    <xf numFmtId="167" fontId="92" fillId="0" borderId="0" xfId="15" applyNumberFormat="1" applyFont="1" applyAlignment="1">
      <alignment horizontal="right" vertical="top" wrapText="1"/>
    </xf>
    <xf numFmtId="167" fontId="43" fillId="0" borderId="0" xfId="15" applyNumberFormat="1" applyFont="1" applyAlignment="1">
      <alignment horizontal="right" vertical="top" wrapText="1"/>
    </xf>
    <xf numFmtId="167" fontId="43" fillId="3" borderId="0" xfId="15" applyNumberFormat="1" applyFont="1" applyFill="1" applyAlignment="1">
      <alignment horizontal="right" vertical="top" wrapText="1"/>
    </xf>
    <xf numFmtId="186" fontId="50" fillId="0" borderId="0" xfId="12" applyNumberFormat="1" applyFont="1" applyAlignment="1">
      <alignment horizontal="center" vertical="top" wrapText="1"/>
    </xf>
    <xf numFmtId="186" fontId="75" fillId="0" borderId="0" xfId="12" applyNumberFormat="1" applyFont="1" applyAlignment="1">
      <alignment horizontal="center" vertical="top" wrapText="1"/>
    </xf>
    <xf numFmtId="0" fontId="11" fillId="0" borderId="0" xfId="15" applyFont="1" applyAlignment="1">
      <alignment horizontal="center" vertical="top"/>
    </xf>
    <xf numFmtId="43" fontId="92" fillId="0" borderId="0" xfId="12" applyFont="1" applyAlignment="1">
      <alignment horizontal="left" vertical="top"/>
    </xf>
    <xf numFmtId="43" fontId="92" fillId="0" borderId="0" xfId="15" applyNumberFormat="1" applyFont="1" applyAlignment="1">
      <alignment horizontal="left" vertical="top"/>
    </xf>
    <xf numFmtId="3" fontId="31" fillId="0" borderId="54" xfId="0" applyNumberFormat="1" applyFont="1" applyBorder="1" applyAlignment="1">
      <alignment horizontal="center" vertical="center" wrapText="1"/>
    </xf>
    <xf numFmtId="3" fontId="70" fillId="0" borderId="81" xfId="0" applyNumberFormat="1" applyFont="1" applyBorder="1" applyAlignment="1">
      <alignment horizontal="center" vertical="center" wrapText="1"/>
    </xf>
    <xf numFmtId="0" fontId="94" fillId="0" borderId="72" xfId="15" applyFont="1" applyBorder="1" applyAlignment="1">
      <alignment horizontal="center" vertical="center" wrapText="1"/>
    </xf>
    <xf numFmtId="0" fontId="74" fillId="0" borderId="80" xfId="15" applyFont="1" applyBorder="1" applyAlignment="1">
      <alignment horizontal="center" vertical="center" wrapText="1"/>
    </xf>
    <xf numFmtId="3" fontId="99" fillId="20" borderId="80" xfId="15" applyNumberFormat="1" applyFont="1" applyFill="1" applyBorder="1" applyAlignment="1">
      <alignment horizontal="right" vertical="center" wrapText="1"/>
    </xf>
    <xf numFmtId="3" fontId="93" fillId="15" borderId="80" xfId="15" applyNumberFormat="1" applyFont="1" applyFill="1" applyBorder="1" applyAlignment="1">
      <alignment horizontal="right" vertical="center" wrapText="1"/>
    </xf>
    <xf numFmtId="3" fontId="93" fillId="15" borderId="80" xfId="15" applyNumberFormat="1" applyFont="1" applyFill="1" applyBorder="1" applyAlignment="1">
      <alignment horizontal="right" vertical="top" wrapText="1"/>
    </xf>
    <xf numFmtId="3" fontId="94" fillId="21" borderId="80" xfId="15" applyNumberFormat="1" applyFont="1" applyFill="1" applyBorder="1" applyAlignment="1">
      <alignment horizontal="right" vertical="top" wrapText="1"/>
    </xf>
    <xf numFmtId="3" fontId="98" fillId="8" borderId="80" xfId="15" applyNumberFormat="1" applyFont="1" applyFill="1" applyBorder="1" applyAlignment="1">
      <alignment horizontal="right" vertical="top" wrapText="1"/>
    </xf>
    <xf numFmtId="0" fontId="75" fillId="0" borderId="80" xfId="15" applyFont="1" applyBorder="1" applyAlignment="1">
      <alignment horizontal="center" vertical="center" wrapText="1"/>
    </xf>
    <xf numFmtId="3" fontId="97" fillId="17" borderId="80" xfId="15" applyNumberFormat="1" applyFont="1" applyFill="1" applyBorder="1" applyAlignment="1">
      <alignment horizontal="right" vertical="center" wrapText="1"/>
    </xf>
    <xf numFmtId="3" fontId="97" fillId="17" borderId="80" xfId="15" applyNumberFormat="1" applyFont="1" applyFill="1" applyBorder="1" applyAlignment="1">
      <alignment horizontal="right" vertical="top" wrapText="1"/>
    </xf>
    <xf numFmtId="0" fontId="46" fillId="5" borderId="82" xfId="0" applyFont="1" applyFill="1" applyBorder="1" applyAlignment="1">
      <alignment horizontal="center"/>
    </xf>
    <xf numFmtId="3" fontId="42" fillId="5" borderId="70" xfId="0" applyNumberFormat="1" applyFont="1" applyFill="1" applyBorder="1"/>
    <xf numFmtId="0" fontId="46" fillId="5" borderId="80" xfId="0" applyFont="1" applyFill="1" applyBorder="1" applyAlignment="1">
      <alignment horizontal="center"/>
    </xf>
    <xf numFmtId="3" fontId="42" fillId="5" borderId="80" xfId="0" applyNumberFormat="1" applyFont="1" applyFill="1" applyBorder="1"/>
    <xf numFmtId="3" fontId="46" fillId="5" borderId="80" xfId="0" applyNumberFormat="1" applyFont="1" applyFill="1" applyBorder="1"/>
    <xf numFmtId="1" fontId="35" fillId="0" borderId="82" xfId="0" applyNumberFormat="1" applyFont="1" applyFill="1" applyBorder="1" applyAlignment="1">
      <alignment horizontal="center" vertical="center" wrapText="1"/>
    </xf>
    <xf numFmtId="3" fontId="34" fillId="0" borderId="34" xfId="0" applyNumberFormat="1" applyFont="1" applyBorder="1" applyAlignment="1">
      <alignment horizontal="right" vertical="center" wrapText="1"/>
    </xf>
    <xf numFmtId="3" fontId="34" fillId="0" borderId="70" xfId="0" applyNumberFormat="1" applyFont="1" applyBorder="1" applyAlignment="1">
      <alignment horizontal="right" vertical="center" wrapText="1"/>
    </xf>
    <xf numFmtId="3" fontId="35" fillId="0" borderId="29" xfId="0" applyNumberFormat="1" applyFont="1" applyBorder="1" applyAlignment="1">
      <alignment horizontal="right" vertical="center" wrapText="1"/>
    </xf>
    <xf numFmtId="3" fontId="34" fillId="0" borderId="29" xfId="0" applyNumberFormat="1" applyFont="1" applyBorder="1" applyAlignment="1">
      <alignment horizontal="right" vertical="center" wrapText="1"/>
    </xf>
    <xf numFmtId="3" fontId="35" fillId="0" borderId="34" xfId="0" applyNumberFormat="1" applyFont="1" applyBorder="1" applyAlignment="1">
      <alignment horizontal="right" vertical="center" wrapText="1"/>
    </xf>
    <xf numFmtId="3" fontId="34" fillId="0" borderId="47" xfId="0" applyNumberFormat="1" applyFont="1" applyBorder="1" applyAlignment="1">
      <alignment horizontal="right" vertical="center" wrapText="1"/>
    </xf>
    <xf numFmtId="167" fontId="34" fillId="0" borderId="34" xfId="0" applyNumberFormat="1" applyFont="1" applyBorder="1" applyAlignment="1">
      <alignment horizontal="right" vertical="center" wrapText="1"/>
    </xf>
    <xf numFmtId="167" fontId="34" fillId="0" borderId="70" xfId="0" applyNumberFormat="1" applyFont="1" applyBorder="1" applyAlignment="1">
      <alignment horizontal="right" vertical="center"/>
    </xf>
    <xf numFmtId="167" fontId="34" fillId="0" borderId="29" xfId="0" applyNumberFormat="1" applyFont="1" applyBorder="1" applyAlignment="1">
      <alignment horizontal="right" vertical="center"/>
    </xf>
    <xf numFmtId="1" fontId="48" fillId="0" borderId="80" xfId="0" applyNumberFormat="1" applyFont="1" applyFill="1" applyBorder="1" applyAlignment="1">
      <alignment horizontal="center" vertical="center" wrapText="1"/>
    </xf>
    <xf numFmtId="3" fontId="47" fillId="0" borderId="80" xfId="0" applyNumberFormat="1" applyFont="1" applyBorder="1" applyAlignment="1">
      <alignment horizontal="right" vertical="center" wrapText="1"/>
    </xf>
    <xf numFmtId="3" fontId="48" fillId="0" borderId="80" xfId="0" applyNumberFormat="1" applyFont="1" applyBorder="1" applyAlignment="1">
      <alignment horizontal="right" vertical="center" wrapText="1"/>
    </xf>
    <xf numFmtId="3" fontId="47" fillId="6" borderId="80" xfId="0" applyNumberFormat="1" applyFont="1" applyFill="1" applyBorder="1" applyAlignment="1">
      <alignment horizontal="right" vertical="center" wrapText="1"/>
    </xf>
    <xf numFmtId="167" fontId="47" fillId="0" borderId="80" xfId="0" applyNumberFormat="1" applyFont="1" applyBorder="1" applyAlignment="1">
      <alignment horizontal="right" vertical="center" wrapText="1"/>
    </xf>
    <xf numFmtId="167" fontId="47" fillId="0" borderId="80" xfId="0" applyNumberFormat="1" applyFont="1" applyBorder="1" applyAlignment="1">
      <alignment horizontal="right" vertical="center"/>
    </xf>
    <xf numFmtId="1" fontId="35" fillId="0" borderId="80" xfId="0" applyNumberFormat="1" applyFont="1" applyFill="1" applyBorder="1" applyAlignment="1">
      <alignment horizontal="center" vertical="center" wrapText="1"/>
    </xf>
    <xf numFmtId="3" fontId="34" fillId="0" borderId="80" xfId="0" applyNumberFormat="1" applyFont="1" applyBorder="1" applyAlignment="1">
      <alignment horizontal="center" vertical="center" wrapText="1"/>
    </xf>
    <xf numFmtId="3" fontId="35" fillId="0" borderId="80" xfId="0" applyNumberFormat="1" applyFont="1" applyBorder="1" applyAlignment="1">
      <alignment horizontal="center" vertical="center" wrapText="1"/>
    </xf>
    <xf numFmtId="3" fontId="34" fillId="4" borderId="80" xfId="0" applyNumberFormat="1" applyFont="1" applyFill="1" applyBorder="1" applyAlignment="1">
      <alignment horizontal="center" vertical="center" wrapText="1"/>
    </xf>
    <xf numFmtId="3" fontId="34" fillId="0" borderId="80" xfId="0" applyNumberFormat="1" applyFont="1" applyBorder="1" applyAlignment="1">
      <alignment horizontal="center" vertical="center"/>
    </xf>
    <xf numFmtId="1" fontId="195" fillId="0" borderId="80" xfId="0" applyNumberFormat="1" applyFont="1" applyFill="1" applyBorder="1" applyAlignment="1">
      <alignment horizontal="center" vertical="center" wrapText="1"/>
    </xf>
    <xf numFmtId="3" fontId="196" fillId="0" borderId="80" xfId="0" applyNumberFormat="1" applyFont="1" applyBorder="1" applyAlignment="1">
      <alignment horizontal="center" vertical="center" wrapText="1"/>
    </xf>
    <xf numFmtId="3" fontId="195" fillId="0" borderId="80" xfId="0" applyNumberFormat="1" applyFont="1" applyBorder="1" applyAlignment="1">
      <alignment horizontal="center" vertical="center" wrapText="1"/>
    </xf>
    <xf numFmtId="3" fontId="196" fillId="0" borderId="80" xfId="0" applyNumberFormat="1" applyFont="1" applyFill="1" applyBorder="1" applyAlignment="1">
      <alignment horizontal="center" vertical="center" wrapText="1"/>
    </xf>
    <xf numFmtId="3" fontId="196" fillId="0" borderId="80" xfId="0" applyNumberFormat="1" applyFont="1" applyBorder="1" applyAlignment="1">
      <alignment horizontal="center" vertical="center"/>
    </xf>
    <xf numFmtId="0" fontId="196" fillId="0" borderId="80" xfId="0" applyFont="1" applyBorder="1" applyAlignment="1">
      <alignment horizontal="center"/>
    </xf>
    <xf numFmtId="3" fontId="196" fillId="0" borderId="9" xfId="0" applyNumberFormat="1" applyFont="1" applyBorder="1"/>
    <xf numFmtId="0" fontId="195" fillId="50" borderId="15" xfId="0" applyFont="1" applyFill="1" applyBorder="1" applyAlignment="1">
      <alignment horizontal="center"/>
    </xf>
    <xf numFmtId="3" fontId="196" fillId="50" borderId="9" xfId="0" applyNumberFormat="1" applyFont="1" applyFill="1" applyBorder="1"/>
    <xf numFmtId="3" fontId="34" fillId="50" borderId="2" xfId="0" applyNumberFormat="1" applyFont="1" applyFill="1" applyBorder="1"/>
    <xf numFmtId="3" fontId="35" fillId="50" borderId="10" xfId="0" applyNumberFormat="1" applyFont="1" applyFill="1" applyBorder="1"/>
    <xf numFmtId="3" fontId="34" fillId="50" borderId="9" xfId="0" applyNumberFormat="1" applyFont="1" applyFill="1" applyBorder="1"/>
    <xf numFmtId="3" fontId="35" fillId="50" borderId="18" xfId="0" applyNumberFormat="1" applyFont="1" applyFill="1" applyBorder="1"/>
    <xf numFmtId="3" fontId="53" fillId="50" borderId="18" xfId="0" applyNumberFormat="1" applyFont="1" applyFill="1" applyBorder="1"/>
    <xf numFmtId="0" fontId="195" fillId="0" borderId="15" xfId="0" applyFont="1" applyFill="1" applyBorder="1" applyAlignment="1">
      <alignment horizontal="center"/>
    </xf>
    <xf numFmtId="3" fontId="10" fillId="51" borderId="0" xfId="0" applyNumberFormat="1" applyFont="1" applyFill="1"/>
    <xf numFmtId="3" fontId="43" fillId="51" borderId="0" xfId="0" applyNumberFormat="1" applyFont="1" applyFill="1"/>
    <xf numFmtId="164" fontId="44" fillId="0" borderId="0" xfId="0" applyNumberFormat="1" applyFont="1" applyFill="1"/>
    <xf numFmtId="0" fontId="43" fillId="5" borderId="15" xfId="0" applyFont="1" applyFill="1" applyBorder="1" applyAlignment="1">
      <alignment horizontal="center"/>
    </xf>
    <xf numFmtId="3" fontId="197" fillId="0" borderId="0" xfId="0" applyNumberFormat="1" applyFont="1"/>
    <xf numFmtId="0" fontId="53" fillId="17" borderId="0" xfId="0" applyFont="1" applyFill="1" applyAlignment="1">
      <alignment horizontal="center"/>
    </xf>
    <xf numFmtId="169" fontId="53" fillId="17" borderId="0" xfId="0" applyNumberFormat="1" applyFont="1" applyFill="1" applyAlignment="1">
      <alignment horizontal="center"/>
    </xf>
    <xf numFmtId="0" fontId="50" fillId="6" borderId="72" xfId="15" applyFont="1" applyFill="1" applyBorder="1" applyAlignment="1">
      <alignment horizontal="center" vertical="center" wrapText="1"/>
    </xf>
    <xf numFmtId="0" fontId="34" fillId="0" borderId="78" xfId="0" applyFont="1" applyBorder="1" applyAlignment="1">
      <alignment horizontal="right" vertical="top" wrapText="1"/>
    </xf>
    <xf numFmtId="0" fontId="10" fillId="0" borderId="0" xfId="15" applyFont="1" applyAlignment="1">
      <alignment wrapText="1"/>
    </xf>
    <xf numFmtId="3" fontId="198" fillId="0" borderId="0" xfId="15" applyNumberFormat="1" applyFont="1" applyBorder="1" applyAlignment="1">
      <alignment horizontal="right" vertical="top" wrapText="1"/>
    </xf>
    <xf numFmtId="165" fontId="53" fillId="0" borderId="0" xfId="0" applyNumberFormat="1" applyFont="1"/>
    <xf numFmtId="0" fontId="43" fillId="17" borderId="0" xfId="15" applyFont="1" applyFill="1" applyAlignment="1">
      <alignment horizontal="center" wrapText="1"/>
    </xf>
    <xf numFmtId="0" fontId="21" fillId="17" borderId="0" xfId="15" applyFont="1" applyFill="1" applyAlignment="1">
      <alignment wrapText="1"/>
    </xf>
    <xf numFmtId="3" fontId="21" fillId="17" borderId="0" xfId="15" applyNumberFormat="1" applyFont="1" applyFill="1" applyAlignment="1">
      <alignment wrapText="1"/>
    </xf>
    <xf numFmtId="9" fontId="198" fillId="0" borderId="0" xfId="16" applyFont="1" applyBorder="1" applyAlignment="1">
      <alignment horizontal="right" vertical="top" wrapText="1"/>
    </xf>
    <xf numFmtId="0" fontId="200" fillId="0" borderId="0" xfId="0" applyFont="1" applyAlignment="1">
      <alignment horizontal="center"/>
    </xf>
    <xf numFmtId="0" fontId="201" fillId="0" borderId="0" xfId="0" applyFont="1" applyAlignment="1">
      <alignment horizontal="center"/>
    </xf>
    <xf numFmtId="169" fontId="201" fillId="0" borderId="0" xfId="0" applyNumberFormat="1" applyFont="1" applyAlignment="1">
      <alignment horizontal="center"/>
    </xf>
    <xf numFmtId="9" fontId="201" fillId="0" borderId="0" xfId="1" applyFont="1" applyAlignment="1">
      <alignment horizontal="center"/>
    </xf>
    <xf numFmtId="0" fontId="61" fillId="17" borderId="0" xfId="0" applyFont="1" applyFill="1" applyAlignment="1">
      <alignment horizontal="center"/>
    </xf>
    <xf numFmtId="0" fontId="96" fillId="0" borderId="80" xfId="15" applyFont="1" applyBorder="1" applyAlignment="1">
      <alignment horizontal="center" vertical="center" wrapText="1"/>
    </xf>
    <xf numFmtId="3" fontId="93" fillId="19" borderId="80" xfId="15" applyNumberFormat="1" applyFont="1" applyFill="1" applyBorder="1" applyAlignment="1">
      <alignment horizontal="right" vertical="center" wrapText="1"/>
    </xf>
    <xf numFmtId="3" fontId="92" fillId="0" borderId="80" xfId="15" applyNumberFormat="1" applyFont="1" applyBorder="1" applyAlignment="1">
      <alignment horizontal="right" vertical="center" wrapText="1"/>
    </xf>
    <xf numFmtId="3" fontId="94" fillId="4" borderId="80" xfId="15" applyNumberFormat="1" applyFont="1" applyFill="1" applyBorder="1" applyAlignment="1">
      <alignment horizontal="right" vertical="top" wrapText="1"/>
    </xf>
    <xf numFmtId="3" fontId="92" fillId="0" borderId="80" xfId="15" applyNumberFormat="1" applyFont="1" applyBorder="1" applyAlignment="1">
      <alignment horizontal="right" vertical="top" wrapText="1"/>
    </xf>
    <xf numFmtId="4" fontId="92" fillId="0" borderId="80" xfId="15" applyNumberFormat="1" applyFont="1" applyBorder="1" applyAlignment="1">
      <alignment horizontal="right" vertical="center" wrapText="1"/>
    </xf>
    <xf numFmtId="3" fontId="93" fillId="0" borderId="80" xfId="15" applyNumberFormat="1" applyFont="1" applyFill="1" applyBorder="1" applyAlignment="1">
      <alignment horizontal="right" vertical="top" wrapText="1"/>
    </xf>
    <xf numFmtId="0" fontId="202" fillId="0" borderId="0" xfId="0" applyFont="1"/>
    <xf numFmtId="0" fontId="203" fillId="0" borderId="0" xfId="0" applyFont="1"/>
    <xf numFmtId="0" fontId="204" fillId="0" borderId="2" xfId="0" applyFont="1" applyBorder="1" applyAlignment="1">
      <alignment horizontal="center" vertical="center"/>
    </xf>
    <xf numFmtId="0" fontId="204" fillId="0" borderId="2" xfId="0" applyFont="1" applyBorder="1" applyAlignment="1">
      <alignment horizontal="center" vertical="center" wrapText="1"/>
    </xf>
    <xf numFmtId="3" fontId="202" fillId="0" borderId="0" xfId="0" applyNumberFormat="1" applyFont="1"/>
    <xf numFmtId="0" fontId="168" fillId="4" borderId="2" xfId="0" applyFont="1" applyFill="1" applyBorder="1" applyAlignment="1">
      <alignment horizontal="center" vertical="center"/>
    </xf>
    <xf numFmtId="0" fontId="169" fillId="4" borderId="2" xfId="0" applyFont="1" applyFill="1" applyBorder="1" applyAlignment="1">
      <alignment vertical="center" wrapText="1"/>
    </xf>
    <xf numFmtId="3" fontId="168" fillId="4" borderId="2" xfId="0" applyNumberFormat="1" applyFont="1" applyFill="1" applyBorder="1" applyAlignment="1">
      <alignment horizontal="right" vertical="center"/>
    </xf>
    <xf numFmtId="0" fontId="202" fillId="0" borderId="2" xfId="0" applyFont="1" applyBorder="1" applyAlignment="1">
      <alignment horizontal="center" vertical="center"/>
    </xf>
    <xf numFmtId="0" fontId="205" fillId="0" borderId="2" xfId="0" applyFont="1" applyBorder="1" applyAlignment="1">
      <alignment vertical="center" wrapText="1"/>
    </xf>
    <xf numFmtId="3" fontId="202" fillId="0" borderId="2" xfId="0" applyNumberFormat="1" applyFont="1" applyBorder="1" applyAlignment="1">
      <alignment horizontal="right" vertical="center"/>
    </xf>
    <xf numFmtId="3" fontId="205" fillId="0" borderId="2" xfId="0" applyNumberFormat="1" applyFont="1" applyBorder="1" applyAlignment="1">
      <alignment horizontal="right" vertical="center"/>
    </xf>
    <xf numFmtId="0" fontId="205" fillId="0" borderId="2" xfId="0" applyFont="1" applyBorder="1" applyAlignment="1">
      <alignment horizontal="right" vertical="center"/>
    </xf>
    <xf numFmtId="0" fontId="203" fillId="0" borderId="2" xfId="0" applyFont="1" applyBorder="1" applyAlignment="1">
      <alignment horizontal="center" vertical="center"/>
    </xf>
    <xf numFmtId="0" fontId="206" fillId="0" borderId="2" xfId="0" applyFont="1" applyBorder="1" applyAlignment="1">
      <alignment horizontal="left" vertical="center" wrapText="1" indent="2"/>
    </xf>
    <xf numFmtId="3" fontId="206" fillId="0" borderId="2" xfId="0" applyNumberFormat="1" applyFont="1" applyBorder="1" applyAlignment="1">
      <alignment horizontal="right" vertical="center"/>
    </xf>
    <xf numFmtId="0" fontId="168" fillId="19" borderId="2" xfId="0" applyFont="1" applyFill="1" applyBorder="1" applyAlignment="1">
      <alignment horizontal="center" vertical="center"/>
    </xf>
    <xf numFmtId="0" fontId="168" fillId="19" borderId="2" xfId="0" applyFont="1" applyFill="1" applyBorder="1" applyAlignment="1">
      <alignment vertical="center"/>
    </xf>
    <xf numFmtId="3" fontId="168" fillId="19" borderId="2" xfId="0" applyNumberFormat="1" applyFont="1" applyFill="1" applyBorder="1" applyAlignment="1">
      <alignment horizontal="right" vertical="center"/>
    </xf>
    <xf numFmtId="1" fontId="202" fillId="0" borderId="0" xfId="0" applyNumberFormat="1" applyFont="1"/>
    <xf numFmtId="3" fontId="207" fillId="4" borderId="2" xfId="0" applyNumberFormat="1" applyFont="1" applyFill="1" applyBorder="1" applyAlignment="1">
      <alignment horizontal="right" vertical="center"/>
    </xf>
    <xf numFmtId="3" fontId="208" fillId="0" borderId="2" xfId="0" applyNumberFormat="1" applyFont="1" applyBorder="1" applyAlignment="1">
      <alignment horizontal="right" vertical="center"/>
    </xf>
    <xf numFmtId="3" fontId="207" fillId="19" borderId="2" xfId="0" applyNumberFormat="1" applyFont="1" applyFill="1" applyBorder="1" applyAlignment="1">
      <alignment horizontal="right" vertical="center"/>
    </xf>
    <xf numFmtId="4" fontId="202" fillId="0" borderId="0" xfId="0" applyNumberFormat="1" applyFont="1"/>
    <xf numFmtId="0" fontId="202" fillId="0" borderId="0" xfId="0" applyFont="1" applyAlignment="1">
      <alignment horizontal="center"/>
    </xf>
    <xf numFmtId="164" fontId="202" fillId="0" borderId="0" xfId="0" applyNumberFormat="1" applyFont="1"/>
    <xf numFmtId="164" fontId="168" fillId="0" borderId="0" xfId="0" applyNumberFormat="1" applyFont="1"/>
    <xf numFmtId="0" fontId="204" fillId="0" borderId="69" xfId="0" applyFont="1" applyBorder="1" applyAlignment="1">
      <alignment horizontal="center" vertical="center"/>
    </xf>
    <xf numFmtId="0" fontId="204" fillId="0" borderId="69" xfId="0" applyFont="1" applyBorder="1" applyAlignment="1">
      <alignment horizontal="center" vertical="center" wrapText="1"/>
    </xf>
    <xf numFmtId="0" fontId="202" fillId="0" borderId="69" xfId="0" applyFont="1" applyBorder="1"/>
    <xf numFmtId="0" fontId="202" fillId="0" borderId="69" xfId="0" applyFont="1" applyBorder="1" applyAlignment="1">
      <alignment wrapText="1"/>
    </xf>
    <xf numFmtId="3" fontId="202" fillId="0" borderId="69" xfId="0" applyNumberFormat="1" applyFont="1" applyBorder="1" applyAlignment="1">
      <alignment vertical="center" wrapText="1"/>
    </xf>
    <xf numFmtId="169" fontId="202" fillId="0" borderId="69" xfId="12" applyNumberFormat="1" applyFont="1" applyBorder="1" applyAlignment="1">
      <alignment vertical="center" wrapText="1"/>
    </xf>
    <xf numFmtId="0" fontId="202" fillId="0" borderId="69" xfId="0" applyFont="1" applyBorder="1" applyAlignment="1">
      <alignment horizontal="left" wrapText="1"/>
    </xf>
    <xf numFmtId="167" fontId="202" fillId="0" borderId="69" xfId="0" applyNumberFormat="1" applyFont="1" applyBorder="1" applyAlignment="1">
      <alignment vertical="center" wrapText="1"/>
    </xf>
    <xf numFmtId="0" fontId="168" fillId="0" borderId="69" xfId="0" applyFont="1" applyBorder="1" applyAlignment="1">
      <alignment wrapText="1"/>
    </xf>
    <xf numFmtId="9" fontId="202" fillId="0" borderId="69" xfId="1" applyFont="1" applyBorder="1" applyAlignment="1">
      <alignment vertical="center" wrapText="1"/>
    </xf>
    <xf numFmtId="0" fontId="202" fillId="0" borderId="69" xfId="0" applyFont="1" applyBorder="1" applyAlignment="1">
      <alignment horizontal="center" vertical="top" wrapText="1"/>
    </xf>
    <xf numFmtId="0" fontId="202" fillId="0" borderId="69" xfId="0" applyFont="1" applyBorder="1" applyAlignment="1">
      <alignment horizontal="left" vertical="top" wrapText="1"/>
    </xf>
    <xf numFmtId="165" fontId="202" fillId="0" borderId="69" xfId="1" applyNumberFormat="1" applyFont="1" applyBorder="1" applyAlignment="1">
      <alignment vertical="center" wrapText="1"/>
    </xf>
    <xf numFmtId="0" fontId="168" fillId="0" borderId="69" xfId="0" applyFont="1" applyBorder="1" applyAlignment="1">
      <alignment horizontal="center" vertical="top" wrapText="1"/>
    </xf>
    <xf numFmtId="9" fontId="168" fillId="0" borderId="69" xfId="1" applyFont="1" applyBorder="1" applyAlignment="1">
      <alignment vertical="center" wrapText="1"/>
    </xf>
    <xf numFmtId="165" fontId="168" fillId="0" borderId="69" xfId="1" applyNumberFormat="1" applyFont="1" applyBorder="1" applyAlignment="1">
      <alignment vertical="center" wrapText="1"/>
    </xf>
    <xf numFmtId="3" fontId="168" fillId="0" borderId="69" xfId="0" applyNumberFormat="1" applyFont="1" applyBorder="1" applyAlignment="1">
      <alignment vertical="center" wrapText="1"/>
    </xf>
    <xf numFmtId="169" fontId="168" fillId="0" borderId="69" xfId="12" applyNumberFormat="1" applyFont="1" applyBorder="1" applyAlignment="1">
      <alignment vertical="center" wrapText="1"/>
    </xf>
    <xf numFmtId="0" fontId="168" fillId="0" borderId="69" xfId="0" applyFont="1" applyBorder="1" applyAlignment="1">
      <alignment horizontal="center" wrapText="1"/>
    </xf>
    <xf numFmtId="0" fontId="202" fillId="0" borderId="80" xfId="0" applyFont="1" applyBorder="1"/>
    <xf numFmtId="0" fontId="204" fillId="17" borderId="80" xfId="0" applyFont="1" applyFill="1" applyBorder="1" applyAlignment="1">
      <alignment horizontal="center"/>
    </xf>
    <xf numFmtId="0" fontId="199" fillId="0" borderId="0" xfId="0" applyFont="1"/>
    <xf numFmtId="0" fontId="209" fillId="0" borderId="2" xfId="0" applyFont="1" applyBorder="1" applyAlignment="1">
      <alignment horizontal="center" vertical="center" wrapText="1"/>
    </xf>
    <xf numFmtId="0" fontId="62" fillId="11" borderId="78" xfId="0" applyFont="1" applyFill="1" applyBorder="1"/>
    <xf numFmtId="0" fontId="62" fillId="11" borderId="80" xfId="0" quotePrefix="1" applyFont="1" applyFill="1" applyBorder="1" applyAlignment="1">
      <alignment horizontal="right"/>
    </xf>
    <xf numFmtId="0" fontId="157" fillId="0" borderId="80" xfId="8" applyFont="1" applyBorder="1" applyAlignment="1">
      <alignment horizontal="center" vertical="center" wrapText="1"/>
    </xf>
    <xf numFmtId="0" fontId="46" fillId="13" borderId="80" xfId="8" applyFont="1" applyFill="1" applyBorder="1" applyAlignment="1">
      <alignment horizontal="center" vertical="center"/>
    </xf>
    <xf numFmtId="167" fontId="57" fillId="0" borderId="80" xfId="8" applyNumberFormat="1" applyFont="1" applyFill="1" applyBorder="1" applyAlignment="1">
      <alignment vertical="center"/>
    </xf>
    <xf numFmtId="167" fontId="84" fillId="0" borderId="80" xfId="8" applyNumberFormat="1" applyFont="1" applyFill="1" applyBorder="1" applyAlignment="1">
      <alignment horizontal="right"/>
    </xf>
    <xf numFmtId="167" fontId="158" fillId="0" borderId="80" xfId="8" applyNumberFormat="1" applyFont="1" applyFill="1" applyBorder="1" applyAlignment="1">
      <alignment horizontal="right"/>
    </xf>
    <xf numFmtId="167" fontId="84" fillId="0" borderId="80" xfId="8" applyNumberFormat="1" applyFont="1" applyFill="1" applyBorder="1" applyAlignment="1"/>
    <xf numFmtId="167" fontId="158" fillId="0" borderId="80" xfId="8" applyNumberFormat="1" applyFont="1" applyFill="1" applyBorder="1" applyAlignment="1"/>
    <xf numFmtId="167" fontId="61" fillId="0" borderId="80" xfId="8" applyNumberFormat="1" applyFont="1" applyFill="1" applyBorder="1" applyAlignment="1"/>
    <xf numFmtId="0" fontId="35" fillId="0" borderId="80" xfId="8" applyFont="1" applyFill="1" applyBorder="1" applyAlignment="1">
      <alignment horizontal="left" indent="1"/>
    </xf>
    <xf numFmtId="0" fontId="53" fillId="0" borderId="80" xfId="8" applyFont="1" applyBorder="1" applyAlignment="1">
      <alignment horizontal="center"/>
    </xf>
    <xf numFmtId="0" fontId="31" fillId="0" borderId="0" xfId="0" applyFont="1" applyBorder="1" applyAlignment="1">
      <alignment horizontal="right" vertical="center" wrapText="1"/>
    </xf>
    <xf numFmtId="0" fontId="53" fillId="0" borderId="80" xfId="0" applyFont="1" applyBorder="1" applyAlignment="1">
      <alignment horizontal="center"/>
    </xf>
    <xf numFmtId="3" fontId="53" fillId="0" borderId="80" xfId="0" applyNumberFormat="1" applyFont="1" applyBorder="1"/>
    <xf numFmtId="0" fontId="53" fillId="0" borderId="80" xfId="0" applyFont="1" applyBorder="1"/>
    <xf numFmtId="167" fontId="53" fillId="0" borderId="0" xfId="0" applyNumberFormat="1" applyFont="1"/>
    <xf numFmtId="0" fontId="53" fillId="52" borderId="80" xfId="0" applyFont="1" applyFill="1" applyBorder="1"/>
    <xf numFmtId="0" fontId="62" fillId="11" borderId="72" xfId="0" applyFont="1" applyFill="1" applyBorder="1"/>
    <xf numFmtId="0" fontId="62" fillId="52" borderId="72" xfId="0" applyFont="1" applyFill="1" applyBorder="1"/>
    <xf numFmtId="0" fontId="53" fillId="52" borderId="72" xfId="0" applyFont="1" applyFill="1" applyBorder="1"/>
    <xf numFmtId="0" fontId="53" fillId="52" borderId="73" xfId="0" applyFont="1" applyFill="1" applyBorder="1"/>
    <xf numFmtId="3" fontId="34" fillId="0" borderId="0" xfId="0" applyNumberFormat="1" applyFont="1" applyFill="1"/>
    <xf numFmtId="0" fontId="35" fillId="0" borderId="0" xfId="0" applyFont="1" applyFill="1" applyAlignment="1">
      <alignment horizontal="center"/>
    </xf>
    <xf numFmtId="3" fontId="35" fillId="0" borderId="0" xfId="0" applyNumberFormat="1" applyFont="1" applyFill="1"/>
    <xf numFmtId="0" fontId="210" fillId="0" borderId="80" xfId="0" applyFont="1" applyFill="1" applyBorder="1" applyAlignment="1">
      <alignment horizontal="center"/>
    </xf>
    <xf numFmtId="3" fontId="198" fillId="0" borderId="80" xfId="0" applyNumberFormat="1" applyFont="1" applyFill="1" applyBorder="1"/>
    <xf numFmtId="3" fontId="210" fillId="0" borderId="80" xfId="0" applyNumberFormat="1" applyFont="1" applyFill="1" applyBorder="1"/>
    <xf numFmtId="3" fontId="201" fillId="0" borderId="80" xfId="0" applyNumberFormat="1" applyFont="1" applyFill="1" applyBorder="1"/>
    <xf numFmtId="0" fontId="198" fillId="0" borderId="80" xfId="0" applyFont="1" applyFill="1" applyBorder="1"/>
    <xf numFmtId="0" fontId="88" fillId="4" borderId="0" xfId="0" applyFont="1" applyFill="1" applyBorder="1"/>
    <xf numFmtId="3" fontId="53" fillId="4" borderId="0" xfId="0" applyNumberFormat="1" applyFont="1" applyFill="1" applyBorder="1"/>
    <xf numFmtId="3" fontId="56" fillId="4" borderId="0" xfId="0" applyNumberFormat="1" applyFont="1" applyFill="1" applyBorder="1"/>
    <xf numFmtId="0" fontId="88" fillId="4" borderId="42" xfId="0" applyFont="1" applyFill="1" applyBorder="1"/>
    <xf numFmtId="167" fontId="53" fillId="4" borderId="0" xfId="0" applyNumberFormat="1" applyFont="1" applyFill="1" applyBorder="1"/>
    <xf numFmtId="9" fontId="42" fillId="0" borderId="0" xfId="16" applyFont="1" applyBorder="1" applyAlignment="1">
      <alignment horizontal="right" vertical="top" wrapText="1"/>
    </xf>
    <xf numFmtId="0" fontId="42" fillId="0" borderId="0" xfId="0" applyFont="1" applyAlignment="1">
      <alignment wrapText="1"/>
    </xf>
    <xf numFmtId="3" fontId="42" fillId="0" borderId="0" xfId="15" applyNumberFormat="1" applyFont="1" applyBorder="1" applyAlignment="1">
      <alignment horizontal="right" vertical="top" wrapText="1"/>
    </xf>
    <xf numFmtId="1" fontId="42" fillId="0" borderId="0" xfId="15" applyNumberFormat="1" applyFont="1" applyBorder="1" applyAlignment="1">
      <alignment horizontal="right" vertical="top" wrapText="1"/>
    </xf>
    <xf numFmtId="0" fontId="42" fillId="0" borderId="0" xfId="15" applyFont="1" applyBorder="1" applyAlignment="1">
      <alignment horizontal="right" vertical="top" wrapText="1"/>
    </xf>
    <xf numFmtId="0" fontId="9" fillId="0" borderId="0" xfId="15" applyFont="1" applyAlignment="1">
      <alignment wrapText="1"/>
    </xf>
    <xf numFmtId="0" fontId="42" fillId="0" borderId="0" xfId="15" applyFont="1" applyAlignment="1">
      <alignment wrapText="1"/>
    </xf>
    <xf numFmtId="0" fontId="35" fillId="16" borderId="0" xfId="112" applyFont="1" applyFill="1" applyBorder="1" applyAlignment="1">
      <alignment horizontal="center" vertical="center" wrapText="1"/>
    </xf>
    <xf numFmtId="0" fontId="56" fillId="16" borderId="69" xfId="112" applyFont="1" applyFill="1" applyBorder="1" applyAlignment="1">
      <alignment horizontal="center" vertical="center" wrapText="1"/>
    </xf>
    <xf numFmtId="0" fontId="88" fillId="16" borderId="69" xfId="112" applyFont="1" applyFill="1" applyBorder="1" applyAlignment="1">
      <alignment horizontal="center" vertical="center" wrapText="1"/>
    </xf>
    <xf numFmtId="0" fontId="21" fillId="0" borderId="65" xfId="15" applyFont="1" applyBorder="1" applyAlignment="1">
      <alignment wrapText="1"/>
    </xf>
    <xf numFmtId="0" fontId="8" fillId="0" borderId="0" xfId="15" applyFont="1" applyAlignment="1">
      <alignment wrapText="1"/>
    </xf>
    <xf numFmtId="0" fontId="213" fillId="0" borderId="0" xfId="15" applyFont="1" applyAlignment="1">
      <alignment wrapText="1"/>
    </xf>
    <xf numFmtId="167" fontId="42" fillId="0" borderId="0" xfId="15" applyNumberFormat="1" applyFont="1" applyBorder="1" applyAlignment="1">
      <alignment horizontal="right" vertical="top" wrapText="1"/>
    </xf>
    <xf numFmtId="3" fontId="112" fillId="17" borderId="2" xfId="15" applyNumberFormat="1" applyFont="1" applyFill="1" applyBorder="1" applyAlignment="1">
      <alignment horizontal="right" vertical="center" wrapText="1"/>
    </xf>
    <xf numFmtId="3" fontId="198" fillId="3" borderId="0" xfId="15" applyNumberFormat="1" applyFont="1" applyFill="1" applyBorder="1" applyAlignment="1">
      <alignment horizontal="right" vertical="top" wrapText="1"/>
    </xf>
    <xf numFmtId="0" fontId="168" fillId="4" borderId="80" xfId="0" applyFont="1" applyFill="1" applyBorder="1" applyAlignment="1">
      <alignment horizontal="center" vertical="center"/>
    </xf>
    <xf numFmtId="0" fontId="169" fillId="4" borderId="80" xfId="0" applyFont="1" applyFill="1" applyBorder="1" applyAlignment="1">
      <alignment vertical="center" wrapText="1"/>
    </xf>
    <xf numFmtId="3" fontId="168" fillId="4" borderId="80" xfId="0" applyNumberFormat="1" applyFont="1" applyFill="1" applyBorder="1" applyAlignment="1">
      <alignment horizontal="right" vertical="center"/>
    </xf>
    <xf numFmtId="0" fontId="214" fillId="0" borderId="0" xfId="0" applyFont="1" applyFill="1" applyBorder="1" applyAlignment="1">
      <alignment horizontal="center" vertical="center" wrapText="1"/>
    </xf>
    <xf numFmtId="0" fontId="214" fillId="0" borderId="0" xfId="0" applyFont="1" applyFill="1" applyBorder="1" applyAlignment="1">
      <alignment vertical="center"/>
    </xf>
    <xf numFmtId="3" fontId="215" fillId="0" borderId="0" xfId="0" applyNumberFormat="1" applyFont="1" applyFill="1" applyBorder="1" applyAlignment="1">
      <alignment horizontal="right" vertical="center"/>
    </xf>
    <xf numFmtId="9" fontId="215" fillId="0" borderId="0" xfId="1" applyFont="1" applyFill="1" applyBorder="1" applyAlignment="1">
      <alignment horizontal="right" vertical="center"/>
    </xf>
    <xf numFmtId="3" fontId="223" fillId="0" borderId="0" xfId="0" applyNumberFormat="1" applyFont="1" applyFill="1" applyBorder="1" applyAlignment="1">
      <alignment horizontal="right" vertical="center"/>
    </xf>
    <xf numFmtId="9" fontId="223" fillId="0" borderId="0" xfId="1" applyFont="1" applyFill="1" applyBorder="1" applyAlignment="1">
      <alignment horizontal="right" vertical="center"/>
    </xf>
    <xf numFmtId="0" fontId="214" fillId="0" borderId="0" xfId="0" applyFont="1" applyFill="1" applyBorder="1" applyAlignment="1">
      <alignment vertical="center" wrapText="1"/>
    </xf>
    <xf numFmtId="3" fontId="223" fillId="0" borderId="0" xfId="0" applyNumberFormat="1" applyFont="1" applyFill="1" applyBorder="1" applyAlignment="1">
      <alignment horizontal="right" vertical="center" wrapText="1"/>
    </xf>
    <xf numFmtId="0" fontId="216" fillId="0" borderId="0" xfId="0" applyFont="1" applyFill="1" applyBorder="1" applyAlignment="1">
      <alignment vertical="center" wrapText="1"/>
    </xf>
    <xf numFmtId="3" fontId="217" fillId="0" borderId="0" xfId="0" applyNumberFormat="1" applyFont="1" applyFill="1" applyBorder="1" applyAlignment="1">
      <alignment horizontal="right" vertical="center"/>
    </xf>
    <xf numFmtId="0" fontId="218" fillId="0" borderId="0" xfId="0" applyFont="1" applyFill="1" applyBorder="1" applyAlignment="1">
      <alignment vertical="center" wrapText="1"/>
    </xf>
    <xf numFmtId="3" fontId="219" fillId="0" borderId="0" xfId="0" applyNumberFormat="1" applyFont="1" applyFill="1" applyBorder="1" applyAlignment="1">
      <alignment horizontal="right" vertical="center"/>
    </xf>
    <xf numFmtId="3" fontId="224" fillId="0" borderId="0" xfId="0" applyNumberFormat="1" applyFont="1" applyFill="1" applyBorder="1" applyAlignment="1">
      <alignment horizontal="right" vertical="center" wrapText="1"/>
    </xf>
    <xf numFmtId="0" fontId="219" fillId="0" borderId="0" xfId="0" applyFont="1" applyFill="1" applyBorder="1" applyAlignment="1">
      <alignment horizontal="right" vertical="center"/>
    </xf>
    <xf numFmtId="0" fontId="224" fillId="0" borderId="0" xfId="0" applyFont="1" applyFill="1" applyBorder="1" applyAlignment="1">
      <alignment horizontal="right" vertical="center" wrapText="1"/>
    </xf>
    <xf numFmtId="3" fontId="224" fillId="0" borderId="0" xfId="0" applyNumberFormat="1" applyFont="1" applyFill="1" applyBorder="1" applyAlignment="1">
      <alignment horizontal="right" vertical="center"/>
    </xf>
    <xf numFmtId="0" fontId="220" fillId="0" borderId="0" xfId="0" applyFont="1" applyFill="1" applyBorder="1" applyAlignment="1">
      <alignment vertical="center" wrapText="1"/>
    </xf>
    <xf numFmtId="3" fontId="219" fillId="0" borderId="0" xfId="0" applyNumberFormat="1" applyFont="1" applyFill="1" applyBorder="1" applyAlignment="1">
      <alignment horizontal="right" vertical="center" indent="2"/>
    </xf>
    <xf numFmtId="3" fontId="224" fillId="0" borderId="0" xfId="0" applyNumberFormat="1" applyFont="1" applyFill="1" applyBorder="1" applyAlignment="1">
      <alignment horizontal="right" vertical="center" wrapText="1" indent="2"/>
    </xf>
    <xf numFmtId="0" fontId="219" fillId="0" borderId="0" xfId="0" applyFont="1" applyFill="1" applyBorder="1" applyAlignment="1">
      <alignment horizontal="right" vertical="center" indent="2"/>
    </xf>
    <xf numFmtId="0" fontId="215" fillId="0" borderId="0" xfId="0" applyFont="1" applyFill="1" applyBorder="1" applyAlignment="1">
      <alignment horizontal="right" vertical="center" indent="2"/>
    </xf>
    <xf numFmtId="3" fontId="215" fillId="0" borderId="0" xfId="0" applyNumberFormat="1" applyFont="1" applyFill="1" applyBorder="1" applyAlignment="1">
      <alignment horizontal="right" vertical="center" indent="2"/>
    </xf>
    <xf numFmtId="3" fontId="223" fillId="0" borderId="0" xfId="0" applyNumberFormat="1" applyFont="1" applyFill="1" applyBorder="1" applyAlignment="1">
      <alignment horizontal="right" vertical="center" wrapText="1" indent="2"/>
    </xf>
    <xf numFmtId="0" fontId="223" fillId="0" borderId="0" xfId="0" applyFont="1" applyFill="1" applyBorder="1" applyAlignment="1">
      <alignment horizontal="right" vertical="center" wrapText="1" indent="2"/>
    </xf>
    <xf numFmtId="0" fontId="202" fillId="0" borderId="0" xfId="0" applyFont="1" applyFill="1"/>
    <xf numFmtId="0" fontId="221" fillId="0" borderId="0" xfId="0" applyFont="1" applyFill="1"/>
    <xf numFmtId="0" fontId="170" fillId="0" borderId="0" xfId="0" applyFont="1" applyFill="1"/>
    <xf numFmtId="0" fontId="222" fillId="0" borderId="0" xfId="0" applyFont="1" applyFill="1" applyBorder="1" applyAlignment="1">
      <alignment horizontal="center" vertical="center" wrapText="1"/>
    </xf>
    <xf numFmtId="10" fontId="215" fillId="0" borderId="0" xfId="0" applyNumberFormat="1" applyFont="1" applyFill="1" applyBorder="1" applyAlignment="1">
      <alignment horizontal="right" vertical="center" wrapText="1"/>
    </xf>
    <xf numFmtId="10" fontId="223" fillId="0" borderId="0" xfId="0" applyNumberFormat="1" applyFont="1" applyFill="1" applyBorder="1" applyAlignment="1">
      <alignment horizontal="right" vertical="center" wrapText="1"/>
    </xf>
    <xf numFmtId="10" fontId="217" fillId="0" borderId="0" xfId="0" applyNumberFormat="1" applyFont="1" applyFill="1" applyBorder="1" applyAlignment="1">
      <alignment horizontal="right" vertical="center" wrapText="1"/>
    </xf>
    <xf numFmtId="10" fontId="219" fillId="0" borderId="0" xfId="0" applyNumberFormat="1" applyFont="1" applyFill="1" applyBorder="1" applyAlignment="1">
      <alignment horizontal="right" vertical="center" wrapText="1"/>
    </xf>
    <xf numFmtId="0" fontId="221" fillId="0" borderId="0" xfId="0" applyFont="1" applyFill="1" applyBorder="1"/>
    <xf numFmtId="10" fontId="224" fillId="0" borderId="0" xfId="0" applyNumberFormat="1" applyFont="1" applyFill="1" applyBorder="1" applyAlignment="1">
      <alignment horizontal="right" vertical="center" wrapText="1"/>
    </xf>
    <xf numFmtId="165" fontId="219" fillId="0" borderId="0" xfId="1" applyNumberFormat="1" applyFont="1" applyFill="1" applyBorder="1" applyAlignment="1">
      <alignment horizontal="right" vertical="center"/>
    </xf>
    <xf numFmtId="9" fontId="219" fillId="0" borderId="0" xfId="1" applyFont="1" applyFill="1" applyBorder="1" applyAlignment="1">
      <alignment horizontal="right" vertical="center"/>
    </xf>
    <xf numFmtId="9" fontId="224" fillId="0" borderId="0" xfId="1" applyFont="1" applyFill="1" applyBorder="1" applyAlignment="1">
      <alignment horizontal="right" vertical="center"/>
    </xf>
    <xf numFmtId="10" fontId="219" fillId="0" borderId="0" xfId="0" applyNumberFormat="1" applyFont="1" applyFill="1" applyBorder="1" applyAlignment="1">
      <alignment horizontal="right" vertical="center" wrapText="1" indent="2"/>
    </xf>
    <xf numFmtId="10" fontId="224" fillId="0" borderId="0" xfId="0" applyNumberFormat="1" applyFont="1" applyFill="1" applyBorder="1" applyAlignment="1">
      <alignment horizontal="right" vertical="center" wrapText="1" indent="2"/>
    </xf>
    <xf numFmtId="10" fontId="215" fillId="0" borderId="0" xfId="0" applyNumberFormat="1" applyFont="1" applyFill="1" applyBorder="1" applyAlignment="1">
      <alignment horizontal="right" vertical="center" wrapText="1" indent="2"/>
    </xf>
    <xf numFmtId="10" fontId="223" fillId="0" borderId="0" xfId="0" applyNumberFormat="1" applyFont="1" applyFill="1" applyBorder="1" applyAlignment="1">
      <alignment horizontal="right" vertical="center" wrapText="1" indent="2"/>
    </xf>
    <xf numFmtId="0" fontId="215" fillId="0" borderId="0" xfId="0" applyFont="1" applyFill="1" applyBorder="1" applyAlignment="1">
      <alignment horizontal="right" vertical="center" wrapText="1" indent="2"/>
    </xf>
    <xf numFmtId="3" fontId="202" fillId="0" borderId="0" xfId="0" applyNumberFormat="1" applyFont="1" applyFill="1"/>
    <xf numFmtId="0" fontId="170" fillId="0" borderId="80" xfId="0" applyFont="1" applyFill="1" applyBorder="1"/>
    <xf numFmtId="0" fontId="225" fillId="0" borderId="2" xfId="0" applyFont="1" applyFill="1" applyBorder="1" applyAlignment="1">
      <alignment horizontal="center" vertical="center" wrapText="1"/>
    </xf>
    <xf numFmtId="0" fontId="204" fillId="0" borderId="2" xfId="0" applyFont="1" applyFill="1" applyBorder="1" applyAlignment="1">
      <alignment horizontal="center" vertical="center" wrapText="1"/>
    </xf>
    <xf numFmtId="167" fontId="225" fillId="0" borderId="2" xfId="0" applyNumberFormat="1" applyFont="1" applyFill="1" applyBorder="1" applyAlignment="1">
      <alignment horizontal="right" vertical="center"/>
    </xf>
    <xf numFmtId="167" fontId="168" fillId="0" borderId="2" xfId="0" applyNumberFormat="1" applyFont="1" applyFill="1" applyBorder="1" applyAlignment="1">
      <alignment horizontal="right" vertical="center"/>
    </xf>
    <xf numFmtId="167" fontId="221" fillId="0" borderId="2" xfId="0" applyNumberFormat="1" applyFont="1" applyFill="1" applyBorder="1" applyAlignment="1">
      <alignment horizontal="right" vertical="center"/>
    </xf>
    <xf numFmtId="167" fontId="202" fillId="0" borderId="2" xfId="0" applyNumberFormat="1" applyFont="1" applyFill="1" applyBorder="1" applyAlignment="1">
      <alignment horizontal="right" vertical="center"/>
    </xf>
    <xf numFmtId="0" fontId="204" fillId="0" borderId="80" xfId="0" applyFont="1" applyFill="1" applyBorder="1" applyAlignment="1">
      <alignment horizontal="center"/>
    </xf>
    <xf numFmtId="0" fontId="202" fillId="0" borderId="80" xfId="0" applyFont="1" applyFill="1" applyBorder="1"/>
    <xf numFmtId="169" fontId="226" fillId="0" borderId="69" xfId="12" applyNumberFormat="1" applyFont="1" applyBorder="1" applyAlignment="1">
      <alignment vertical="center" wrapText="1"/>
    </xf>
    <xf numFmtId="3" fontId="226" fillId="0" borderId="69" xfId="0" applyNumberFormat="1" applyFont="1" applyFill="1" applyBorder="1" applyAlignment="1">
      <alignment vertical="center" wrapText="1"/>
    </xf>
    <xf numFmtId="169" fontId="226" fillId="0" borderId="69" xfId="12" applyNumberFormat="1" applyFont="1" applyFill="1" applyBorder="1" applyAlignment="1">
      <alignment vertical="center" wrapText="1"/>
    </xf>
    <xf numFmtId="167" fontId="226" fillId="0" borderId="69" xfId="0" applyNumberFormat="1" applyFont="1" applyBorder="1" applyAlignment="1">
      <alignment vertical="center" wrapText="1"/>
    </xf>
    <xf numFmtId="167" fontId="226" fillId="0" borderId="80" xfId="0" applyNumberFormat="1" applyFont="1" applyFill="1" applyBorder="1"/>
    <xf numFmtId="0" fontId="226" fillId="17" borderId="80" xfId="0" applyFont="1" applyFill="1" applyBorder="1"/>
    <xf numFmtId="0" fontId="226" fillId="0" borderId="80" xfId="0" applyFont="1" applyFill="1" applyBorder="1"/>
    <xf numFmtId="165" fontId="226" fillId="17" borderId="80" xfId="0" applyNumberFormat="1" applyFont="1" applyFill="1" applyBorder="1"/>
    <xf numFmtId="165" fontId="226" fillId="0" borderId="80" xfId="0" applyNumberFormat="1" applyFont="1" applyFill="1" applyBorder="1"/>
    <xf numFmtId="169" fontId="227" fillId="0" borderId="69" xfId="12" applyNumberFormat="1" applyFont="1" applyBorder="1" applyAlignment="1">
      <alignment vertical="center" wrapText="1"/>
    </xf>
    <xf numFmtId="43" fontId="170" fillId="0" borderId="0" xfId="12" applyFont="1" applyFill="1"/>
    <xf numFmtId="43" fontId="170" fillId="0" borderId="0" xfId="12" applyFont="1"/>
    <xf numFmtId="3" fontId="202" fillId="0" borderId="80" xfId="0" applyNumberFormat="1" applyFont="1" applyBorder="1"/>
    <xf numFmtId="3" fontId="170" fillId="0" borderId="80" xfId="0" applyNumberFormat="1" applyFont="1" applyFill="1" applyBorder="1"/>
    <xf numFmtId="4" fontId="226" fillId="0" borderId="0" xfId="0" applyNumberFormat="1" applyFont="1"/>
    <xf numFmtId="44" fontId="202" fillId="0" borderId="69" xfId="199" applyFont="1" applyBorder="1" applyAlignment="1">
      <alignment vertical="center" wrapText="1"/>
    </xf>
    <xf numFmtId="44" fontId="202" fillId="0" borderId="69" xfId="199" applyFont="1" applyFill="1" applyBorder="1" applyAlignment="1">
      <alignment vertical="center" wrapText="1"/>
    </xf>
    <xf numFmtId="44" fontId="168" fillId="0" borderId="69" xfId="199" applyFont="1" applyBorder="1" applyAlignment="1">
      <alignment vertical="center" wrapText="1"/>
    </xf>
    <xf numFmtId="0" fontId="170" fillId="51" borderId="0" xfId="0" applyFont="1" applyFill="1"/>
    <xf numFmtId="0" fontId="202" fillId="51" borderId="0" xfId="0" applyFont="1" applyFill="1"/>
    <xf numFmtId="187" fontId="202" fillId="51" borderId="0" xfId="0" applyNumberFormat="1" applyFont="1" applyFill="1"/>
    <xf numFmtId="0" fontId="229" fillId="51" borderId="0" xfId="0" applyFont="1" applyFill="1"/>
    <xf numFmtId="0" fontId="92" fillId="0" borderId="0" xfId="15" applyFont="1" applyBorder="1" applyAlignment="1">
      <alignment horizontal="left" vertical="top"/>
    </xf>
    <xf numFmtId="0" fontId="93" fillId="0" borderId="0" xfId="15" applyFont="1" applyBorder="1" applyAlignment="1">
      <alignment horizontal="left" vertical="top"/>
    </xf>
    <xf numFmtId="3" fontId="31" fillId="0" borderId="0" xfId="0" applyNumberFormat="1" applyFont="1" applyBorder="1" applyAlignment="1">
      <alignment horizontal="center" vertical="center" wrapText="1"/>
    </xf>
    <xf numFmtId="3" fontId="70" fillId="0" borderId="0" xfId="0" applyNumberFormat="1" applyFont="1" applyBorder="1" applyAlignment="1">
      <alignment horizontal="center" vertical="center" wrapText="1"/>
    </xf>
    <xf numFmtId="0" fontId="92" fillId="0" borderId="0" xfId="15" applyFont="1" applyBorder="1" applyAlignment="1">
      <alignment horizontal="left" vertical="top" wrapText="1"/>
    </xf>
    <xf numFmtId="44" fontId="93" fillId="0" borderId="0" xfId="199" applyFont="1" applyAlignment="1">
      <alignment horizontal="left" vertical="top" wrapText="1"/>
    </xf>
    <xf numFmtId="9" fontId="92" fillId="0" borderId="0" xfId="1" applyFont="1" applyAlignment="1">
      <alignment vertical="top" wrapText="1"/>
    </xf>
    <xf numFmtId="0" fontId="43" fillId="0" borderId="0" xfId="15" applyFont="1" applyAlignment="1">
      <alignment horizontal="center" vertical="top" wrapText="1"/>
    </xf>
    <xf numFmtId="0" fontId="40" fillId="3" borderId="0" xfId="0" applyFont="1" applyFill="1" applyAlignment="1">
      <alignment horizontal="center"/>
    </xf>
    <xf numFmtId="0" fontId="88" fillId="6" borderId="31" xfId="0" applyFont="1" applyFill="1" applyBorder="1" applyAlignment="1">
      <alignment horizontal="center" vertical="center"/>
    </xf>
    <xf numFmtId="0" fontId="88" fillId="6" borderId="42" xfId="0" applyFont="1" applyFill="1" applyBorder="1" applyAlignment="1">
      <alignment horizontal="center" vertical="center"/>
    </xf>
    <xf numFmtId="0" fontId="88" fillId="6" borderId="14" xfId="0" applyFont="1" applyFill="1" applyBorder="1" applyAlignment="1">
      <alignment horizontal="center" vertical="center"/>
    </xf>
    <xf numFmtId="0" fontId="88" fillId="6" borderId="17" xfId="0" applyFont="1" applyFill="1" applyBorder="1" applyAlignment="1">
      <alignment horizontal="center" vertical="center"/>
    </xf>
    <xf numFmtId="0" fontId="53" fillId="0" borderId="0" xfId="0" applyFont="1" applyAlignment="1"/>
    <xf numFmtId="0" fontId="56" fillId="17" borderId="0" xfId="0" applyFont="1" applyFill="1" applyAlignment="1"/>
    <xf numFmtId="3" fontId="56" fillId="17" borderId="0" xfId="0" applyNumberFormat="1" applyFont="1" applyFill="1" applyAlignment="1"/>
    <xf numFmtId="0" fontId="57" fillId="17" borderId="0" xfId="0" applyFont="1" applyFill="1" applyAlignment="1">
      <alignment vertical="center"/>
    </xf>
    <xf numFmtId="9" fontId="56" fillId="17" borderId="0" xfId="0" applyNumberFormat="1" applyFont="1" applyFill="1" applyAlignment="1"/>
    <xf numFmtId="169" fontId="56" fillId="17" borderId="0" xfId="0" applyNumberFormat="1" applyFont="1" applyFill="1" applyAlignment="1"/>
    <xf numFmtId="171" fontId="68" fillId="0" borderId="0" xfId="12" applyNumberFormat="1" applyFont="1" applyFill="1"/>
    <xf numFmtId="0" fontId="88" fillId="6" borderId="29" xfId="0" applyFont="1" applyFill="1" applyBorder="1" applyAlignment="1">
      <alignment horizontal="center" vertical="center"/>
    </xf>
    <xf numFmtId="164" fontId="53" fillId="0" borderId="80" xfId="0" applyNumberFormat="1" applyFont="1" applyBorder="1" applyAlignment="1">
      <alignment horizontal="center" vertical="center"/>
    </xf>
    <xf numFmtId="0" fontId="56" fillId="0" borderId="84" xfId="0" applyFont="1" applyBorder="1" applyAlignment="1">
      <alignment vertical="center"/>
    </xf>
    <xf numFmtId="0" fontId="41" fillId="0" borderId="84" xfId="0" applyFont="1" applyBorder="1" applyAlignment="1">
      <alignment horizontal="left" vertical="center" indent="2"/>
    </xf>
    <xf numFmtId="0" fontId="41" fillId="0" borderId="78" xfId="0" applyFont="1" applyBorder="1" applyAlignment="1">
      <alignment horizontal="left" vertical="center" indent="2"/>
    </xf>
    <xf numFmtId="0" fontId="56" fillId="0" borderId="14" xfId="0" applyFont="1" applyBorder="1" applyAlignment="1">
      <alignment vertical="center"/>
    </xf>
    <xf numFmtId="0" fontId="123" fillId="0" borderId="15" xfId="0" applyFont="1" applyBorder="1" applyAlignment="1">
      <alignment horizontal="left" vertical="center"/>
    </xf>
    <xf numFmtId="0" fontId="124" fillId="0" borderId="15" xfId="0" applyFont="1" applyBorder="1" applyAlignment="1">
      <alignment horizontal="left" vertical="center"/>
    </xf>
    <xf numFmtId="0" fontId="83" fillId="0" borderId="15" xfId="0" applyFont="1" applyBorder="1" applyAlignment="1">
      <alignment horizontal="left" vertical="center"/>
    </xf>
    <xf numFmtId="0" fontId="57" fillId="0" borderId="15" xfId="0" applyFont="1" applyBorder="1" applyAlignment="1">
      <alignment horizontal="left" vertical="center"/>
    </xf>
    <xf numFmtId="0" fontId="125" fillId="0" borderId="16" xfId="0" applyFont="1" applyBorder="1" applyAlignment="1">
      <alignment horizontal="left" vertical="center" indent="2"/>
    </xf>
    <xf numFmtId="0" fontId="88" fillId="6" borderId="34" xfId="0" applyFont="1" applyFill="1" applyBorder="1" applyAlignment="1">
      <alignment horizontal="center" vertical="center"/>
    </xf>
    <xf numFmtId="3" fontId="56" fillId="0" borderId="80" xfId="0" applyNumberFormat="1" applyFont="1" applyBorder="1" applyAlignment="1">
      <alignment horizontal="center" vertical="center"/>
    </xf>
    <xf numFmtId="164" fontId="56" fillId="0" borderId="80" xfId="0" applyNumberFormat="1" applyFont="1" applyBorder="1" applyAlignment="1">
      <alignment horizontal="center" vertical="center"/>
    </xf>
    <xf numFmtId="3" fontId="41" fillId="0" borderId="80" xfId="0" applyNumberFormat="1" applyFont="1" applyBorder="1" applyAlignment="1">
      <alignment vertical="center"/>
    </xf>
    <xf numFmtId="164" fontId="41" fillId="0" borderId="80" xfId="0" applyNumberFormat="1" applyFont="1" applyBorder="1" applyAlignment="1">
      <alignment vertical="center"/>
    </xf>
    <xf numFmtId="3" fontId="123" fillId="0" borderId="80" xfId="0" applyNumberFormat="1" applyFont="1" applyBorder="1" applyAlignment="1">
      <alignment horizontal="center" vertical="center"/>
    </xf>
    <xf numFmtId="3" fontId="124" fillId="0" borderId="80" xfId="0" applyNumberFormat="1" applyFont="1" applyBorder="1" applyAlignment="1">
      <alignment horizontal="center" vertical="center"/>
    </xf>
    <xf numFmtId="3" fontId="83" fillId="0" borderId="80" xfId="0" applyNumberFormat="1" applyFont="1" applyBorder="1" applyAlignment="1">
      <alignment horizontal="center" vertical="center"/>
    </xf>
    <xf numFmtId="3" fontId="57" fillId="0" borderId="80" xfId="0" applyNumberFormat="1" applyFont="1" applyBorder="1" applyAlignment="1">
      <alignment horizontal="center" vertical="center"/>
    </xf>
    <xf numFmtId="3" fontId="125" fillId="0" borderId="80" xfId="0" applyNumberFormat="1" applyFont="1" applyBorder="1" applyAlignment="1">
      <alignment horizontal="right" vertical="center"/>
    </xf>
    <xf numFmtId="164" fontId="125" fillId="0" borderId="80" xfId="0" applyNumberFormat="1" applyFont="1" applyBorder="1" applyAlignment="1">
      <alignment horizontal="right" vertical="center"/>
    </xf>
    <xf numFmtId="0" fontId="88" fillId="6" borderId="32" xfId="0" applyFont="1" applyFill="1" applyBorder="1" applyAlignment="1">
      <alignment horizontal="center" vertical="center"/>
    </xf>
    <xf numFmtId="0" fontId="88" fillId="6" borderId="0" xfId="0" applyFont="1" applyFill="1" applyBorder="1" applyAlignment="1">
      <alignment horizontal="center" vertical="center"/>
    </xf>
    <xf numFmtId="0" fontId="56" fillId="0" borderId="80" xfId="0" applyFont="1" applyBorder="1" applyAlignment="1">
      <alignment horizontal="center" vertical="center"/>
    </xf>
    <xf numFmtId="0" fontId="56" fillId="0" borderId="80" xfId="0" applyFont="1" applyBorder="1" applyAlignment="1">
      <alignment vertical="center"/>
    </xf>
    <xf numFmtId="0" fontId="41" fillId="0" borderId="80" xfId="0" applyFont="1" applyBorder="1" applyAlignment="1">
      <alignment horizontal="center" vertical="center"/>
    </xf>
    <xf numFmtId="0" fontId="41" fillId="0" borderId="80" xfId="0" applyFont="1" applyBorder="1" applyAlignment="1">
      <alignment horizontal="left" vertical="center" indent="2"/>
    </xf>
    <xf numFmtId="0" fontId="123" fillId="0" borderId="80" xfId="0" applyFont="1" applyBorder="1" applyAlignment="1">
      <alignment horizontal="center" vertical="center"/>
    </xf>
    <xf numFmtId="0" fontId="123" fillId="0" borderId="80" xfId="0" applyFont="1" applyBorder="1" applyAlignment="1">
      <alignment horizontal="left" vertical="center"/>
    </xf>
    <xf numFmtId="0" fontId="124" fillId="0" borderId="80" xfId="0" applyFont="1" applyBorder="1" applyAlignment="1">
      <alignment horizontal="center" vertical="center"/>
    </xf>
    <xf numFmtId="0" fontId="124" fillId="0" borderId="80" xfId="0" applyFont="1" applyBorder="1" applyAlignment="1">
      <alignment horizontal="left" vertical="center"/>
    </xf>
    <xf numFmtId="0" fontId="83" fillId="0" borderId="80" xfId="0" applyFont="1" applyBorder="1" applyAlignment="1">
      <alignment horizontal="center" vertical="center"/>
    </xf>
    <xf numFmtId="0" fontId="83" fillId="0" borderId="80" xfId="0" applyFont="1" applyBorder="1" applyAlignment="1">
      <alignment horizontal="left" vertical="center"/>
    </xf>
    <xf numFmtId="0" fontId="57" fillId="0" borderId="80" xfId="0" applyFont="1" applyBorder="1" applyAlignment="1">
      <alignment horizontal="center" vertical="center"/>
    </xf>
    <xf numFmtId="0" fontId="57" fillId="0" borderId="80" xfId="0" applyFont="1" applyBorder="1" applyAlignment="1">
      <alignment horizontal="left" vertical="center"/>
    </xf>
    <xf numFmtId="0" fontId="125" fillId="0" borderId="80" xfId="0" applyFont="1" applyBorder="1" applyAlignment="1">
      <alignment horizontal="center" vertical="center"/>
    </xf>
    <xf numFmtId="0" fontId="125" fillId="0" borderId="80" xfId="0" applyFont="1" applyBorder="1" applyAlignment="1">
      <alignment horizontal="left" vertical="center" indent="2"/>
    </xf>
    <xf numFmtId="3" fontId="230" fillId="0" borderId="0" xfId="0" applyNumberFormat="1" applyFont="1" applyBorder="1" applyAlignment="1">
      <alignment horizontal="center" vertical="center" wrapText="1"/>
    </xf>
    <xf numFmtId="0" fontId="231" fillId="0" borderId="0" xfId="0" applyFont="1" applyBorder="1" applyAlignment="1">
      <alignment vertical="center" wrapText="1"/>
    </xf>
    <xf numFmtId="3" fontId="231" fillId="0" borderId="0" xfId="0" applyNumberFormat="1" applyFont="1" applyBorder="1" applyAlignment="1">
      <alignment horizontal="center" vertical="center" wrapText="1"/>
    </xf>
    <xf numFmtId="0" fontId="231" fillId="0" borderId="0" xfId="0" applyFont="1" applyBorder="1" applyAlignment="1">
      <alignment horizontal="center" vertical="center" wrapText="1"/>
    </xf>
    <xf numFmtId="0" fontId="232" fillId="0" borderId="31" xfId="0" applyFont="1" applyBorder="1" applyAlignment="1">
      <alignment vertical="center"/>
    </xf>
    <xf numFmtId="0" fontId="232" fillId="53" borderId="87" xfId="0" applyFont="1" applyFill="1" applyBorder="1" applyAlignment="1">
      <alignment horizontal="center" vertical="center" wrapText="1"/>
    </xf>
    <xf numFmtId="0" fontId="232" fillId="0" borderId="86" xfId="0" applyFont="1" applyBorder="1" applyAlignment="1">
      <alignment vertical="center"/>
    </xf>
    <xf numFmtId="0" fontId="232" fillId="0" borderId="89" xfId="0" applyFont="1" applyBorder="1" applyAlignment="1">
      <alignment horizontal="right" vertical="center"/>
    </xf>
    <xf numFmtId="0" fontId="232" fillId="0" borderId="89" xfId="0" applyFont="1" applyBorder="1" applyAlignment="1">
      <alignment horizontal="right" vertical="center" wrapText="1"/>
    </xf>
    <xf numFmtId="0" fontId="232" fillId="53" borderId="89" xfId="0" applyFont="1" applyFill="1" applyBorder="1" applyAlignment="1">
      <alignment horizontal="right" vertical="center" wrapText="1"/>
    </xf>
    <xf numFmtId="0" fontId="232" fillId="53" borderId="89" xfId="0" applyFont="1" applyFill="1" applyBorder="1" applyAlignment="1">
      <alignment horizontal="right" vertical="center"/>
    </xf>
    <xf numFmtId="0" fontId="233" fillId="0" borderId="32" xfId="0" applyFont="1" applyBorder="1" applyAlignment="1">
      <alignment vertical="center"/>
    </xf>
    <xf numFmtId="0" fontId="233" fillId="0" borderId="33" xfId="0" applyFont="1" applyBorder="1" applyAlignment="1">
      <alignment vertical="center"/>
    </xf>
    <xf numFmtId="0" fontId="233" fillId="0" borderId="86" xfId="0" applyFont="1" applyBorder="1" applyAlignment="1">
      <alignment vertical="center"/>
    </xf>
    <xf numFmtId="0" fontId="232" fillId="0" borderId="32" xfId="0" applyFont="1" applyBorder="1" applyAlignment="1">
      <alignment vertical="center"/>
    </xf>
    <xf numFmtId="0" fontId="229" fillId="3" borderId="0" xfId="0" applyFont="1" applyFill="1"/>
    <xf numFmtId="0" fontId="21" fillId="0" borderId="0" xfId="15" applyFont="1" applyBorder="1" applyAlignment="1">
      <alignment horizontal="center" vertical="top" wrapText="1"/>
    </xf>
    <xf numFmtId="0" fontId="43" fillId="0" borderId="0" xfId="15" applyFont="1" applyBorder="1" applyAlignment="1">
      <alignment horizontal="left" vertical="top" wrapText="1"/>
    </xf>
    <xf numFmtId="3" fontId="43" fillId="0" borderId="0" xfId="15" applyNumberFormat="1" applyFont="1" applyBorder="1" applyAlignment="1">
      <alignment horizontal="right" vertical="top" wrapText="1"/>
    </xf>
    <xf numFmtId="0" fontId="7" fillId="0" borderId="0" xfId="15" applyFont="1" applyBorder="1" applyAlignment="1">
      <alignment horizontal="center" vertical="top" wrapText="1"/>
    </xf>
    <xf numFmtId="3" fontId="43" fillId="0" borderId="68" xfId="15" applyNumberFormat="1" applyFont="1" applyBorder="1" applyAlignment="1">
      <alignment horizontal="right" vertical="top" wrapText="1"/>
    </xf>
    <xf numFmtId="0" fontId="7" fillId="0" borderId="0" xfId="15" applyFont="1" applyBorder="1" applyAlignment="1">
      <alignment horizontal="left" vertical="top" wrapText="1"/>
    </xf>
    <xf numFmtId="0" fontId="7" fillId="0" borderId="0" xfId="15" applyFont="1" applyAlignment="1">
      <alignment wrapText="1"/>
    </xf>
    <xf numFmtId="44" fontId="21" fillId="0" borderId="0" xfId="199" applyFont="1" applyAlignment="1">
      <alignment wrapText="1"/>
    </xf>
    <xf numFmtId="188" fontId="21" fillId="0" borderId="0" xfId="199" applyNumberFormat="1" applyFont="1" applyAlignment="1">
      <alignment wrapText="1"/>
    </xf>
    <xf numFmtId="44" fontId="42" fillId="0" borderId="0" xfId="199" applyFont="1" applyAlignment="1">
      <alignment wrapText="1"/>
    </xf>
    <xf numFmtId="3" fontId="46" fillId="17" borderId="0" xfId="15" applyNumberFormat="1" applyFont="1" applyFill="1" applyAlignment="1">
      <alignment wrapText="1"/>
    </xf>
    <xf numFmtId="9" fontId="21" fillId="0" borderId="0" xfId="15" applyNumberFormat="1" applyFont="1" applyAlignment="1">
      <alignment wrapText="1"/>
    </xf>
    <xf numFmtId="189" fontId="21" fillId="0" borderId="0" xfId="15" applyNumberFormat="1" applyFont="1" applyAlignment="1">
      <alignment wrapText="1"/>
    </xf>
    <xf numFmtId="3" fontId="34" fillId="0" borderId="25" xfId="0" applyNumberFormat="1" applyFont="1" applyBorder="1" applyAlignment="1">
      <alignment horizontal="center" vertical="center" wrapText="1"/>
    </xf>
    <xf numFmtId="0" fontId="234" fillId="0" borderId="0" xfId="15" applyFont="1" applyAlignment="1">
      <alignment wrapText="1"/>
    </xf>
    <xf numFmtId="9" fontId="53" fillId="0" borderId="0" xfId="1" applyFont="1" applyFill="1" applyBorder="1" applyAlignment="1">
      <alignment wrapText="1"/>
    </xf>
    <xf numFmtId="43" fontId="202" fillId="0" borderId="80" xfId="12" applyFont="1" applyBorder="1"/>
    <xf numFmtId="43" fontId="224" fillId="0" borderId="80" xfId="12" applyFont="1" applyFill="1" applyBorder="1" applyAlignment="1">
      <alignment horizontal="right" vertical="center" wrapText="1"/>
    </xf>
    <xf numFmtId="43" fontId="168" fillId="4" borderId="2" xfId="12" applyFont="1" applyFill="1" applyBorder="1" applyAlignment="1">
      <alignment horizontal="right" vertical="center"/>
    </xf>
    <xf numFmtId="43" fontId="202" fillId="0" borderId="80" xfId="12" applyFont="1" applyBorder="1" applyAlignment="1">
      <alignment vertical="center"/>
    </xf>
    <xf numFmtId="43" fontId="168" fillId="7" borderId="2" xfId="12" applyFont="1" applyFill="1" applyBorder="1" applyAlignment="1">
      <alignment horizontal="right" vertical="center"/>
    </xf>
    <xf numFmtId="43" fontId="168" fillId="4" borderId="80" xfId="12" applyFont="1" applyFill="1" applyBorder="1" applyAlignment="1">
      <alignment horizontal="right" vertical="center"/>
    </xf>
    <xf numFmtId="0" fontId="202" fillId="0" borderId="92" xfId="0" applyFont="1" applyBorder="1"/>
    <xf numFmtId="44" fontId="202" fillId="0" borderId="92" xfId="199" applyFont="1" applyBorder="1" applyAlignment="1">
      <alignment vertical="center" wrapText="1"/>
    </xf>
    <xf numFmtId="0" fontId="204" fillId="15" borderId="69" xfId="0" applyFont="1" applyFill="1" applyBorder="1" applyAlignment="1">
      <alignment horizontal="center" vertical="center" wrapText="1"/>
    </xf>
    <xf numFmtId="9" fontId="92" fillId="5" borderId="80" xfId="1" applyFont="1" applyFill="1" applyBorder="1" applyAlignment="1">
      <alignment horizontal="right" vertical="top" wrapText="1"/>
    </xf>
    <xf numFmtId="9" fontId="92" fillId="5" borderId="80" xfId="1" applyFont="1" applyFill="1" applyBorder="1" applyAlignment="1">
      <alignment horizontal="center" vertical="top" wrapText="1"/>
    </xf>
    <xf numFmtId="9" fontId="93" fillId="5" borderId="80" xfId="1" applyFont="1" applyFill="1" applyBorder="1" applyAlignment="1">
      <alignment horizontal="center" vertical="top" wrapText="1"/>
    </xf>
    <xf numFmtId="0" fontId="28" fillId="0" borderId="0" xfId="15" applyFill="1" applyBorder="1" applyAlignment="1">
      <alignment horizontal="left" vertical="top" wrapText="1"/>
    </xf>
    <xf numFmtId="164" fontId="92" fillId="0" borderId="0" xfId="15" applyNumberFormat="1" applyFont="1" applyFill="1" applyBorder="1" applyAlignment="1">
      <alignment horizontal="right" vertical="top" wrapText="1"/>
    </xf>
    <xf numFmtId="164" fontId="43" fillId="0" borderId="0" xfId="15" applyNumberFormat="1" applyFont="1" applyFill="1" applyBorder="1" applyAlignment="1">
      <alignment horizontal="right" vertical="top" wrapText="1"/>
    </xf>
    <xf numFmtId="3" fontId="93" fillId="15" borderId="92" xfId="15" applyNumberFormat="1" applyFont="1" applyFill="1" applyBorder="1" applyAlignment="1">
      <alignment horizontal="right" vertical="center" wrapText="1"/>
    </xf>
    <xf numFmtId="3" fontId="94" fillId="21" borderId="92" xfId="15" applyNumberFormat="1" applyFont="1" applyFill="1" applyBorder="1" applyAlignment="1">
      <alignment horizontal="right" vertical="center" wrapText="1"/>
    </xf>
    <xf numFmtId="3" fontId="98" fillId="8" borderId="92" xfId="15" applyNumberFormat="1" applyFont="1" applyFill="1" applyBorder="1" applyAlignment="1">
      <alignment horizontal="right" vertical="center" wrapText="1"/>
    </xf>
    <xf numFmtId="9" fontId="92" fillId="5" borderId="92" xfId="1" applyFont="1" applyFill="1" applyBorder="1" applyAlignment="1">
      <alignment horizontal="right" vertical="top" wrapText="1"/>
    </xf>
    <xf numFmtId="43" fontId="28" fillId="0" borderId="0" xfId="12" applyFont="1" applyFill="1" applyBorder="1" applyAlignment="1">
      <alignment horizontal="center" vertical="top" wrapText="1"/>
    </xf>
    <xf numFmtId="9" fontId="34" fillId="3" borderId="0" xfId="16" applyFont="1" applyFill="1" applyBorder="1" applyAlignment="1">
      <alignment horizontal="right" vertical="top" wrapText="1"/>
    </xf>
    <xf numFmtId="4" fontId="6" fillId="0" borderId="0" xfId="15" applyNumberFormat="1" applyFont="1" applyBorder="1" applyAlignment="1">
      <alignment horizontal="right" vertical="top" wrapText="1"/>
    </xf>
    <xf numFmtId="0" fontId="214" fillId="0" borderId="0" xfId="0" applyFont="1" applyFill="1" applyBorder="1" applyAlignment="1">
      <alignment horizontal="center" vertical="center" wrapText="1"/>
    </xf>
    <xf numFmtId="0" fontId="214" fillId="0" borderId="0" xfId="0" applyFont="1" applyFill="1" applyBorder="1" applyAlignment="1">
      <alignment vertical="center" wrapText="1"/>
    </xf>
    <xf numFmtId="0" fontId="214" fillId="0" borderId="0" xfId="0" applyFont="1" applyFill="1" applyBorder="1" applyAlignment="1">
      <alignment horizontal="center" vertical="center"/>
    </xf>
    <xf numFmtId="3" fontId="170" fillId="0" borderId="0" xfId="0" applyNumberFormat="1" applyFont="1"/>
    <xf numFmtId="44" fontId="170" fillId="0" borderId="0" xfId="199" applyFont="1"/>
    <xf numFmtId="9" fontId="93" fillId="0" borderId="0" xfId="1" applyFont="1" applyAlignment="1">
      <alignment horizontal="left" vertical="top" wrapText="1"/>
    </xf>
    <xf numFmtId="9" fontId="232" fillId="53" borderId="31" xfId="0" applyNumberFormat="1" applyFont="1" applyFill="1" applyBorder="1" applyAlignment="1">
      <alignment horizontal="right" vertical="center" wrapText="1"/>
    </xf>
    <xf numFmtId="9" fontId="232" fillId="53" borderId="31" xfId="0" applyNumberFormat="1" applyFont="1" applyFill="1" applyBorder="1" applyAlignment="1">
      <alignment horizontal="right" vertical="center"/>
    </xf>
    <xf numFmtId="3" fontId="233" fillId="0" borderId="31" xfId="0" applyNumberFormat="1" applyFont="1" applyBorder="1" applyAlignment="1">
      <alignment horizontal="right" vertical="center"/>
    </xf>
    <xf numFmtId="3" fontId="233" fillId="0" borderId="91" xfId="0" applyNumberFormat="1" applyFont="1" applyBorder="1" applyAlignment="1">
      <alignment horizontal="right" vertical="center"/>
    </xf>
    <xf numFmtId="3" fontId="233" fillId="0" borderId="91" xfId="0" applyNumberFormat="1" applyFont="1" applyBorder="1" applyAlignment="1">
      <alignment horizontal="right" vertical="center" wrapText="1"/>
    </xf>
    <xf numFmtId="9" fontId="232" fillId="53" borderId="31" xfId="1" applyFont="1" applyFill="1" applyBorder="1" applyAlignment="1">
      <alignment horizontal="center" vertical="center" wrapText="1"/>
    </xf>
    <xf numFmtId="3" fontId="233" fillId="0" borderId="31" xfId="0" applyNumberFormat="1" applyFont="1" applyBorder="1" applyAlignment="1">
      <alignment horizontal="right" vertical="center" wrapText="1"/>
    </xf>
    <xf numFmtId="9" fontId="232" fillId="53" borderId="91" xfId="0" applyNumberFormat="1" applyFont="1" applyFill="1" applyBorder="1" applyAlignment="1">
      <alignment horizontal="right" vertical="center" wrapText="1"/>
    </xf>
    <xf numFmtId="187" fontId="233" fillId="0" borderId="31" xfId="0" applyNumberFormat="1" applyFont="1" applyBorder="1" applyAlignment="1">
      <alignment horizontal="right" vertical="center" wrapText="1"/>
    </xf>
    <xf numFmtId="0" fontId="34" fillId="5" borderId="0" xfId="0" applyFont="1" applyFill="1"/>
    <xf numFmtId="0" fontId="235" fillId="0" borderId="81" xfId="0" applyFont="1" applyBorder="1" applyAlignment="1">
      <alignment horizontal="center" vertical="center" wrapText="1"/>
    </xf>
    <xf numFmtId="0" fontId="236" fillId="0" borderId="33" xfId="0" applyFont="1" applyBorder="1" applyAlignment="1">
      <alignment vertical="center" wrapText="1"/>
    </xf>
    <xf numFmtId="3" fontId="236" fillId="0" borderId="55" xfId="0" applyNumberFormat="1" applyFont="1" applyBorder="1" applyAlignment="1">
      <alignment horizontal="center" vertical="center" wrapText="1"/>
    </xf>
    <xf numFmtId="0" fontId="235" fillId="0" borderId="0" xfId="0" applyFont="1" applyBorder="1" applyAlignment="1">
      <alignment horizontal="center" vertical="center" wrapText="1"/>
    </xf>
    <xf numFmtId="0" fontId="235" fillId="0" borderId="0" xfId="0" applyFont="1" applyBorder="1" applyAlignment="1">
      <alignment vertical="center" wrapText="1"/>
    </xf>
    <xf numFmtId="0" fontId="34" fillId="0" borderId="0" xfId="0" applyFont="1" applyBorder="1" applyAlignment="1">
      <alignment vertical="center"/>
    </xf>
    <xf numFmtId="0" fontId="236" fillId="0" borderId="0" xfId="0" applyFont="1" applyBorder="1" applyAlignment="1">
      <alignment vertical="center" wrapText="1"/>
    </xf>
    <xf numFmtId="0" fontId="236" fillId="0" borderId="0" xfId="0" applyFont="1" applyBorder="1" applyAlignment="1">
      <alignment horizontal="center" vertical="center" wrapText="1"/>
    </xf>
    <xf numFmtId="3" fontId="236" fillId="0" borderId="0" xfId="0" applyNumberFormat="1" applyFont="1" applyBorder="1" applyAlignment="1">
      <alignment horizontal="center" vertical="center" wrapText="1"/>
    </xf>
    <xf numFmtId="0" fontId="237" fillId="0" borderId="0" xfId="0" applyFont="1" applyBorder="1" applyAlignment="1">
      <alignment vertical="center" wrapText="1"/>
    </xf>
    <xf numFmtId="0" fontId="34" fillId="0" borderId="0" xfId="0" applyFont="1" applyBorder="1"/>
    <xf numFmtId="0" fontId="237" fillId="0" borderId="0" xfId="0" applyFont="1" applyBorder="1" applyAlignment="1">
      <alignment horizontal="center" vertical="center" wrapText="1"/>
    </xf>
    <xf numFmtId="0" fontId="229" fillId="0" borderId="0" xfId="0" applyFont="1" applyBorder="1" applyAlignment="1">
      <alignment vertical="center"/>
    </xf>
    <xf numFmtId="0" fontId="0" fillId="0" borderId="0" xfId="0" applyBorder="1"/>
    <xf numFmtId="3" fontId="238" fillId="0" borderId="54" xfId="0" applyNumberFormat="1" applyFont="1" applyBorder="1" applyAlignment="1">
      <alignment horizontal="center" vertical="center" wrapText="1"/>
    </xf>
    <xf numFmtId="3" fontId="238" fillId="0" borderId="81" xfId="0" applyNumberFormat="1" applyFont="1" applyBorder="1" applyAlignment="1">
      <alignment horizontal="center" vertical="center" wrapText="1"/>
    </xf>
    <xf numFmtId="0" fontId="235" fillId="0" borderId="54" xfId="0" applyFont="1" applyBorder="1" applyAlignment="1">
      <alignment vertical="center" wrapText="1"/>
    </xf>
    <xf numFmtId="10" fontId="236" fillId="0" borderId="55" xfId="0" applyNumberFormat="1" applyFont="1" applyBorder="1" applyAlignment="1">
      <alignment horizontal="center" vertical="center" wrapText="1"/>
    </xf>
    <xf numFmtId="169" fontId="236" fillId="0" borderId="55" xfId="0" applyNumberFormat="1" applyFont="1" applyBorder="1" applyAlignment="1">
      <alignment horizontal="center" vertical="center" wrapText="1"/>
    </xf>
    <xf numFmtId="43" fontId="202" fillId="0" borderId="92" xfId="12" applyFont="1" applyFill="1" applyBorder="1"/>
    <xf numFmtId="0" fontId="5" fillId="0" borderId="0" xfId="15" applyFont="1" applyAlignment="1">
      <alignment wrapText="1"/>
    </xf>
    <xf numFmtId="3" fontId="5" fillId="0" borderId="0" xfId="15" applyNumberFormat="1" applyFont="1" applyAlignment="1">
      <alignment wrapText="1"/>
    </xf>
    <xf numFmtId="9" fontId="198" fillId="5" borderId="0" xfId="16" applyFont="1" applyFill="1" applyBorder="1" applyAlignment="1">
      <alignment horizontal="right" vertical="top" wrapText="1"/>
    </xf>
    <xf numFmtId="3" fontId="43" fillId="5" borderId="65" xfId="15" applyNumberFormat="1" applyFont="1" applyFill="1" applyBorder="1" applyAlignment="1">
      <alignment horizontal="right" vertical="top" wrapText="1"/>
    </xf>
    <xf numFmtId="9" fontId="34" fillId="5" borderId="0" xfId="16" applyFont="1" applyFill="1" applyBorder="1" applyAlignment="1">
      <alignment horizontal="right" vertical="top" wrapText="1"/>
    </xf>
    <xf numFmtId="3" fontId="233" fillId="0" borderId="91" xfId="0" applyNumberFormat="1" applyFont="1" applyBorder="1" applyAlignment="1">
      <alignment vertical="center"/>
    </xf>
    <xf numFmtId="0" fontId="101" fillId="54" borderId="0" xfId="200" applyFont="1" applyFill="1" applyAlignment="1">
      <alignment horizontal="left" wrapText="1"/>
    </xf>
    <xf numFmtId="0" fontId="101" fillId="54" borderId="0" xfId="200" applyFont="1" applyFill="1" applyAlignment="1">
      <alignment horizontal="center" wrapText="1"/>
    </xf>
    <xf numFmtId="0" fontId="101" fillId="54" borderId="0" xfId="200" applyFont="1" applyFill="1" applyAlignment="1">
      <alignment horizontal="right" wrapText="1"/>
    </xf>
    <xf numFmtId="0" fontId="4" fillId="54" borderId="0" xfId="200" applyFill="1"/>
    <xf numFmtId="0" fontId="101" fillId="0" borderId="0" xfId="200" applyFont="1" applyAlignment="1">
      <alignment horizontal="left" wrapText="1"/>
    </xf>
    <xf numFmtId="0" fontId="101" fillId="0" borderId="0" xfId="200" applyFont="1" applyAlignment="1">
      <alignment horizontal="center" wrapText="1"/>
    </xf>
    <xf numFmtId="0" fontId="101" fillId="0" borderId="0" xfId="200" applyFont="1" applyAlignment="1">
      <alignment horizontal="right" wrapText="1"/>
    </xf>
    <xf numFmtId="0" fontId="4" fillId="0" borderId="0" xfId="200"/>
    <xf numFmtId="2" fontId="85" fillId="3" borderId="2" xfId="5" applyNumberFormat="1" applyFont="1" applyFill="1" applyBorder="1"/>
    <xf numFmtId="0" fontId="85" fillId="0" borderId="92" xfId="5" applyFont="1" applyBorder="1" applyAlignment="1">
      <alignment horizontal="center"/>
    </xf>
    <xf numFmtId="0" fontId="85" fillId="0" borderId="92" xfId="5" applyFont="1" applyBorder="1"/>
    <xf numFmtId="9" fontId="85" fillId="0" borderId="92" xfId="5" applyNumberFormat="1" applyFont="1" applyBorder="1"/>
    <xf numFmtId="173" fontId="85" fillId="0" borderId="92" xfId="6" applyNumberFormat="1" applyFont="1" applyBorder="1"/>
    <xf numFmtId="173" fontId="85" fillId="0" borderId="92" xfId="6" applyNumberFormat="1" applyFont="1" applyBorder="1" applyAlignment="1">
      <alignment horizontal="center"/>
    </xf>
    <xf numFmtId="2" fontId="85" fillId="0" borderId="92" xfId="5" applyNumberFormat="1" applyFont="1" applyFill="1" applyBorder="1"/>
    <xf numFmtId="174" fontId="85" fillId="0" borderId="92" xfId="6" applyNumberFormat="1" applyFont="1" applyBorder="1"/>
    <xf numFmtId="167" fontId="85" fillId="0" borderId="92" xfId="5" applyNumberFormat="1" applyFont="1" applyFill="1" applyBorder="1"/>
    <xf numFmtId="3" fontId="85" fillId="0" borderId="92" xfId="5" applyNumberFormat="1" applyFont="1" applyBorder="1"/>
    <xf numFmtId="4" fontId="85" fillId="0" borderId="92" xfId="5" applyNumberFormat="1" applyFont="1" applyBorder="1"/>
    <xf numFmtId="9" fontId="120" fillId="23" borderId="92" xfId="16" applyFont="1" applyFill="1" applyBorder="1"/>
    <xf numFmtId="9" fontId="120" fillId="23" borderId="92" xfId="16" applyNumberFormat="1" applyFont="1" applyFill="1" applyBorder="1"/>
    <xf numFmtId="3" fontId="120" fillId="23" borderId="92" xfId="5" applyNumberFormat="1" applyFont="1" applyFill="1" applyBorder="1"/>
    <xf numFmtId="4" fontId="120" fillId="23" borderId="92" xfId="5" applyNumberFormat="1" applyFont="1" applyFill="1" applyBorder="1"/>
    <xf numFmtId="2" fontId="85" fillId="0" borderId="92" xfId="5" applyNumberFormat="1" applyFont="1" applyBorder="1"/>
    <xf numFmtId="167" fontId="85" fillId="0" borderId="92" xfId="5" applyNumberFormat="1" applyFont="1" applyBorder="1"/>
    <xf numFmtId="0" fontId="85" fillId="0" borderId="2" xfId="5" applyFont="1" applyBorder="1" applyAlignment="1">
      <alignment horizontal="right"/>
    </xf>
    <xf numFmtId="0" fontId="85" fillId="0" borderId="92" xfId="5" applyFont="1" applyBorder="1" applyAlignment="1">
      <alignment horizontal="right"/>
    </xf>
    <xf numFmtId="0" fontId="85" fillId="0" borderId="92" xfId="5" applyFont="1" applyBorder="1" applyAlignment="1">
      <alignment horizontal="right" indent="2"/>
    </xf>
    <xf numFmtId="0" fontId="3" fillId="0" borderId="0" xfId="15" applyFont="1" applyBorder="1" applyAlignment="1">
      <alignment horizontal="left" wrapText="1"/>
    </xf>
    <xf numFmtId="0" fontId="43" fillId="0" borderId="0" xfId="15" applyFont="1" applyAlignment="1">
      <alignment wrapText="1"/>
    </xf>
    <xf numFmtId="0" fontId="121" fillId="0" borderId="0" xfId="15" applyFont="1" applyAlignment="1">
      <alignment wrapText="1"/>
    </xf>
    <xf numFmtId="43" fontId="121" fillId="0" borderId="0" xfId="12" applyFont="1" applyAlignment="1">
      <alignment wrapText="1"/>
    </xf>
    <xf numFmtId="0" fontId="43" fillId="0" borderId="0" xfId="15" applyFont="1" applyAlignment="1">
      <alignment horizontal="right" vertical="top" wrapText="1"/>
    </xf>
    <xf numFmtId="43" fontId="43" fillId="0" borderId="0" xfId="15" applyNumberFormat="1" applyFont="1" applyAlignment="1">
      <alignment wrapText="1"/>
    </xf>
    <xf numFmtId="3" fontId="43" fillId="17" borderId="0" xfId="15" applyNumberFormat="1" applyFont="1" applyFill="1" applyAlignment="1">
      <alignment wrapText="1"/>
    </xf>
    <xf numFmtId="3" fontId="239" fillId="17" borderId="0" xfId="15" applyNumberFormat="1" applyFont="1" applyFill="1" applyAlignment="1">
      <alignment wrapText="1"/>
    </xf>
    <xf numFmtId="3" fontId="46" fillId="0" borderId="0" xfId="15" applyNumberFormat="1" applyFont="1" applyAlignment="1">
      <alignment wrapText="1"/>
    </xf>
    <xf numFmtId="43" fontId="239" fillId="17" borderId="0" xfId="12" applyFont="1" applyFill="1" applyAlignment="1">
      <alignment wrapText="1"/>
    </xf>
    <xf numFmtId="3" fontId="240" fillId="17" borderId="0" xfId="15" applyNumberFormat="1" applyFont="1" applyFill="1" applyAlignment="1">
      <alignment wrapText="1"/>
    </xf>
    <xf numFmtId="0" fontId="3" fillId="0" borderId="0" xfId="15" applyFont="1" applyAlignment="1">
      <alignment horizontal="center" vertical="top" wrapText="1"/>
    </xf>
    <xf numFmtId="0" fontId="3" fillId="0" borderId="0" xfId="15" applyFont="1" applyAlignment="1">
      <alignment wrapText="1"/>
    </xf>
    <xf numFmtId="3" fontId="3" fillId="0" borderId="0" xfId="15" applyNumberFormat="1" applyFont="1" applyAlignment="1">
      <alignment wrapText="1"/>
    </xf>
    <xf numFmtId="9" fontId="3" fillId="0" borderId="0" xfId="1" applyFont="1" applyAlignment="1">
      <alignment wrapText="1"/>
    </xf>
    <xf numFmtId="44" fontId="34" fillId="0" borderId="0" xfId="199" applyFont="1" applyAlignment="1">
      <alignment wrapText="1"/>
    </xf>
    <xf numFmtId="44" fontId="21" fillId="0" borderId="0" xfId="15" applyNumberFormat="1" applyFont="1" applyAlignment="1">
      <alignment wrapText="1"/>
    </xf>
    <xf numFmtId="0" fontId="3" fillId="0" borderId="0" xfId="15" applyFont="1" applyAlignment="1">
      <alignment horizontal="center" wrapText="1"/>
    </xf>
    <xf numFmtId="0" fontId="43" fillId="0" borderId="0" xfId="15" applyFont="1" applyAlignment="1">
      <alignment horizontal="center" wrapText="1"/>
    </xf>
    <xf numFmtId="9" fontId="3" fillId="0" borderId="0" xfId="15" applyNumberFormat="1" applyFont="1" applyAlignment="1">
      <alignment wrapText="1"/>
    </xf>
    <xf numFmtId="44" fontId="121" fillId="0" borderId="0" xfId="15" applyNumberFormat="1" applyFont="1" applyAlignment="1">
      <alignment wrapText="1"/>
    </xf>
    <xf numFmtId="44" fontId="202" fillId="0" borderId="0" xfId="199" applyFont="1"/>
    <xf numFmtId="190" fontId="241" fillId="0" borderId="54" xfId="199" applyNumberFormat="1" applyFont="1" applyBorder="1" applyAlignment="1">
      <alignment horizontal="right" vertical="center" wrapText="1"/>
    </xf>
    <xf numFmtId="190" fontId="241" fillId="0" borderId="81" xfId="199" applyNumberFormat="1" applyFont="1" applyBorder="1" applyAlignment="1">
      <alignment horizontal="right" vertical="center" wrapText="1"/>
    </xf>
    <xf numFmtId="190" fontId="202" fillId="0" borderId="69" xfId="199" applyNumberFormat="1" applyFont="1" applyBorder="1" applyAlignment="1">
      <alignment vertical="center" wrapText="1"/>
    </xf>
    <xf numFmtId="190" fontId="202" fillId="0" borderId="92" xfId="199" applyNumberFormat="1" applyFont="1" applyBorder="1" applyAlignment="1">
      <alignment vertical="center" wrapText="1"/>
    </xf>
    <xf numFmtId="190" fontId="241" fillId="0" borderId="33" xfId="199" applyNumberFormat="1" applyFont="1" applyBorder="1" applyAlignment="1">
      <alignment horizontal="right" vertical="center" wrapText="1"/>
    </xf>
    <xf numFmtId="190" fontId="241" fillId="0" borderId="55" xfId="199" applyNumberFormat="1" applyFont="1" applyBorder="1" applyAlignment="1">
      <alignment horizontal="right" vertical="center" wrapText="1"/>
    </xf>
    <xf numFmtId="0" fontId="243" fillId="0" borderId="92" xfId="0" applyFont="1" applyBorder="1" applyAlignment="1">
      <alignment horizontal="center" vertical="center" wrapText="1"/>
    </xf>
    <xf numFmtId="3" fontId="244" fillId="0" borderId="92" xfId="0" applyNumberFormat="1" applyFont="1" applyBorder="1" applyAlignment="1">
      <alignment horizontal="center" vertical="center" wrapText="1"/>
    </xf>
    <xf numFmtId="0" fontId="245" fillId="0" borderId="92" xfId="0" applyFont="1" applyBorder="1" applyAlignment="1">
      <alignment horizontal="center" vertical="center" wrapText="1"/>
    </xf>
    <xf numFmtId="0" fontId="242" fillId="0" borderId="92" xfId="0" applyFont="1" applyBorder="1" applyAlignment="1">
      <alignment horizontal="center" vertical="center" wrapText="1"/>
    </xf>
    <xf numFmtId="3" fontId="243" fillId="0" borderId="92" xfId="0" applyNumberFormat="1" applyFont="1" applyBorder="1" applyAlignment="1">
      <alignment horizontal="center" vertical="center" wrapText="1"/>
    </xf>
    <xf numFmtId="9" fontId="243" fillId="0" borderId="92" xfId="1" applyFont="1" applyBorder="1" applyAlignment="1">
      <alignment horizontal="center" vertical="center" wrapText="1"/>
    </xf>
    <xf numFmtId="9" fontId="243" fillId="0" borderId="92" xfId="1" applyFont="1" applyBorder="1" applyAlignment="1">
      <alignment horizontal="center" vertical="center" wrapText="1"/>
    </xf>
    <xf numFmtId="0" fontId="242" fillId="0" borderId="92" xfId="0" applyFont="1" applyBorder="1" applyAlignment="1">
      <alignment horizontal="center" vertical="center" wrapText="1"/>
    </xf>
    <xf numFmtId="0" fontId="243" fillId="0" borderId="92" xfId="0" applyFont="1" applyBorder="1" applyAlignment="1">
      <alignment vertical="center" wrapText="1"/>
    </xf>
    <xf numFmtId="3" fontId="243" fillId="0" borderId="92" xfId="0" applyNumberFormat="1" applyFont="1" applyBorder="1" applyAlignment="1">
      <alignment horizontal="center" vertical="center" wrapText="1"/>
    </xf>
    <xf numFmtId="0" fontId="234" fillId="0" borderId="0" xfId="15" applyFont="1" applyAlignment="1">
      <alignment horizontal="left" vertical="top"/>
    </xf>
    <xf numFmtId="0" fontId="246" fillId="0" borderId="0" xfId="15" applyFont="1" applyAlignment="1">
      <alignment horizontal="left" vertical="top"/>
    </xf>
    <xf numFmtId="0" fontId="247" fillId="0" borderId="0" xfId="15" applyFont="1" applyAlignment="1">
      <alignment horizontal="left" vertical="top"/>
    </xf>
    <xf numFmtId="0" fontId="248" fillId="0" borderId="0" xfId="15" applyFont="1" applyAlignment="1">
      <alignment horizontal="left" vertical="top"/>
    </xf>
    <xf numFmtId="0" fontId="249" fillId="0" borderId="93" xfId="15" applyFont="1" applyBorder="1" applyAlignment="1">
      <alignment horizontal="center" vertical="center" wrapText="1"/>
    </xf>
    <xf numFmtId="0" fontId="249" fillId="0" borderId="5" xfId="15" applyFont="1" applyBorder="1" applyAlignment="1">
      <alignment horizontal="center" vertical="center" wrapText="1"/>
    </xf>
    <xf numFmtId="0" fontId="250" fillId="0" borderId="2" xfId="15" applyFont="1" applyBorder="1" applyAlignment="1">
      <alignment horizontal="center" vertical="center" wrapText="1"/>
    </xf>
    <xf numFmtId="0" fontId="250" fillId="0" borderId="80" xfId="15" applyFont="1" applyBorder="1" applyAlignment="1">
      <alignment horizontal="center" vertical="center" wrapText="1"/>
    </xf>
    <xf numFmtId="0" fontId="251" fillId="17" borderId="92" xfId="15" applyFont="1" applyFill="1" applyBorder="1" applyAlignment="1">
      <alignment horizontal="left" vertical="top" wrapText="1"/>
    </xf>
    <xf numFmtId="0" fontId="234" fillId="0" borderId="92" xfId="15" applyFont="1" applyBorder="1" applyAlignment="1">
      <alignment horizontal="left" vertical="top" wrapText="1"/>
    </xf>
    <xf numFmtId="0" fontId="234" fillId="0" borderId="92" xfId="15" applyFont="1" applyFill="1" applyBorder="1" applyAlignment="1">
      <alignment horizontal="left" vertical="top" wrapText="1"/>
    </xf>
    <xf numFmtId="0" fontId="246" fillId="4" borderId="92" xfId="15" applyFont="1" applyFill="1" applyBorder="1" applyAlignment="1">
      <alignment horizontal="center" vertical="top" wrapText="1"/>
    </xf>
    <xf numFmtId="0" fontId="246" fillId="21" borderId="92" xfId="15" applyFont="1" applyFill="1" applyBorder="1" applyAlignment="1">
      <alignment horizontal="center" vertical="top" wrapText="1"/>
    </xf>
    <xf numFmtId="0" fontId="234" fillId="0" borderId="0" xfId="15" applyFont="1" applyAlignment="1">
      <alignment horizontal="left" vertical="top" wrapText="1"/>
    </xf>
    <xf numFmtId="0" fontId="246" fillId="0" borderId="0" xfId="15" applyFont="1" applyAlignment="1">
      <alignment horizontal="left" vertical="top" wrapText="1"/>
    </xf>
    <xf numFmtId="0" fontId="253" fillId="0" borderId="0" xfId="15" applyFont="1" applyAlignment="1">
      <alignment horizontal="left" vertical="top" wrapText="1"/>
    </xf>
    <xf numFmtId="0" fontId="254" fillId="0" borderId="0" xfId="15" applyFont="1" applyAlignment="1">
      <alignment horizontal="left" vertical="top" wrapText="1"/>
    </xf>
    <xf numFmtId="0" fontId="254" fillId="0" borderId="0" xfId="15" applyFont="1" applyAlignment="1">
      <alignment horizontal="left" vertical="top"/>
    </xf>
    <xf numFmtId="0" fontId="255" fillId="0" borderId="0" xfId="15" applyFont="1" applyAlignment="1">
      <alignment horizontal="left" vertical="top"/>
    </xf>
    <xf numFmtId="0" fontId="256" fillId="0" borderId="93" xfId="15" applyFont="1" applyBorder="1" applyAlignment="1">
      <alignment horizontal="center" vertical="center" wrapText="1"/>
    </xf>
    <xf numFmtId="0" fontId="257" fillId="17" borderId="92" xfId="15" applyFont="1" applyFill="1" applyBorder="1" applyAlignment="1">
      <alignment horizontal="left" vertical="top" wrapText="1"/>
    </xf>
    <xf numFmtId="0" fontId="254" fillId="0" borderId="92" xfId="15" applyFont="1" applyBorder="1" applyAlignment="1">
      <alignment horizontal="left" vertical="top" wrapText="1"/>
    </xf>
    <xf numFmtId="0" fontId="254" fillId="0" borderId="92" xfId="15" applyFont="1" applyFill="1" applyBorder="1" applyAlignment="1">
      <alignment horizontal="left" vertical="top" wrapText="1"/>
    </xf>
    <xf numFmtId="0" fontId="255" fillId="4" borderId="92" xfId="15" applyFont="1" applyFill="1" applyBorder="1" applyAlignment="1">
      <alignment horizontal="center" vertical="top" wrapText="1"/>
    </xf>
    <xf numFmtId="0" fontId="255" fillId="21" borderId="92" xfId="15" applyFont="1" applyFill="1" applyBorder="1" applyAlignment="1">
      <alignment horizontal="center" vertical="top" wrapText="1"/>
    </xf>
    <xf numFmtId="0" fontId="255" fillId="0" borderId="0" xfId="15" applyFont="1" applyAlignment="1">
      <alignment horizontal="left" vertical="top" wrapText="1"/>
    </xf>
    <xf numFmtId="0" fontId="256" fillId="0" borderId="5" xfId="15" applyFont="1" applyBorder="1" applyAlignment="1">
      <alignment horizontal="center" vertical="center" wrapText="1"/>
    </xf>
    <xf numFmtId="0" fontId="252" fillId="0" borderId="0" xfId="15" applyFont="1" applyAlignment="1">
      <alignment horizontal="left" vertical="top"/>
    </xf>
    <xf numFmtId="0" fontId="249" fillId="0" borderId="2" xfId="15" applyFont="1" applyBorder="1" applyAlignment="1">
      <alignment horizontal="center" vertical="center" wrapText="1"/>
    </xf>
    <xf numFmtId="0" fontId="251" fillId="17" borderId="2" xfId="15" applyFont="1" applyFill="1" applyBorder="1" applyAlignment="1">
      <alignment horizontal="left" vertical="top" wrapText="1"/>
    </xf>
    <xf numFmtId="0" fontId="251" fillId="17" borderId="2" xfId="15" applyFont="1" applyFill="1" applyBorder="1" applyAlignment="1">
      <alignment horizontal="center" vertical="center" wrapText="1"/>
    </xf>
    <xf numFmtId="3" fontId="251" fillId="17" borderId="2" xfId="15" applyNumberFormat="1" applyFont="1" applyFill="1" applyBorder="1" applyAlignment="1">
      <alignment horizontal="right" vertical="center" wrapText="1"/>
    </xf>
    <xf numFmtId="0" fontId="234" fillId="0" borderId="2" xfId="15" applyFont="1" applyBorder="1" applyAlignment="1">
      <alignment horizontal="left" vertical="top" wrapText="1"/>
    </xf>
    <xf numFmtId="0" fontId="252" fillId="0" borderId="2" xfId="15" applyFont="1" applyBorder="1" applyAlignment="1">
      <alignment horizontal="center" vertical="center" wrapText="1"/>
    </xf>
    <xf numFmtId="0" fontId="234" fillId="0" borderId="2" xfId="15" applyFont="1" applyFill="1" applyBorder="1" applyAlignment="1">
      <alignment horizontal="left" vertical="top" wrapText="1"/>
    </xf>
    <xf numFmtId="0" fontId="246" fillId="4" borderId="2" xfId="15" applyFont="1" applyFill="1" applyBorder="1" applyAlignment="1">
      <alignment horizontal="center" vertical="top" wrapText="1"/>
    </xf>
    <xf numFmtId="0" fontId="246" fillId="4" borderId="2" xfId="15" applyFont="1" applyFill="1" applyBorder="1" applyAlignment="1">
      <alignment horizontal="center" vertical="center" wrapText="1"/>
    </xf>
    <xf numFmtId="0" fontId="246" fillId="21" borderId="2" xfId="15" applyFont="1" applyFill="1" applyBorder="1" applyAlignment="1">
      <alignment horizontal="center" vertical="top" wrapText="1"/>
    </xf>
    <xf numFmtId="0" fontId="246" fillId="21" borderId="2" xfId="15" applyFont="1" applyFill="1" applyBorder="1" applyAlignment="1">
      <alignment horizontal="center" vertical="center" wrapText="1"/>
    </xf>
    <xf numFmtId="0" fontId="252" fillId="0" borderId="0" xfId="15" applyFont="1" applyAlignment="1">
      <alignment horizontal="center" vertical="center" wrapText="1"/>
    </xf>
    <xf numFmtId="3" fontId="234" fillId="0" borderId="0" xfId="15" applyNumberFormat="1" applyFont="1" applyAlignment="1">
      <alignment horizontal="left" vertical="top" wrapText="1"/>
    </xf>
    <xf numFmtId="0" fontId="252" fillId="0" borderId="0" xfId="15" applyFont="1" applyAlignment="1">
      <alignment horizontal="left" vertical="top" wrapText="1"/>
    </xf>
    <xf numFmtId="9" fontId="252" fillId="0" borderId="0" xfId="1" applyFont="1" applyAlignment="1">
      <alignment horizontal="left" vertical="top" wrapText="1"/>
    </xf>
    <xf numFmtId="3" fontId="251" fillId="17" borderId="2" xfId="15" applyNumberFormat="1" applyFont="1" applyFill="1" applyBorder="1" applyAlignment="1">
      <alignment horizontal="right" vertical="top" wrapText="1"/>
    </xf>
    <xf numFmtId="3" fontId="258" fillId="18" borderId="2" xfId="15" applyNumberFormat="1" applyFont="1" applyFill="1" applyBorder="1" applyAlignment="1">
      <alignment horizontal="right" vertical="top" wrapText="1"/>
    </xf>
    <xf numFmtId="0" fontId="234" fillId="0" borderId="2" xfId="15" applyFont="1" applyFill="1" applyBorder="1" applyAlignment="1">
      <alignment horizontal="center" vertical="center" wrapText="1"/>
    </xf>
    <xf numFmtId="3" fontId="234" fillId="0" borderId="2" xfId="15" applyNumberFormat="1" applyFont="1" applyFill="1" applyBorder="1" applyAlignment="1">
      <alignment horizontal="right" vertical="top" wrapText="1"/>
    </xf>
    <xf numFmtId="3" fontId="252" fillId="15" borderId="2" xfId="15" applyNumberFormat="1" applyFont="1" applyFill="1" applyBorder="1" applyAlignment="1">
      <alignment horizontal="right" vertical="top" wrapText="1"/>
    </xf>
    <xf numFmtId="3" fontId="246" fillId="4" borderId="2" xfId="15" applyNumberFormat="1" applyFont="1" applyFill="1" applyBorder="1" applyAlignment="1">
      <alignment horizontal="right" vertical="top" wrapText="1"/>
    </xf>
    <xf numFmtId="3" fontId="246" fillId="21" borderId="2" xfId="15" applyNumberFormat="1" applyFont="1" applyFill="1" applyBorder="1" applyAlignment="1">
      <alignment horizontal="right" vertical="top" wrapText="1"/>
    </xf>
    <xf numFmtId="3" fontId="234" fillId="0" borderId="2" xfId="15" applyNumberFormat="1" applyFont="1" applyBorder="1" applyAlignment="1">
      <alignment horizontal="right" vertical="top" wrapText="1"/>
    </xf>
    <xf numFmtId="3" fontId="258" fillId="8" borderId="2" xfId="15" applyNumberFormat="1" applyFont="1" applyFill="1" applyBorder="1" applyAlignment="1">
      <alignment horizontal="right" vertical="top" wrapText="1"/>
    </xf>
    <xf numFmtId="0" fontId="252" fillId="0" borderId="0" xfId="15" applyFont="1" applyAlignment="1">
      <alignment horizontal="center" vertical="top" wrapText="1"/>
    </xf>
    <xf numFmtId="0" fontId="260" fillId="0" borderId="0" xfId="15" applyFont="1" applyAlignment="1">
      <alignment horizontal="center" vertical="top" wrapText="1"/>
    </xf>
    <xf numFmtId="4" fontId="253" fillId="0" borderId="0" xfId="15" applyNumberFormat="1" applyFont="1" applyAlignment="1">
      <alignment horizontal="right" vertical="top" wrapText="1"/>
    </xf>
    <xf numFmtId="0" fontId="255" fillId="0" borderId="0" xfId="15" applyFont="1" applyAlignment="1">
      <alignment horizontal="center" vertical="top" wrapText="1"/>
    </xf>
    <xf numFmtId="4" fontId="254" fillId="0" borderId="0" xfId="15" applyNumberFormat="1" applyFont="1" applyAlignment="1">
      <alignment horizontal="right" vertical="top" wrapText="1"/>
    </xf>
    <xf numFmtId="0" fontId="252" fillId="0" borderId="2" xfId="15" applyFont="1" applyBorder="1" applyAlignment="1">
      <alignment horizontal="center" vertical="top" wrapText="1"/>
    </xf>
    <xf numFmtId="3" fontId="234" fillId="0" borderId="80" xfId="15" applyNumberFormat="1" applyFont="1" applyBorder="1" applyAlignment="1">
      <alignment horizontal="right" vertical="top" wrapText="1"/>
    </xf>
    <xf numFmtId="3" fontId="234" fillId="4" borderId="2" xfId="15" applyNumberFormat="1" applyFont="1" applyFill="1" applyBorder="1" applyAlignment="1">
      <alignment horizontal="right" vertical="top" wrapText="1"/>
    </xf>
    <xf numFmtId="3" fontId="234" fillId="4" borderId="80" xfId="15" applyNumberFormat="1" applyFont="1" applyFill="1" applyBorder="1" applyAlignment="1">
      <alignment horizontal="right" vertical="top" wrapText="1"/>
    </xf>
    <xf numFmtId="3" fontId="246" fillId="4" borderId="80" xfId="15" applyNumberFormat="1" applyFont="1" applyFill="1" applyBorder="1" applyAlignment="1">
      <alignment horizontal="right" vertical="top" wrapText="1"/>
    </xf>
    <xf numFmtId="3" fontId="246" fillId="21" borderId="80" xfId="15" applyNumberFormat="1" applyFont="1" applyFill="1" applyBorder="1" applyAlignment="1">
      <alignment horizontal="right" vertical="top" wrapText="1"/>
    </xf>
    <xf numFmtId="3" fontId="234" fillId="0" borderId="0" xfId="15" applyNumberFormat="1" applyFont="1" applyAlignment="1">
      <alignment horizontal="right" vertical="top" wrapText="1"/>
    </xf>
    <xf numFmtId="164" fontId="234" fillId="0" borderId="0" xfId="15" applyNumberFormat="1" applyFont="1" applyAlignment="1">
      <alignment horizontal="left" vertical="top" wrapText="1"/>
    </xf>
    <xf numFmtId="167" fontId="252" fillId="3" borderId="0" xfId="15" applyNumberFormat="1" applyFont="1" applyFill="1" applyAlignment="1">
      <alignment horizontal="right" vertical="top" wrapText="1"/>
    </xf>
    <xf numFmtId="186" fontId="250" fillId="0" borderId="0" xfId="12" applyNumberFormat="1" applyFont="1" applyAlignment="1">
      <alignment horizontal="center" vertical="top" wrapText="1"/>
    </xf>
    <xf numFmtId="186" fontId="249" fillId="0" borderId="0" xfId="12" applyNumberFormat="1" applyFont="1" applyAlignment="1">
      <alignment horizontal="center" vertical="top" wrapText="1"/>
    </xf>
    <xf numFmtId="167" fontId="234" fillId="0" borderId="0" xfId="15" applyNumberFormat="1" applyFont="1" applyAlignment="1">
      <alignment horizontal="right" vertical="top" wrapText="1"/>
    </xf>
    <xf numFmtId="167" fontId="252" fillId="0" borderId="0" xfId="15" applyNumberFormat="1" applyFont="1" applyAlignment="1">
      <alignment horizontal="right" vertical="top" wrapText="1"/>
    </xf>
    <xf numFmtId="9" fontId="234" fillId="0" borderId="0" xfId="1" applyFont="1" applyAlignment="1">
      <alignment vertical="top" wrapText="1"/>
    </xf>
    <xf numFmtId="3" fontId="252" fillId="15" borderId="92" xfId="15" applyNumberFormat="1" applyFont="1" applyFill="1" applyBorder="1" applyAlignment="1">
      <alignment horizontal="right" vertical="center" wrapText="1"/>
    </xf>
    <xf numFmtId="3" fontId="92" fillId="0" borderId="92" xfId="15" applyNumberFormat="1" applyFont="1" applyBorder="1" applyAlignment="1">
      <alignment horizontal="right" vertical="center" wrapText="1"/>
    </xf>
    <xf numFmtId="3" fontId="34" fillId="0" borderId="68" xfId="0" applyNumberFormat="1" applyFont="1" applyBorder="1" applyAlignment="1">
      <alignment horizontal="right" vertical="top" wrapText="1"/>
    </xf>
    <xf numFmtId="0" fontId="2" fillId="0" borderId="0" xfId="15" applyFont="1" applyBorder="1" applyAlignment="1">
      <alignment horizontal="left" vertical="top" wrapText="1"/>
    </xf>
    <xf numFmtId="0" fontId="251" fillId="17" borderId="92" xfId="15" applyFont="1" applyFill="1" applyBorder="1" applyAlignment="1">
      <alignment horizontal="center" vertical="top" wrapText="1"/>
    </xf>
    <xf numFmtId="0" fontId="257" fillId="17" borderId="92" xfId="15" applyFont="1" applyFill="1" applyBorder="1" applyAlignment="1">
      <alignment horizontal="center" vertical="top" wrapText="1"/>
    </xf>
    <xf numFmtId="0" fontId="246" fillId="0" borderId="84" xfId="15" applyFont="1" applyBorder="1" applyAlignment="1">
      <alignment horizontal="center" vertical="center" wrapText="1"/>
    </xf>
    <xf numFmtId="0" fontId="249" fillId="0" borderId="92" xfId="15" applyFont="1" applyBorder="1" applyAlignment="1">
      <alignment horizontal="center" vertical="center" wrapText="1"/>
    </xf>
    <xf numFmtId="167" fontId="258" fillId="18" borderId="92" xfId="15" applyNumberFormat="1" applyFont="1" applyFill="1" applyBorder="1" applyAlignment="1">
      <alignment horizontal="center" vertical="center" wrapText="1"/>
    </xf>
    <xf numFmtId="3" fontId="259" fillId="20" borderId="92" xfId="15" applyNumberFormat="1" applyFont="1" applyFill="1" applyBorder="1" applyAlignment="1">
      <alignment horizontal="right" vertical="center" wrapText="1"/>
    </xf>
    <xf numFmtId="3" fontId="258" fillId="18" borderId="92" xfId="15" applyNumberFormat="1" applyFont="1" applyFill="1" applyBorder="1" applyAlignment="1">
      <alignment horizontal="right" vertical="center" wrapText="1"/>
    </xf>
    <xf numFmtId="3" fontId="246" fillId="21" borderId="92" xfId="15" applyNumberFormat="1" applyFont="1" applyFill="1" applyBorder="1" applyAlignment="1">
      <alignment horizontal="right" vertical="center" wrapText="1"/>
    </xf>
    <xf numFmtId="3" fontId="258" fillId="8" borderId="92" xfId="15" applyNumberFormat="1" applyFont="1" applyFill="1" applyBorder="1" applyAlignment="1">
      <alignment horizontal="right" vertical="center" wrapText="1"/>
    </xf>
    <xf numFmtId="3" fontId="258" fillId="18" borderId="92" xfId="15" applyNumberFormat="1" applyFont="1" applyFill="1" applyBorder="1" applyAlignment="1">
      <alignment horizontal="right" vertical="top" wrapText="1"/>
    </xf>
    <xf numFmtId="3" fontId="252" fillId="15" borderId="92" xfId="15" applyNumberFormat="1" applyFont="1" applyFill="1" applyBorder="1" applyAlignment="1">
      <alignment horizontal="right" vertical="top" wrapText="1"/>
    </xf>
    <xf numFmtId="3" fontId="246" fillId="21" borderId="92" xfId="15" applyNumberFormat="1" applyFont="1" applyFill="1" applyBorder="1" applyAlignment="1">
      <alignment horizontal="right" vertical="top" wrapText="1"/>
    </xf>
    <xf numFmtId="3" fontId="258" fillId="8" borderId="92" xfId="15" applyNumberFormat="1" applyFont="1" applyFill="1" applyBorder="1" applyAlignment="1">
      <alignment horizontal="right" vertical="top" wrapText="1"/>
    </xf>
    <xf numFmtId="0" fontId="246" fillId="0" borderId="85" xfId="15" applyFont="1" applyBorder="1" applyAlignment="1">
      <alignment horizontal="center" vertical="center" wrapText="1"/>
    </xf>
    <xf numFmtId="0" fontId="243" fillId="0" borderId="92" xfId="0" applyFont="1" applyBorder="1" applyAlignment="1">
      <alignment horizontal="center" vertical="center" wrapText="1"/>
    </xf>
    <xf numFmtId="3" fontId="243" fillId="0" borderId="92" xfId="0" applyNumberFormat="1" applyFont="1" applyBorder="1" applyAlignment="1">
      <alignment horizontal="center" vertical="center" wrapText="1"/>
    </xf>
    <xf numFmtId="0" fontId="261" fillId="0" borderId="54" xfId="0" applyFont="1" applyBorder="1" applyAlignment="1">
      <alignment vertical="center" wrapText="1"/>
    </xf>
    <xf numFmtId="0" fontId="261" fillId="0" borderId="81" xfId="0" applyFont="1" applyBorder="1" applyAlignment="1">
      <alignment horizontal="center" vertical="center" wrapText="1"/>
    </xf>
    <xf numFmtId="0" fontId="31" fillId="0" borderId="33" xfId="0" applyFont="1" applyBorder="1" applyAlignment="1">
      <alignment vertical="center" wrapText="1"/>
    </xf>
    <xf numFmtId="3" fontId="31" fillId="0" borderId="55" xfId="0" applyNumberFormat="1" applyFont="1" applyBorder="1" applyAlignment="1">
      <alignment horizontal="center" vertical="center" wrapText="1"/>
    </xf>
    <xf numFmtId="3" fontId="70" fillId="0" borderId="55" xfId="0" applyNumberFormat="1" applyFont="1" applyBorder="1" applyAlignment="1">
      <alignment horizontal="center" vertical="center" wrapText="1"/>
    </xf>
    <xf numFmtId="10" fontId="31" fillId="0" borderId="55" xfId="0" applyNumberFormat="1" applyFont="1" applyBorder="1" applyAlignment="1">
      <alignment horizontal="center" vertical="center" wrapText="1"/>
    </xf>
    <xf numFmtId="0" fontId="70" fillId="0" borderId="55" xfId="0" applyFont="1" applyBorder="1" applyAlignment="1">
      <alignment horizontal="center" vertical="center" wrapText="1"/>
    </xf>
    <xf numFmtId="0" fontId="31" fillId="0" borderId="55" xfId="0" applyFont="1" applyBorder="1" applyAlignment="1">
      <alignment horizontal="center" vertical="center" wrapText="1"/>
    </xf>
    <xf numFmtId="169" fontId="0" fillId="0" borderId="0" xfId="0" applyNumberFormat="1"/>
    <xf numFmtId="9" fontId="236" fillId="0" borderId="55" xfId="0" applyNumberFormat="1" applyFont="1" applyBorder="1" applyAlignment="1">
      <alignment horizontal="center" vertical="center" wrapText="1"/>
    </xf>
    <xf numFmtId="0" fontId="241" fillId="0" borderId="54" xfId="0" applyFont="1" applyBorder="1" applyAlignment="1">
      <alignment horizontal="center" vertical="center" wrapText="1"/>
    </xf>
    <xf numFmtId="0" fontId="241" fillId="0" borderId="81" xfId="0" applyFont="1" applyBorder="1" applyAlignment="1">
      <alignment horizontal="center" vertical="center" wrapText="1"/>
    </xf>
    <xf numFmtId="10" fontId="241" fillId="0" borderId="33" xfId="0" applyNumberFormat="1" applyFont="1" applyBorder="1" applyAlignment="1">
      <alignment horizontal="center" vertical="center" wrapText="1"/>
    </xf>
    <xf numFmtId="10" fontId="241" fillId="0" borderId="55" xfId="0" applyNumberFormat="1" applyFont="1" applyBorder="1" applyAlignment="1">
      <alignment horizontal="center" vertical="center" wrapText="1"/>
    </xf>
    <xf numFmtId="0" fontId="241" fillId="0" borderId="33" xfId="0" applyFont="1" applyBorder="1" applyAlignment="1">
      <alignment horizontal="center" vertical="center" wrapText="1"/>
    </xf>
    <xf numFmtId="0" fontId="241" fillId="0" borderId="55" xfId="0" applyFont="1" applyBorder="1" applyAlignment="1">
      <alignment horizontal="center" vertical="center" wrapText="1"/>
    </xf>
    <xf numFmtId="0" fontId="31" fillId="0" borderId="0" xfId="0" applyFont="1"/>
    <xf numFmtId="0" fontId="262" fillId="0" borderId="92" xfId="0" applyFont="1" applyBorder="1" applyAlignment="1">
      <alignment horizontal="center" vertical="center" wrapText="1"/>
    </xf>
    <xf numFmtId="0" fontId="257" fillId="0" borderId="92" xfId="0" applyFont="1" applyBorder="1" applyAlignment="1">
      <alignment horizontal="center" vertical="center" wrapText="1"/>
    </xf>
    <xf numFmtId="0" fontId="257" fillId="0" borderId="92" xfId="0" applyFont="1" applyBorder="1" applyAlignment="1">
      <alignment vertical="center" wrapText="1"/>
    </xf>
    <xf numFmtId="3" fontId="257" fillId="0" borderId="92" xfId="0" applyNumberFormat="1" applyFont="1" applyBorder="1" applyAlignment="1">
      <alignment horizontal="center" vertical="center" wrapText="1"/>
    </xf>
    <xf numFmtId="3" fontId="262" fillId="0" borderId="92" xfId="0" applyNumberFormat="1" applyFont="1" applyBorder="1" applyAlignment="1">
      <alignment horizontal="center" vertical="center" wrapText="1"/>
    </xf>
    <xf numFmtId="0" fontId="263" fillId="0" borderId="92" xfId="0" applyFont="1" applyBorder="1" applyAlignment="1">
      <alignment horizontal="left" vertical="center" wrapText="1" indent="2"/>
    </xf>
    <xf numFmtId="0" fontId="241" fillId="0" borderId="92" xfId="0" applyFont="1" applyBorder="1" applyAlignment="1">
      <alignment vertical="center" wrapText="1"/>
    </xf>
    <xf numFmtId="3" fontId="202" fillId="0" borderId="92" xfId="0" applyNumberFormat="1" applyFont="1" applyBorder="1" applyAlignment="1">
      <alignment vertical="center" wrapText="1"/>
    </xf>
    <xf numFmtId="3" fontId="241" fillId="0" borderId="92" xfId="0" applyNumberFormat="1" applyFont="1" applyBorder="1" applyAlignment="1">
      <alignment horizontal="center" vertical="center" wrapText="1"/>
    </xf>
    <xf numFmtId="0" fontId="170" fillId="0" borderId="92" xfId="0" applyFont="1" applyBorder="1" applyAlignment="1">
      <alignment horizontal="right" vertical="center" wrapText="1"/>
    </xf>
    <xf numFmtId="43" fontId="202" fillId="0" borderId="0" xfId="12" applyFont="1"/>
    <xf numFmtId="44" fontId="202" fillId="0" borderId="0" xfId="0" applyNumberFormat="1" applyFont="1"/>
    <xf numFmtId="4" fontId="1" fillId="0" borderId="0" xfId="15" applyNumberFormat="1" applyFont="1" applyBorder="1" applyAlignment="1">
      <alignment horizontal="right" vertical="top" wrapText="1"/>
    </xf>
    <xf numFmtId="9" fontId="21" fillId="0" borderId="92" xfId="15" applyNumberFormat="1" applyFont="1" applyBorder="1" applyAlignment="1">
      <alignment wrapText="1"/>
    </xf>
    <xf numFmtId="9" fontId="21" fillId="0" borderId="92" xfId="1" applyFont="1" applyBorder="1" applyAlignment="1">
      <alignment wrapText="1"/>
    </xf>
    <xf numFmtId="43" fontId="10" fillId="0" borderId="0" xfId="12" applyFont="1" applyAlignment="1">
      <alignment wrapText="1"/>
    </xf>
    <xf numFmtId="43" fontId="21" fillId="0" borderId="0" xfId="15" applyNumberFormat="1" applyFont="1" applyAlignment="1">
      <alignment wrapText="1"/>
    </xf>
    <xf numFmtId="43" fontId="21" fillId="0" borderId="0" xfId="12" applyFont="1" applyAlignment="1">
      <alignment wrapText="1"/>
    </xf>
    <xf numFmtId="9" fontId="252" fillId="0" borderId="0" xfId="1" applyFont="1" applyAlignment="1">
      <alignment horizontal="left" vertical="top"/>
    </xf>
    <xf numFmtId="0" fontId="242" fillId="0" borderId="93" xfId="15" applyFont="1" applyBorder="1" applyAlignment="1">
      <alignment horizontal="center" vertical="center" wrapText="1"/>
    </xf>
    <xf numFmtId="0" fontId="262" fillId="0" borderId="93" xfId="15" applyFont="1" applyBorder="1" applyAlignment="1">
      <alignment horizontal="center" vertical="center" wrapText="1"/>
    </xf>
    <xf numFmtId="0" fontId="245" fillId="0" borderId="83" xfId="15" applyFont="1" applyBorder="1" applyAlignment="1">
      <alignment horizontal="left" vertical="top" wrapText="1"/>
    </xf>
    <xf numFmtId="0" fontId="242" fillId="0" borderId="5" xfId="15" applyFont="1" applyBorder="1" applyAlignment="1">
      <alignment horizontal="center" vertical="center" wrapText="1"/>
    </xf>
    <xf numFmtId="0" fontId="265" fillId="0" borderId="2" xfId="15" applyFont="1" applyBorder="1" applyAlignment="1">
      <alignment horizontal="center" vertical="center" wrapText="1"/>
    </xf>
    <xf numFmtId="0" fontId="265" fillId="0" borderId="80" xfId="15" applyFont="1" applyBorder="1" applyAlignment="1">
      <alignment horizontal="center" vertical="center" wrapText="1"/>
    </xf>
    <xf numFmtId="0" fontId="267" fillId="0" borderId="2" xfId="15" applyFont="1" applyBorder="1" applyAlignment="1">
      <alignment horizontal="center" vertical="center" wrapText="1"/>
    </xf>
    <xf numFmtId="0" fontId="267" fillId="0" borderId="80" xfId="15" applyFont="1" applyBorder="1" applyAlignment="1">
      <alignment horizontal="center" vertical="center" wrapText="1"/>
    </xf>
    <xf numFmtId="0" fontId="242" fillId="0" borderId="2" xfId="15" applyFont="1" applyBorder="1" applyAlignment="1">
      <alignment horizontal="center" vertical="center" wrapText="1"/>
    </xf>
    <xf numFmtId="0" fontId="251" fillId="0" borderId="84" xfId="15" applyFont="1" applyBorder="1" applyAlignment="1">
      <alignment horizontal="center" vertical="center" wrapText="1"/>
    </xf>
    <xf numFmtId="167" fontId="251" fillId="18" borderId="2" xfId="15" applyNumberFormat="1" applyFont="1" applyFill="1" applyBorder="1" applyAlignment="1">
      <alignment horizontal="center" vertical="center" wrapText="1"/>
    </xf>
    <xf numFmtId="167" fontId="251" fillId="18" borderId="92" xfId="15" applyNumberFormat="1" applyFont="1" applyFill="1" applyBorder="1" applyAlignment="1">
      <alignment horizontal="center" vertical="center" wrapText="1"/>
    </xf>
    <xf numFmtId="0" fontId="110" fillId="19" borderId="2" xfId="15" applyFont="1" applyFill="1" applyBorder="1" applyAlignment="1">
      <alignment horizontal="center" vertical="top" wrapText="1"/>
    </xf>
    <xf numFmtId="0" fontId="245" fillId="19" borderId="2" xfId="15" applyFont="1" applyFill="1" applyBorder="1" applyAlignment="1">
      <alignment horizontal="left" vertical="top" wrapText="1"/>
    </xf>
    <xf numFmtId="0" fontId="245" fillId="19" borderId="92" xfId="15" applyFont="1" applyFill="1" applyBorder="1" applyAlignment="1">
      <alignment horizontal="left" vertical="top" wrapText="1"/>
    </xf>
    <xf numFmtId="0" fontId="257" fillId="19" borderId="92" xfId="15" applyFont="1" applyFill="1" applyBorder="1" applyAlignment="1">
      <alignment horizontal="left" vertical="top" wrapText="1"/>
    </xf>
    <xf numFmtId="0" fontId="245" fillId="19" borderId="2" xfId="15" applyFont="1" applyFill="1" applyBorder="1" applyAlignment="1">
      <alignment horizontal="center" vertical="center" wrapText="1"/>
    </xf>
    <xf numFmtId="3" fontId="245" fillId="19" borderId="2" xfId="15" applyNumberFormat="1" applyFont="1" applyFill="1" applyBorder="1" applyAlignment="1">
      <alignment horizontal="right" vertical="center" wrapText="1"/>
    </xf>
    <xf numFmtId="3" fontId="245" fillId="20" borderId="2" xfId="15" applyNumberFormat="1" applyFont="1" applyFill="1" applyBorder="1" applyAlignment="1">
      <alignment horizontal="right" vertical="center" wrapText="1"/>
    </xf>
    <xf numFmtId="3" fontId="245" fillId="20" borderId="92" xfId="15" applyNumberFormat="1" applyFont="1" applyFill="1" applyBorder="1" applyAlignment="1">
      <alignment horizontal="right" vertical="center" wrapText="1"/>
    </xf>
    <xf numFmtId="0" fontId="34" fillId="0" borderId="2" xfId="15" applyFont="1" applyFill="1" applyBorder="1" applyAlignment="1">
      <alignment horizontal="center" vertical="top" wrapText="1"/>
    </xf>
    <xf numFmtId="0" fontId="243" fillId="0" borderId="2" xfId="15" applyFont="1" applyBorder="1" applyAlignment="1">
      <alignment horizontal="left" vertical="top" wrapText="1"/>
    </xf>
    <xf numFmtId="0" fontId="243" fillId="0" borderId="92" xfId="15" applyFont="1" applyBorder="1" applyAlignment="1">
      <alignment vertical="top" wrapText="1"/>
    </xf>
    <xf numFmtId="0" fontId="241" fillId="0" borderId="92" xfId="15" applyFont="1" applyBorder="1" applyAlignment="1">
      <alignment horizontal="center" wrapText="1"/>
    </xf>
    <xf numFmtId="0" fontId="245" fillId="0" borderId="2" xfId="15" applyFont="1" applyBorder="1" applyAlignment="1">
      <alignment horizontal="center" wrapText="1"/>
    </xf>
    <xf numFmtId="3" fontId="243" fillId="0" borderId="2" xfId="15" applyNumberFormat="1" applyFont="1" applyBorder="1" applyAlignment="1">
      <alignment horizontal="right" wrapText="1"/>
    </xf>
    <xf numFmtId="3" fontId="245" fillId="15" borderId="2" xfId="15" applyNumberFormat="1" applyFont="1" applyFill="1" applyBorder="1" applyAlignment="1">
      <alignment horizontal="right" vertical="center" wrapText="1"/>
    </xf>
    <xf numFmtId="3" fontId="245" fillId="15" borderId="92" xfId="15" applyNumberFormat="1" applyFont="1" applyFill="1" applyBorder="1" applyAlignment="1">
      <alignment horizontal="right" vertical="center" wrapText="1"/>
    </xf>
    <xf numFmtId="0" fontId="243" fillId="0" borderId="92" xfId="15" applyFont="1" applyBorder="1" applyAlignment="1">
      <alignment horizontal="left" vertical="top" wrapText="1"/>
    </xf>
    <xf numFmtId="3" fontId="241" fillId="0" borderId="92" xfId="15" applyNumberFormat="1" applyFont="1" applyBorder="1" applyAlignment="1">
      <alignment horizontal="center" wrapText="1"/>
    </xf>
    <xf numFmtId="3" fontId="243" fillId="0" borderId="92" xfId="15" applyNumberFormat="1" applyFont="1" applyBorder="1" applyAlignment="1">
      <alignment horizontal="left" wrapText="1"/>
    </xf>
    <xf numFmtId="0" fontId="243" fillId="0" borderId="92" xfId="15" applyFont="1" applyBorder="1" applyAlignment="1">
      <alignment horizontal="left" vertical="center" wrapText="1"/>
    </xf>
    <xf numFmtId="0" fontId="241" fillId="0" borderId="92" xfId="15" applyFont="1" applyBorder="1" applyAlignment="1">
      <alignment horizontal="center" vertical="top" wrapText="1"/>
    </xf>
    <xf numFmtId="0" fontId="245" fillId="0" borderId="2" xfId="15" applyFont="1" applyBorder="1" applyAlignment="1">
      <alignment horizontal="center" vertical="center" wrapText="1"/>
    </xf>
    <xf numFmtId="3" fontId="243" fillId="0" borderId="2" xfId="15" applyNumberFormat="1" applyFont="1" applyBorder="1" applyAlignment="1">
      <alignment horizontal="right" vertical="center" wrapText="1"/>
    </xf>
    <xf numFmtId="0" fontId="241" fillId="0" borderId="92" xfId="15" applyFont="1" applyBorder="1" applyAlignment="1">
      <alignment horizontal="center" vertical="center" wrapText="1"/>
    </xf>
    <xf numFmtId="0" fontId="241" fillId="0" borderId="92" xfId="15" applyFont="1" applyBorder="1" applyAlignment="1">
      <alignment horizontal="left" vertical="top" wrapText="1"/>
    </xf>
    <xf numFmtId="0" fontId="243" fillId="0" borderId="92" xfId="15" applyFont="1" applyBorder="1" applyAlignment="1">
      <alignment horizontal="center" vertical="top" wrapText="1"/>
    </xf>
    <xf numFmtId="3" fontId="243" fillId="0" borderId="92" xfId="15" applyNumberFormat="1" applyFont="1" applyBorder="1" applyAlignment="1">
      <alignment horizontal="center" vertical="top" wrapText="1"/>
    </xf>
    <xf numFmtId="3" fontId="241" fillId="0" borderId="92" xfId="15" applyNumberFormat="1" applyFont="1" applyBorder="1" applyAlignment="1">
      <alignment horizontal="center" vertical="center" wrapText="1"/>
    </xf>
    <xf numFmtId="3" fontId="241" fillId="0" borderId="92" xfId="15" applyNumberFormat="1" applyFont="1" applyBorder="1" applyAlignment="1">
      <alignment horizontal="center" vertical="top" wrapText="1"/>
    </xf>
    <xf numFmtId="0" fontId="243" fillId="0" borderId="2" xfId="15" applyFont="1" applyFill="1" applyBorder="1" applyAlignment="1">
      <alignment horizontal="left" vertical="top" wrapText="1"/>
    </xf>
    <xf numFmtId="0" fontId="243" fillId="0" borderId="92" xfId="15" applyFont="1" applyFill="1" applyBorder="1" applyAlignment="1">
      <alignment horizontal="left" vertical="top" wrapText="1"/>
    </xf>
    <xf numFmtId="3" fontId="241" fillId="0" borderId="92" xfId="15" applyNumberFormat="1" applyFont="1" applyFill="1" applyBorder="1" applyAlignment="1">
      <alignment horizontal="center" vertical="top" wrapText="1"/>
    </xf>
    <xf numFmtId="1" fontId="241" fillId="0" borderId="92" xfId="15" applyNumberFormat="1" applyFont="1" applyBorder="1" applyAlignment="1">
      <alignment horizontal="center" vertical="top" wrapText="1"/>
    </xf>
    <xf numFmtId="0" fontId="34" fillId="0" borderId="0" xfId="15" applyFont="1" applyAlignment="1">
      <alignment horizontal="center" vertical="top" wrapText="1"/>
    </xf>
    <xf numFmtId="0" fontId="243" fillId="0" borderId="0" xfId="15" applyFont="1" applyAlignment="1">
      <alignment horizontal="left" vertical="top" wrapText="1"/>
    </xf>
    <xf numFmtId="0" fontId="241" fillId="0" borderId="0" xfId="15" applyFont="1" applyAlignment="1">
      <alignment horizontal="left" vertical="top" wrapText="1"/>
    </xf>
    <xf numFmtId="0" fontId="245" fillId="0" borderId="0" xfId="15" applyFont="1" applyAlignment="1">
      <alignment horizontal="left" vertical="top" wrapText="1"/>
    </xf>
    <xf numFmtId="0" fontId="241" fillId="0" borderId="92" xfId="15" applyFont="1" applyFill="1" applyBorder="1" applyAlignment="1">
      <alignment horizontal="center" vertical="top" wrapText="1"/>
    </xf>
    <xf numFmtId="0" fontId="34" fillId="0" borderId="92" xfId="15" applyFont="1" applyFill="1" applyBorder="1" applyAlignment="1">
      <alignment horizontal="center" vertical="top" wrapText="1"/>
    </xf>
    <xf numFmtId="0" fontId="245" fillId="0" borderId="92" xfId="15" applyFont="1" applyBorder="1" applyAlignment="1">
      <alignment horizontal="center" vertical="center" wrapText="1"/>
    </xf>
    <xf numFmtId="3" fontId="243" fillId="0" borderId="92" xfId="15" applyNumberFormat="1" applyFont="1" applyBorder="1" applyAlignment="1">
      <alignment horizontal="right" vertical="center" wrapText="1"/>
    </xf>
    <xf numFmtId="9" fontId="241" fillId="0" borderId="92" xfId="15" applyNumberFormat="1" applyFont="1" applyBorder="1" applyAlignment="1">
      <alignment horizontal="left" vertical="top" wrapText="1"/>
    </xf>
    <xf numFmtId="0" fontId="241" fillId="0" borderId="92" xfId="15" applyFont="1" applyFill="1" applyBorder="1" applyAlignment="1">
      <alignment horizontal="left" vertical="top" wrapText="1"/>
    </xf>
    <xf numFmtId="3" fontId="251" fillId="18" borderId="2" xfId="15" applyNumberFormat="1" applyFont="1" applyFill="1" applyBorder="1" applyAlignment="1">
      <alignment horizontal="right" vertical="center" wrapText="1"/>
    </xf>
    <xf numFmtId="3" fontId="251" fillId="18" borderId="92" xfId="15" applyNumberFormat="1" applyFont="1" applyFill="1" applyBorder="1" applyAlignment="1">
      <alignment horizontal="right" vertical="center" wrapText="1"/>
    </xf>
    <xf numFmtId="0" fontId="245" fillId="19" borderId="92" xfId="15" applyFont="1" applyFill="1" applyBorder="1" applyAlignment="1">
      <alignment horizontal="center" vertical="top" wrapText="1"/>
    </xf>
    <xf numFmtId="0" fontId="257" fillId="19" borderId="92" xfId="15" applyFont="1" applyFill="1" applyBorder="1" applyAlignment="1">
      <alignment horizontal="center" vertical="top" wrapText="1"/>
    </xf>
    <xf numFmtId="3" fontId="243" fillId="0" borderId="80" xfId="15" applyNumberFormat="1" applyFont="1" applyBorder="1" applyAlignment="1">
      <alignment horizontal="right" vertical="center" wrapText="1"/>
    </xf>
    <xf numFmtId="0" fontId="243" fillId="0" borderId="92" xfId="15" applyFont="1" applyFill="1" applyBorder="1" applyAlignment="1">
      <alignment horizontal="center" vertical="top" wrapText="1"/>
    </xf>
    <xf numFmtId="0" fontId="34" fillId="0" borderId="80" xfId="15" applyFont="1" applyFill="1" applyBorder="1" applyAlignment="1">
      <alignment horizontal="center" vertical="top" wrapText="1"/>
    </xf>
    <xf numFmtId="0" fontId="243" fillId="0" borderId="80" xfId="15" applyFont="1" applyFill="1" applyBorder="1" applyAlignment="1">
      <alignment horizontal="left" vertical="top" wrapText="1"/>
    </xf>
    <xf numFmtId="0" fontId="245" fillId="0" borderId="80" xfId="15" applyFont="1" applyBorder="1" applyAlignment="1">
      <alignment horizontal="center" vertical="center" wrapText="1"/>
    </xf>
    <xf numFmtId="3" fontId="245" fillId="19" borderId="2" xfId="15" applyNumberFormat="1" applyFont="1" applyFill="1" applyBorder="1" applyAlignment="1">
      <alignment horizontal="center" vertical="center" wrapText="1"/>
    </xf>
    <xf numFmtId="3" fontId="243" fillId="0" borderId="2" xfId="15" applyNumberFormat="1" applyFont="1" applyBorder="1" applyAlignment="1">
      <alignment horizontal="center" vertical="center" wrapText="1"/>
    </xf>
    <xf numFmtId="3" fontId="241" fillId="0" borderId="92" xfId="15" applyNumberFormat="1" applyFont="1" applyBorder="1" applyAlignment="1">
      <alignment horizontal="left" vertical="top" wrapText="1"/>
    </xf>
    <xf numFmtId="0" fontId="97" fillId="4" borderId="2" xfId="15" applyFont="1" applyFill="1" applyBorder="1" applyAlignment="1">
      <alignment horizontal="center" vertical="top" wrapText="1"/>
    </xf>
    <xf numFmtId="0" fontId="251" fillId="4" borderId="2" xfId="15" applyFont="1" applyFill="1" applyBorder="1" applyAlignment="1">
      <alignment horizontal="center" vertical="top" wrapText="1"/>
    </xf>
    <xf numFmtId="0" fontId="251" fillId="4" borderId="92" xfId="15" applyFont="1" applyFill="1" applyBorder="1" applyAlignment="1">
      <alignment horizontal="center" vertical="top" wrapText="1"/>
    </xf>
    <xf numFmtId="0" fontId="257" fillId="4" borderId="92" xfId="15" applyFont="1" applyFill="1" applyBorder="1" applyAlignment="1">
      <alignment horizontal="center" vertical="top" wrapText="1"/>
    </xf>
    <xf numFmtId="0" fontId="251" fillId="4" borderId="2" xfId="15" applyFont="1" applyFill="1" applyBorder="1" applyAlignment="1">
      <alignment horizontal="center" vertical="center" wrapText="1"/>
    </xf>
    <xf numFmtId="3" fontId="251" fillId="4" borderId="2" xfId="15" applyNumberFormat="1" applyFont="1" applyFill="1" applyBorder="1" applyAlignment="1">
      <alignment horizontal="right" vertical="center" wrapText="1"/>
    </xf>
    <xf numFmtId="3" fontId="251" fillId="21" borderId="2" xfId="15" applyNumberFormat="1" applyFont="1" applyFill="1" applyBorder="1" applyAlignment="1">
      <alignment horizontal="right" vertical="center" wrapText="1"/>
    </xf>
    <xf numFmtId="3" fontId="251" fillId="21" borderId="92" xfId="15" applyNumberFormat="1" applyFont="1" applyFill="1" applyBorder="1" applyAlignment="1">
      <alignment horizontal="right" vertical="center" wrapText="1"/>
    </xf>
    <xf numFmtId="0" fontId="34" fillId="0" borderId="2" xfId="15" applyFont="1" applyBorder="1" applyAlignment="1">
      <alignment horizontal="center" vertical="top" wrapText="1"/>
    </xf>
    <xf numFmtId="9" fontId="245" fillId="0" borderId="2" xfId="15" applyNumberFormat="1" applyFont="1" applyBorder="1" applyAlignment="1">
      <alignment horizontal="center" vertical="center" wrapText="1"/>
    </xf>
    <xf numFmtId="0" fontId="97" fillId="21" borderId="2" xfId="15" applyFont="1" applyFill="1" applyBorder="1" applyAlignment="1">
      <alignment horizontal="center" vertical="top" wrapText="1"/>
    </xf>
    <xf numFmtId="0" fontId="251" fillId="21" borderId="2" xfId="15" applyFont="1" applyFill="1" applyBorder="1" applyAlignment="1">
      <alignment horizontal="center" vertical="top" wrapText="1"/>
    </xf>
    <xf numFmtId="0" fontId="251" fillId="21" borderId="92" xfId="15" applyFont="1" applyFill="1" applyBorder="1" applyAlignment="1">
      <alignment horizontal="center" vertical="top" wrapText="1"/>
    </xf>
    <xf numFmtId="0" fontId="257" fillId="21" borderId="92" xfId="15" applyFont="1" applyFill="1" applyBorder="1" applyAlignment="1">
      <alignment horizontal="center" vertical="top" wrapText="1"/>
    </xf>
    <xf numFmtId="0" fontId="251" fillId="21" borderId="2" xfId="15" applyFont="1" applyFill="1" applyBorder="1" applyAlignment="1">
      <alignment horizontal="center" vertical="center" wrapText="1"/>
    </xf>
    <xf numFmtId="3" fontId="251" fillId="8" borderId="2" xfId="15" applyNumberFormat="1" applyFont="1" applyFill="1" applyBorder="1" applyAlignment="1">
      <alignment horizontal="right" vertical="center" wrapText="1"/>
    </xf>
    <xf numFmtId="3" fontId="251" fillId="8" borderId="92" xfId="15" applyNumberFormat="1" applyFont="1" applyFill="1" applyBorder="1" applyAlignment="1">
      <alignment horizontal="right" vertical="center" wrapText="1"/>
    </xf>
    <xf numFmtId="9" fontId="34" fillId="0" borderId="0" xfId="1" applyFont="1"/>
    <xf numFmtId="0" fontId="257" fillId="0" borderId="0" xfId="0" applyFont="1" applyBorder="1" applyAlignment="1">
      <alignment horizontal="center" vertical="center" wrapText="1"/>
    </xf>
    <xf numFmtId="0" fontId="257" fillId="0" borderId="0" xfId="0" applyFont="1" applyBorder="1" applyAlignment="1">
      <alignment vertical="center" wrapText="1"/>
    </xf>
    <xf numFmtId="3" fontId="257" fillId="0" borderId="0" xfId="0" applyNumberFormat="1" applyFont="1" applyBorder="1" applyAlignment="1">
      <alignment horizontal="center" vertical="center" wrapText="1"/>
    </xf>
    <xf numFmtId="169" fontId="53" fillId="0" borderId="0" xfId="0" applyNumberFormat="1" applyFont="1"/>
    <xf numFmtId="0" fontId="262" fillId="0" borderId="81" xfId="0" applyFont="1" applyBorder="1" applyAlignment="1">
      <alignment horizontal="center" vertical="center" wrapText="1"/>
    </xf>
    <xf numFmtId="3" fontId="170" fillId="0" borderId="55" xfId="0" applyNumberFormat="1" applyFont="1" applyBorder="1" applyAlignment="1">
      <alignment horizontal="center" vertical="center" wrapText="1"/>
    </xf>
    <xf numFmtId="0" fontId="170" fillId="0" borderId="55" xfId="0" applyFont="1" applyBorder="1" applyAlignment="1">
      <alignment horizontal="center" vertical="center" wrapText="1"/>
    </xf>
    <xf numFmtId="3" fontId="170" fillId="0" borderId="92" xfId="0" applyNumberFormat="1" applyFont="1" applyBorder="1" applyAlignment="1">
      <alignment horizontal="center" vertical="center" wrapText="1"/>
    </xf>
    <xf numFmtId="0" fontId="241" fillId="0" borderId="92" xfId="0" applyFont="1" applyBorder="1" applyAlignment="1">
      <alignment horizontal="center" vertical="center" wrapText="1"/>
    </xf>
    <xf numFmtId="169" fontId="241" fillId="0" borderId="92" xfId="0" applyNumberFormat="1" applyFont="1" applyBorder="1" applyAlignment="1">
      <alignment horizontal="center" vertical="center" wrapText="1"/>
    </xf>
    <xf numFmtId="0" fontId="243" fillId="0" borderId="83" xfId="15" applyFont="1" applyBorder="1" applyAlignment="1">
      <alignment horizontal="center" vertical="top" wrapText="1"/>
    </xf>
    <xf numFmtId="0" fontId="243" fillId="0" borderId="84" xfId="15" applyFont="1" applyBorder="1" applyAlignment="1">
      <alignment horizontal="center" vertical="top" wrapText="1"/>
    </xf>
    <xf numFmtId="0" fontId="243" fillId="0" borderId="85" xfId="15" applyFont="1" applyBorder="1" applyAlignment="1">
      <alignment horizontal="center" vertical="top" wrapText="1"/>
    </xf>
    <xf numFmtId="0" fontId="243" fillId="0" borderId="93" xfId="15" applyFont="1" applyBorder="1" applyAlignment="1">
      <alignment horizontal="center" vertical="top" wrapText="1"/>
    </xf>
    <xf numFmtId="0" fontId="243" fillId="0" borderId="94" xfId="15" applyFont="1" applyBorder="1" applyAlignment="1">
      <alignment horizontal="center" vertical="top" wrapText="1"/>
    </xf>
    <xf numFmtId="0" fontId="243" fillId="0" borderId="5" xfId="15" applyFont="1" applyBorder="1" applyAlignment="1">
      <alignment horizontal="center" vertical="top" wrapText="1"/>
    </xf>
    <xf numFmtId="9" fontId="243" fillId="0" borderId="93" xfId="1" applyFont="1" applyBorder="1" applyAlignment="1">
      <alignment horizontal="center" vertical="center" wrapText="1"/>
    </xf>
    <xf numFmtId="9" fontId="243" fillId="0" borderId="5" xfId="1" applyFont="1" applyBorder="1" applyAlignment="1">
      <alignment horizontal="center" vertical="center" wrapText="1"/>
    </xf>
    <xf numFmtId="9" fontId="243" fillId="0" borderId="92" xfId="1" applyFont="1" applyBorder="1" applyAlignment="1">
      <alignment horizontal="center" vertical="center" wrapText="1"/>
    </xf>
    <xf numFmtId="3" fontId="213" fillId="0" borderId="93" xfId="0" applyNumberFormat="1" applyFont="1" applyBorder="1" applyAlignment="1">
      <alignment horizontal="center" vertical="center" wrapText="1"/>
    </xf>
    <xf numFmtId="3" fontId="213" fillId="0" borderId="5" xfId="0" applyNumberFormat="1" applyFont="1" applyBorder="1" applyAlignment="1">
      <alignment horizontal="center" vertical="center" wrapText="1"/>
    </xf>
    <xf numFmtId="3" fontId="243" fillId="0" borderId="92" xfId="0" applyNumberFormat="1" applyFont="1" applyBorder="1" applyAlignment="1">
      <alignment horizontal="center" vertical="center" wrapText="1"/>
    </xf>
    <xf numFmtId="0" fontId="242" fillId="0" borderId="92" xfId="0" applyFont="1" applyBorder="1" applyAlignment="1">
      <alignment horizontal="center" vertical="center" wrapText="1"/>
    </xf>
    <xf numFmtId="0" fontId="249" fillId="0" borderId="1" xfId="15" applyFont="1" applyBorder="1" applyAlignment="1">
      <alignment horizontal="center" vertical="center" wrapText="1"/>
    </xf>
    <xf numFmtId="0" fontId="249" fillId="0" borderId="5" xfId="15" applyFont="1" applyBorder="1" applyAlignment="1">
      <alignment horizontal="center" vertical="center" wrapText="1"/>
    </xf>
    <xf numFmtId="0" fontId="243" fillId="0" borderId="92" xfId="0" applyFont="1" applyBorder="1" applyAlignment="1">
      <alignment horizontal="center" vertical="center" wrapText="1"/>
    </xf>
    <xf numFmtId="0" fontId="243" fillId="0" borderId="92" xfId="0" applyFont="1" applyBorder="1" applyAlignment="1">
      <alignment vertical="center" wrapText="1"/>
    </xf>
    <xf numFmtId="3" fontId="243" fillId="0" borderId="92" xfId="0" applyNumberFormat="1" applyFont="1" applyBorder="1" applyAlignment="1">
      <alignment vertical="center" wrapText="1"/>
    </xf>
    <xf numFmtId="0" fontId="94" fillId="0" borderId="48" xfId="15" applyFont="1" applyBorder="1" applyAlignment="1">
      <alignment horizontal="center" vertical="center" wrapText="1"/>
    </xf>
    <xf numFmtId="0" fontId="94" fillId="0" borderId="45" xfId="15" applyFont="1" applyBorder="1" applyAlignment="1">
      <alignment horizontal="center" vertical="center" wrapText="1"/>
    </xf>
    <xf numFmtId="0" fontId="94" fillId="0" borderId="72" xfId="15" applyFont="1" applyBorder="1" applyAlignment="1">
      <alignment horizontal="center" vertical="center" wrapText="1"/>
    </xf>
    <xf numFmtId="0" fontId="94" fillId="0" borderId="49" xfId="15" applyFont="1" applyBorder="1" applyAlignment="1">
      <alignment horizontal="center" vertical="center" wrapText="1"/>
    </xf>
    <xf numFmtId="0" fontId="74" fillId="0" borderId="1" xfId="15" applyFont="1" applyBorder="1" applyAlignment="1">
      <alignment horizontal="center" vertical="center" wrapText="1"/>
    </xf>
    <xf numFmtId="0" fontId="74" fillId="0" borderId="5" xfId="15" applyFont="1" applyBorder="1" applyAlignment="1">
      <alignment horizontal="center" vertical="center" wrapText="1"/>
    </xf>
    <xf numFmtId="0" fontId="246" fillId="0" borderId="48" xfId="15" applyFont="1" applyBorder="1" applyAlignment="1">
      <alignment horizontal="center" vertical="center" wrapText="1"/>
    </xf>
    <xf numFmtId="0" fontId="246" fillId="0" borderId="45" xfId="15" applyFont="1" applyBorder="1" applyAlignment="1">
      <alignment horizontal="center" vertical="center" wrapText="1"/>
    </xf>
    <xf numFmtId="0" fontId="246" fillId="0" borderId="72" xfId="15" applyFont="1" applyBorder="1" applyAlignment="1">
      <alignment horizontal="center" vertical="center" wrapText="1"/>
    </xf>
    <xf numFmtId="0" fontId="246" fillId="0" borderId="49" xfId="15" applyFont="1" applyBorder="1" applyAlignment="1">
      <alignment horizontal="center" vertical="center" wrapText="1"/>
    </xf>
    <xf numFmtId="0" fontId="266" fillId="0" borderId="1" xfId="15" applyFont="1" applyBorder="1" applyAlignment="1">
      <alignment horizontal="center" vertical="center" wrapText="1"/>
    </xf>
    <xf numFmtId="0" fontId="266" fillId="0" borderId="5" xfId="15" applyFont="1" applyBorder="1" applyAlignment="1">
      <alignment horizontal="center" vertical="center" wrapText="1"/>
    </xf>
    <xf numFmtId="0" fontId="242" fillId="0" borderId="1" xfId="15" applyFont="1" applyBorder="1" applyAlignment="1">
      <alignment horizontal="center" vertical="center" wrapText="1"/>
    </xf>
    <xf numFmtId="0" fontId="242" fillId="0" borderId="5" xfId="15" applyFont="1" applyBorder="1" applyAlignment="1">
      <alignment horizontal="center" vertical="center" wrapText="1"/>
    </xf>
    <xf numFmtId="0" fontId="251" fillId="0" borderId="48" xfId="15" applyFont="1" applyBorder="1" applyAlignment="1">
      <alignment horizontal="center" vertical="center" wrapText="1"/>
    </xf>
    <xf numFmtId="0" fontId="251" fillId="0" borderId="45" xfId="15" applyFont="1" applyBorder="1" applyAlignment="1">
      <alignment horizontal="center" vertical="center" wrapText="1"/>
    </xf>
    <xf numFmtId="0" fontId="251" fillId="0" borderId="72" xfId="15" applyFont="1" applyBorder="1" applyAlignment="1">
      <alignment horizontal="center" vertical="center" wrapText="1"/>
    </xf>
    <xf numFmtId="0" fontId="251" fillId="0" borderId="49" xfId="15" applyFont="1" applyBorder="1" applyAlignment="1">
      <alignment horizontal="center" vertical="center" wrapText="1"/>
    </xf>
    <xf numFmtId="0" fontId="101" fillId="0" borderId="69" xfId="15" applyFont="1" applyBorder="1" applyAlignment="1">
      <alignment horizontal="center" vertical="top" wrapText="1"/>
    </xf>
    <xf numFmtId="0" fontId="167" fillId="0" borderId="48" xfId="15" applyFont="1" applyBorder="1" applyAlignment="1">
      <alignment horizontal="center" vertical="center" wrapText="1"/>
    </xf>
    <xf numFmtId="0" fontId="167" fillId="0" borderId="45" xfId="15" applyFont="1" applyBorder="1" applyAlignment="1">
      <alignment horizontal="center" vertical="center" wrapText="1"/>
    </xf>
    <xf numFmtId="0" fontId="167" fillId="0" borderId="49" xfId="15" applyFont="1" applyBorder="1" applyAlignment="1">
      <alignment horizontal="center" vertical="center" wrapText="1"/>
    </xf>
    <xf numFmtId="3" fontId="243" fillId="0" borderId="93" xfId="0" applyNumberFormat="1" applyFont="1" applyBorder="1" applyAlignment="1">
      <alignment horizontal="center" vertical="center" wrapText="1"/>
    </xf>
    <xf numFmtId="3" fontId="243" fillId="0" borderId="5" xfId="0" applyNumberFormat="1" applyFont="1" applyBorder="1" applyAlignment="1">
      <alignment horizontal="center" vertical="center" wrapText="1"/>
    </xf>
    <xf numFmtId="0" fontId="10" fillId="0" borderId="0" xfId="15" applyFont="1" applyAlignment="1">
      <alignment horizontal="center" wrapText="1"/>
    </xf>
    <xf numFmtId="0" fontId="43" fillId="19" borderId="0" xfId="15" applyFont="1" applyFill="1" applyAlignment="1">
      <alignment horizontal="left" vertical="center" wrapText="1"/>
    </xf>
    <xf numFmtId="0" fontId="45" fillId="0" borderId="14" xfId="7" applyFont="1" applyBorder="1" applyAlignment="1" applyProtection="1">
      <alignment horizontal="center" vertical="center" wrapText="1"/>
    </xf>
    <xf numFmtId="0" fontId="45" fillId="0" borderId="15" xfId="7" applyFont="1" applyBorder="1" applyAlignment="1" applyProtection="1">
      <alignment horizontal="center" vertical="center" wrapText="1"/>
    </xf>
    <xf numFmtId="0" fontId="45" fillId="0" borderId="16" xfId="7" applyFont="1" applyBorder="1" applyAlignment="1" applyProtection="1">
      <alignment horizontal="center" vertical="center" wrapText="1"/>
    </xf>
    <xf numFmtId="0" fontId="45" fillId="0" borderId="6" xfId="7" applyFont="1" applyBorder="1" applyAlignment="1" applyProtection="1">
      <alignment horizontal="center" vertical="center" wrapText="1"/>
    </xf>
    <xf numFmtId="0" fontId="45" fillId="0" borderId="8" xfId="7" applyFont="1" applyBorder="1" applyAlignment="1" applyProtection="1">
      <alignment horizontal="center" vertical="center" wrapText="1"/>
    </xf>
    <xf numFmtId="0" fontId="45" fillId="0" borderId="9" xfId="7" applyFont="1" applyBorder="1" applyAlignment="1" applyProtection="1">
      <alignment horizontal="center" vertical="justify" wrapText="1"/>
    </xf>
    <xf numFmtId="0" fontId="45" fillId="0" borderId="11" xfId="7" applyFont="1" applyBorder="1" applyAlignment="1" applyProtection="1">
      <alignment horizontal="center" vertical="justify" wrapText="1"/>
    </xf>
    <xf numFmtId="0" fontId="45" fillId="0" borderId="10" xfId="7" applyFont="1" applyBorder="1" applyAlignment="1" applyProtection="1">
      <alignment horizontal="center" vertical="center" wrapText="1"/>
    </xf>
    <xf numFmtId="0" fontId="45" fillId="0" borderId="13" xfId="7" applyFont="1" applyBorder="1" applyAlignment="1" applyProtection="1">
      <alignment horizontal="center" vertical="center" wrapText="1"/>
    </xf>
    <xf numFmtId="0" fontId="45" fillId="0" borderId="38" xfId="7" applyFont="1" applyBorder="1" applyAlignment="1" applyProtection="1">
      <alignment horizontal="center" vertical="center" wrapText="1"/>
    </xf>
    <xf numFmtId="0" fontId="45" fillId="0" borderId="39" xfId="7" applyFont="1" applyBorder="1" applyAlignment="1" applyProtection="1">
      <alignment horizontal="center" vertical="center" wrapText="1"/>
    </xf>
    <xf numFmtId="0" fontId="45" fillId="0" borderId="40" xfId="7" applyFont="1" applyBorder="1" applyAlignment="1" applyProtection="1">
      <alignment horizontal="center" vertical="center" wrapText="1"/>
    </xf>
    <xf numFmtId="0" fontId="45" fillId="0" borderId="7" xfId="7" applyFont="1" applyBorder="1" applyAlignment="1" applyProtection="1">
      <alignment horizontal="center" vertical="center" wrapText="1"/>
    </xf>
    <xf numFmtId="0" fontId="45" fillId="0" borderId="24" xfId="7" applyFont="1" applyBorder="1" applyAlignment="1" applyProtection="1">
      <alignment horizontal="center" vertical="center" wrapText="1"/>
    </xf>
    <xf numFmtId="0" fontId="45" fillId="0" borderId="25" xfId="7" applyFont="1" applyBorder="1" applyAlignment="1" applyProtection="1">
      <alignment horizontal="center" vertical="center" wrapText="1"/>
    </xf>
    <xf numFmtId="0" fontId="45" fillId="0" borderId="26" xfId="7" applyFont="1" applyBorder="1" applyAlignment="1" applyProtection="1">
      <alignment horizontal="center" vertical="center" wrapText="1"/>
    </xf>
    <xf numFmtId="0" fontId="45" fillId="0" borderId="2" xfId="7" applyFont="1" applyBorder="1" applyAlignment="1" applyProtection="1">
      <alignment horizontal="center" vertical="center" wrapText="1"/>
    </xf>
    <xf numFmtId="0" fontId="45" fillId="0" borderId="12" xfId="7" applyFont="1" applyBorder="1" applyAlignment="1" applyProtection="1">
      <alignment horizontal="center" vertical="center" wrapText="1"/>
    </xf>
    <xf numFmtId="0" fontId="45" fillId="0" borderId="31" xfId="7" applyFont="1" applyBorder="1" applyAlignment="1" applyProtection="1">
      <alignment horizontal="center" vertical="center" wrapText="1"/>
    </xf>
    <xf numFmtId="0" fontId="45" fillId="0" borderId="32" xfId="7" applyFont="1" applyBorder="1" applyAlignment="1" applyProtection="1">
      <alignment horizontal="center" vertical="center" wrapText="1"/>
    </xf>
    <xf numFmtId="0" fontId="45" fillId="0" borderId="33" xfId="7" applyFont="1" applyBorder="1" applyAlignment="1" applyProtection="1">
      <alignment horizontal="center" vertical="center" wrapText="1"/>
    </xf>
    <xf numFmtId="0" fontId="45" fillId="0" borderId="41" xfId="7" applyFont="1" applyBorder="1" applyAlignment="1" applyProtection="1">
      <alignment horizontal="center" vertical="center" wrapText="1"/>
    </xf>
    <xf numFmtId="0" fontId="45" fillId="0" borderId="42" xfId="7" applyFont="1" applyBorder="1" applyAlignment="1" applyProtection="1">
      <alignment horizontal="center" vertical="center" wrapText="1"/>
    </xf>
    <xf numFmtId="0" fontId="45" fillId="0" borderId="43" xfId="7" applyFont="1" applyBorder="1" applyAlignment="1" applyProtection="1">
      <alignment horizontal="center" vertical="center" wrapText="1"/>
    </xf>
    <xf numFmtId="0" fontId="45" fillId="0" borderId="17" xfId="7" applyFont="1" applyBorder="1" applyAlignment="1" applyProtection="1">
      <alignment horizontal="center" vertical="center" wrapText="1"/>
    </xf>
    <xf numFmtId="0" fontId="45" fillId="0" borderId="28" xfId="7" applyFont="1" applyBorder="1" applyAlignment="1" applyProtection="1">
      <alignment horizontal="center" vertical="center" wrapText="1"/>
    </xf>
    <xf numFmtId="0" fontId="45" fillId="0" borderId="34" xfId="7" applyFont="1" applyBorder="1" applyAlignment="1" applyProtection="1">
      <alignment horizontal="center" vertical="justify" wrapText="1"/>
    </xf>
    <xf numFmtId="0" fontId="45" fillId="0" borderId="35" xfId="7" applyFont="1" applyBorder="1" applyAlignment="1" applyProtection="1">
      <alignment horizontal="center" vertical="justify" wrapText="1"/>
    </xf>
    <xf numFmtId="0" fontId="45" fillId="0" borderId="29" xfId="7" applyFont="1" applyBorder="1" applyAlignment="1" applyProtection="1">
      <alignment horizontal="center" vertical="center" wrapText="1"/>
    </xf>
    <xf numFmtId="0" fontId="45" fillId="0" borderId="30" xfId="7" applyFont="1" applyBorder="1" applyAlignment="1" applyProtection="1">
      <alignment horizontal="center" vertical="center" wrapText="1"/>
    </xf>
    <xf numFmtId="0" fontId="45" fillId="0" borderId="1" xfId="7" applyFont="1" applyBorder="1" applyAlignment="1" applyProtection="1">
      <alignment horizontal="center" vertical="center" wrapText="1"/>
    </xf>
    <xf numFmtId="0" fontId="45" fillId="0" borderId="36" xfId="7" applyFont="1" applyBorder="1" applyAlignment="1" applyProtection="1">
      <alignment horizontal="center" vertical="center" wrapText="1"/>
    </xf>
    <xf numFmtId="0" fontId="40" fillId="3" borderId="0" xfId="0" applyFont="1" applyFill="1" applyAlignment="1">
      <alignment horizontal="center"/>
    </xf>
    <xf numFmtId="0" fontId="36" fillId="0" borderId="14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88" fillId="6" borderId="31" xfId="0" applyFont="1" applyFill="1" applyBorder="1" applyAlignment="1">
      <alignment horizontal="center" vertical="center"/>
    </xf>
    <xf numFmtId="0" fontId="88" fillId="6" borderId="33" xfId="0" applyFont="1" applyFill="1" applyBorder="1" applyAlignment="1">
      <alignment horizontal="center" vertical="center"/>
    </xf>
    <xf numFmtId="0" fontId="88" fillId="6" borderId="42" xfId="0" applyFont="1" applyFill="1" applyBorder="1" applyAlignment="1">
      <alignment horizontal="center" vertical="center"/>
    </xf>
    <xf numFmtId="0" fontId="88" fillId="6" borderId="44" xfId="0" applyFont="1" applyFill="1" applyBorder="1" applyAlignment="1">
      <alignment horizontal="center" vertical="center"/>
    </xf>
    <xf numFmtId="0" fontId="88" fillId="6" borderId="14" xfId="0" applyFont="1" applyFill="1" applyBorder="1" applyAlignment="1">
      <alignment horizontal="center" vertical="center"/>
    </xf>
    <xf numFmtId="0" fontId="88" fillId="6" borderId="17" xfId="0" applyFont="1" applyFill="1" applyBorder="1" applyAlignment="1">
      <alignment horizontal="center" vertical="center"/>
    </xf>
    <xf numFmtId="0" fontId="56" fillId="0" borderId="2" xfId="0" applyFont="1" applyBorder="1" applyAlignment="1">
      <alignment horizontal="center"/>
    </xf>
    <xf numFmtId="3" fontId="56" fillId="0" borderId="2" xfId="0" applyNumberFormat="1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56" fillId="16" borderId="71" xfId="112" applyFont="1" applyFill="1" applyBorder="1" applyAlignment="1">
      <alignment horizontal="center" vertical="center" wrapText="1"/>
    </xf>
    <xf numFmtId="0" fontId="56" fillId="16" borderId="72" xfId="112" applyFont="1" applyFill="1" applyBorder="1" applyAlignment="1">
      <alignment horizontal="center" vertical="center" wrapText="1"/>
    </xf>
    <xf numFmtId="0" fontId="56" fillId="16" borderId="73" xfId="112" applyFont="1" applyFill="1" applyBorder="1" applyAlignment="1">
      <alignment horizontal="center" vertical="center" wrapText="1"/>
    </xf>
    <xf numFmtId="0" fontId="56" fillId="16" borderId="70" xfId="112" applyFont="1" applyFill="1" applyBorder="1" applyAlignment="1">
      <alignment horizontal="center" vertical="center" wrapText="1"/>
    </xf>
    <xf numFmtId="0" fontId="56" fillId="16" borderId="5" xfId="112" applyFont="1" applyFill="1" applyBorder="1" applyAlignment="1">
      <alignment horizontal="center" vertical="center" wrapText="1"/>
    </xf>
    <xf numFmtId="0" fontId="56" fillId="16" borderId="69" xfId="112" applyFont="1" applyFill="1" applyBorder="1" applyAlignment="1">
      <alignment horizontal="center" vertical="center" wrapText="1"/>
    </xf>
    <xf numFmtId="0" fontId="35" fillId="16" borderId="0" xfId="112" applyFont="1" applyFill="1" applyBorder="1" applyAlignment="1">
      <alignment horizontal="center" vertical="center" wrapText="1"/>
    </xf>
    <xf numFmtId="17" fontId="51" fillId="7" borderId="70" xfId="113" applyNumberFormat="1" applyFont="1" applyFill="1" applyBorder="1" applyAlignment="1">
      <alignment horizontal="center" vertical="center" wrapText="1"/>
    </xf>
    <xf numFmtId="17" fontId="51" fillId="7" borderId="5" xfId="113" applyNumberFormat="1" applyFont="1" applyFill="1" applyBorder="1" applyAlignment="1">
      <alignment horizontal="center" vertical="center" wrapText="1"/>
    </xf>
    <xf numFmtId="0" fontId="88" fillId="16" borderId="69" xfId="112" applyFont="1" applyFill="1" applyBorder="1" applyAlignment="1">
      <alignment horizontal="center" vertical="center" wrapText="1"/>
    </xf>
    <xf numFmtId="0" fontId="41" fillId="16" borderId="71" xfId="112" applyFont="1" applyFill="1" applyBorder="1" applyAlignment="1">
      <alignment horizontal="left" vertical="center" wrapText="1"/>
    </xf>
    <xf numFmtId="0" fontId="41" fillId="16" borderId="72" xfId="112" applyFont="1" applyFill="1" applyBorder="1" applyAlignment="1">
      <alignment horizontal="left" vertical="center" wrapText="1"/>
    </xf>
    <xf numFmtId="0" fontId="41" fillId="16" borderId="73" xfId="112" applyFont="1" applyFill="1" applyBorder="1" applyAlignment="1">
      <alignment horizontal="left" vertical="center" wrapText="1"/>
    </xf>
    <xf numFmtId="0" fontId="119" fillId="23" borderId="1" xfId="5" applyFont="1" applyFill="1" applyBorder="1" applyAlignment="1">
      <alignment horizontal="center" vertical="center" wrapText="1"/>
    </xf>
    <xf numFmtId="0" fontId="119" fillId="23" borderId="5" xfId="5" applyFont="1" applyFill="1" applyBorder="1" applyAlignment="1">
      <alignment horizontal="center" vertical="center" wrapText="1"/>
    </xf>
    <xf numFmtId="0" fontId="51" fillId="0" borderId="0" xfId="5" applyFont="1" applyAlignment="1">
      <alignment horizontal="center"/>
    </xf>
    <xf numFmtId="0" fontId="115" fillId="0" borderId="1" xfId="5" applyFont="1" applyBorder="1" applyAlignment="1">
      <alignment horizontal="center" vertical="center" wrapText="1"/>
    </xf>
    <xf numFmtId="0" fontId="115" fillId="0" borderId="5" xfId="5" applyFont="1" applyBorder="1" applyAlignment="1">
      <alignment horizontal="center" vertical="center" wrapText="1"/>
    </xf>
    <xf numFmtId="0" fontId="119" fillId="23" borderId="2" xfId="5" applyFont="1" applyFill="1" applyBorder="1" applyAlignment="1">
      <alignment horizontal="center" vertical="center"/>
    </xf>
    <xf numFmtId="0" fontId="115" fillId="0" borderId="48" xfId="5" applyFont="1" applyBorder="1" applyAlignment="1">
      <alignment horizontal="center" vertical="center"/>
    </xf>
    <xf numFmtId="0" fontId="115" fillId="0" borderId="45" xfId="5" applyFont="1" applyBorder="1" applyAlignment="1">
      <alignment horizontal="center" vertical="center"/>
    </xf>
    <xf numFmtId="0" fontId="115" fillId="0" borderId="49" xfId="5" applyFont="1" applyBorder="1" applyAlignment="1">
      <alignment horizontal="center" vertical="center"/>
    </xf>
    <xf numFmtId="0" fontId="35" fillId="6" borderId="0" xfId="4" applyFont="1" applyFill="1" applyAlignment="1">
      <alignment horizontal="left" vertical="center" wrapText="1"/>
    </xf>
    <xf numFmtId="0" fontId="113" fillId="0" borderId="1" xfId="5" applyFont="1" applyBorder="1" applyAlignment="1">
      <alignment horizontal="center" vertical="center"/>
    </xf>
    <xf numFmtId="0" fontId="113" fillId="0" borderId="5" xfId="5" applyFont="1" applyBorder="1" applyAlignment="1">
      <alignment horizontal="center" vertical="center"/>
    </xf>
    <xf numFmtId="0" fontId="101" fillId="0" borderId="1" xfId="5" applyFont="1" applyBorder="1" applyAlignment="1">
      <alignment horizontal="center" vertical="center"/>
    </xf>
    <xf numFmtId="0" fontId="101" fillId="0" borderId="5" xfId="5" applyFont="1" applyBorder="1" applyAlignment="1">
      <alignment horizontal="center" vertical="center"/>
    </xf>
    <xf numFmtId="0" fontId="51" fillId="0" borderId="1" xfId="5" applyFont="1" applyBorder="1" applyAlignment="1">
      <alignment horizontal="center" vertical="center" wrapText="1"/>
    </xf>
    <xf numFmtId="0" fontId="51" fillId="0" borderId="5" xfId="5" applyFont="1" applyBorder="1" applyAlignment="1">
      <alignment horizontal="center" vertical="center" wrapText="1"/>
    </xf>
    <xf numFmtId="0" fontId="51" fillId="0" borderId="48" xfId="5" applyFont="1" applyBorder="1" applyAlignment="1">
      <alignment horizontal="center" vertical="center" wrapText="1"/>
    </xf>
    <xf numFmtId="0" fontId="51" fillId="0" borderId="49" xfId="5" applyFont="1" applyBorder="1" applyAlignment="1">
      <alignment horizontal="center" vertical="center" wrapText="1"/>
    </xf>
    <xf numFmtId="0" fontId="113" fillId="0" borderId="1" xfId="5" applyFont="1" applyBorder="1" applyAlignment="1">
      <alignment horizontal="center" vertical="center" wrapText="1"/>
    </xf>
    <xf numFmtId="0" fontId="113" fillId="0" borderId="5" xfId="5" applyFont="1" applyBorder="1" applyAlignment="1">
      <alignment horizontal="center" vertical="center" wrapText="1"/>
    </xf>
    <xf numFmtId="0" fontId="115" fillId="3" borderId="1" xfId="5" applyFont="1" applyFill="1" applyBorder="1" applyAlignment="1">
      <alignment horizontal="center" vertical="center" wrapText="1"/>
    </xf>
    <xf numFmtId="0" fontId="115" fillId="3" borderId="5" xfId="5" applyFont="1" applyFill="1" applyBorder="1" applyAlignment="1">
      <alignment horizontal="center" vertical="center" wrapText="1"/>
    </xf>
    <xf numFmtId="9" fontId="232" fillId="53" borderId="31" xfId="0" applyNumberFormat="1" applyFont="1" applyFill="1" applyBorder="1" applyAlignment="1">
      <alignment horizontal="right" vertical="center" wrapText="1"/>
    </xf>
    <xf numFmtId="9" fontId="232" fillId="53" borderId="86" xfId="0" applyNumberFormat="1" applyFont="1" applyFill="1" applyBorder="1" applyAlignment="1">
      <alignment horizontal="right" vertical="center" wrapText="1"/>
    </xf>
    <xf numFmtId="9" fontId="232" fillId="53" borderId="31" xfId="0" applyNumberFormat="1" applyFont="1" applyFill="1" applyBorder="1" applyAlignment="1">
      <alignment horizontal="right" vertical="center"/>
    </xf>
    <xf numFmtId="9" fontId="232" fillId="53" borderId="86" xfId="0" applyNumberFormat="1" applyFont="1" applyFill="1" applyBorder="1" applyAlignment="1">
      <alignment horizontal="right" vertical="center"/>
    </xf>
    <xf numFmtId="9" fontId="232" fillId="53" borderId="31" xfId="1" applyFont="1" applyFill="1" applyBorder="1" applyAlignment="1">
      <alignment horizontal="right" vertical="center" wrapText="1"/>
    </xf>
    <xf numFmtId="9" fontId="232" fillId="53" borderId="86" xfId="1" applyFont="1" applyFill="1" applyBorder="1" applyAlignment="1">
      <alignment horizontal="right" vertical="center" wrapText="1"/>
    </xf>
    <xf numFmtId="3" fontId="233" fillId="0" borderId="31" xfId="0" applyNumberFormat="1" applyFont="1" applyBorder="1" applyAlignment="1">
      <alignment horizontal="right" vertical="center"/>
    </xf>
    <xf numFmtId="3" fontId="233" fillId="0" borderId="86" xfId="0" applyNumberFormat="1" applyFont="1" applyBorder="1" applyAlignment="1">
      <alignment horizontal="right" vertical="center"/>
    </xf>
    <xf numFmtId="9" fontId="233" fillId="53" borderId="91" xfId="0" applyNumberFormat="1" applyFont="1" applyFill="1" applyBorder="1" applyAlignment="1">
      <alignment horizontal="right" vertical="center" wrapText="1"/>
    </xf>
    <xf numFmtId="9" fontId="233" fillId="53" borderId="33" xfId="0" applyNumberFormat="1" applyFont="1" applyFill="1" applyBorder="1" applyAlignment="1">
      <alignment horizontal="right" vertical="center" wrapText="1"/>
    </xf>
    <xf numFmtId="9" fontId="233" fillId="53" borderId="91" xfId="0" applyNumberFormat="1" applyFont="1" applyFill="1" applyBorder="1" applyAlignment="1">
      <alignment horizontal="right" vertical="center"/>
    </xf>
    <xf numFmtId="9" fontId="233" fillId="53" borderId="33" xfId="0" applyNumberFormat="1" applyFont="1" applyFill="1" applyBorder="1" applyAlignment="1">
      <alignment horizontal="right" vertical="center"/>
    </xf>
    <xf numFmtId="9" fontId="233" fillId="53" borderId="91" xfId="1" applyFont="1" applyFill="1" applyBorder="1" applyAlignment="1">
      <alignment horizontal="right" vertical="center" wrapText="1"/>
    </xf>
    <xf numFmtId="9" fontId="233" fillId="53" borderId="33" xfId="1" applyFont="1" applyFill="1" applyBorder="1" applyAlignment="1">
      <alignment horizontal="right" vertical="center" wrapText="1"/>
    </xf>
    <xf numFmtId="3" fontId="233" fillId="0" borderId="91" xfId="0" applyNumberFormat="1" applyFont="1" applyBorder="1" applyAlignment="1">
      <alignment horizontal="right" vertical="center"/>
    </xf>
    <xf numFmtId="3" fontId="233" fillId="0" borderId="33" xfId="0" applyNumberFormat="1" applyFont="1" applyBorder="1" applyAlignment="1">
      <alignment horizontal="right" vertical="center"/>
    </xf>
    <xf numFmtId="3" fontId="233" fillId="0" borderId="91" xfId="0" applyNumberFormat="1" applyFont="1" applyBorder="1" applyAlignment="1">
      <alignment horizontal="right" vertical="center" wrapText="1"/>
    </xf>
    <xf numFmtId="3" fontId="233" fillId="0" borderId="33" xfId="0" applyNumberFormat="1" applyFont="1" applyBorder="1" applyAlignment="1">
      <alignment horizontal="right" vertical="center" wrapText="1"/>
    </xf>
    <xf numFmtId="9" fontId="233" fillId="53" borderId="31" xfId="0" applyNumberFormat="1" applyFont="1" applyFill="1" applyBorder="1" applyAlignment="1">
      <alignment horizontal="right" vertical="center" wrapText="1"/>
    </xf>
    <xf numFmtId="9" fontId="233" fillId="53" borderId="86" xfId="0" applyNumberFormat="1" applyFont="1" applyFill="1" applyBorder="1" applyAlignment="1">
      <alignment horizontal="right" vertical="center" wrapText="1"/>
    </xf>
    <xf numFmtId="9" fontId="233" fillId="53" borderId="31" xfId="0" applyNumberFormat="1" applyFont="1" applyFill="1" applyBorder="1" applyAlignment="1">
      <alignment horizontal="right" vertical="center"/>
    </xf>
    <xf numFmtId="9" fontId="233" fillId="53" borderId="86" xfId="0" applyNumberFormat="1" applyFont="1" applyFill="1" applyBorder="1" applyAlignment="1">
      <alignment horizontal="right" vertical="center"/>
    </xf>
    <xf numFmtId="9" fontId="233" fillId="53" borderId="31" xfId="1" applyFont="1" applyFill="1" applyBorder="1" applyAlignment="1">
      <alignment horizontal="right" vertical="center" wrapText="1"/>
    </xf>
    <xf numFmtId="9" fontId="233" fillId="53" borderId="86" xfId="1" applyFont="1" applyFill="1" applyBorder="1" applyAlignment="1">
      <alignment horizontal="right" vertical="center" wrapText="1"/>
    </xf>
    <xf numFmtId="0" fontId="232" fillId="0" borderId="90" xfId="0" applyFont="1" applyBorder="1" applyAlignment="1">
      <alignment horizontal="center" vertical="center"/>
    </xf>
    <xf numFmtId="0" fontId="232" fillId="0" borderId="88" xfId="0" applyFont="1" applyBorder="1" applyAlignment="1">
      <alignment horizontal="center" vertical="center"/>
    </xf>
    <xf numFmtId="0" fontId="232" fillId="0" borderId="87" xfId="0" applyFont="1" applyBorder="1" applyAlignment="1">
      <alignment horizontal="center" vertical="center"/>
    </xf>
    <xf numFmtId="0" fontId="232" fillId="53" borderId="90" xfId="0" applyFont="1" applyFill="1" applyBorder="1" applyAlignment="1">
      <alignment horizontal="center" vertical="center" wrapText="1"/>
    </xf>
    <xf numFmtId="0" fontId="232" fillId="53" borderId="88" xfId="0" applyFont="1" applyFill="1" applyBorder="1" applyAlignment="1">
      <alignment horizontal="center" vertical="center" wrapText="1"/>
    </xf>
    <xf numFmtId="0" fontId="232" fillId="53" borderId="87" xfId="0" applyFont="1" applyFill="1" applyBorder="1" applyAlignment="1">
      <alignment horizontal="center" vertical="center" wrapText="1"/>
    </xf>
    <xf numFmtId="0" fontId="168" fillId="0" borderId="2" xfId="0" applyFont="1" applyBorder="1" applyAlignment="1">
      <alignment horizontal="center"/>
    </xf>
    <xf numFmtId="0" fontId="209" fillId="0" borderId="1" xfId="0" applyFont="1" applyBorder="1" applyAlignment="1">
      <alignment horizontal="center" vertical="center" wrapText="1"/>
    </xf>
    <xf numFmtId="0" fontId="209" fillId="0" borderId="5" xfId="0" applyFont="1" applyBorder="1" applyAlignment="1">
      <alignment horizontal="center" vertical="center" wrapText="1"/>
    </xf>
    <xf numFmtId="0" fontId="168" fillId="0" borderId="83" xfId="0" applyFont="1" applyFill="1" applyBorder="1" applyAlignment="1">
      <alignment horizontal="center"/>
    </xf>
    <xf numFmtId="0" fontId="168" fillId="0" borderId="84" xfId="0" applyFont="1" applyFill="1" applyBorder="1" applyAlignment="1">
      <alignment horizontal="center"/>
    </xf>
    <xf numFmtId="0" fontId="168" fillId="0" borderId="85" xfId="0" applyFont="1" applyFill="1" applyBorder="1" applyAlignment="1">
      <alignment horizontal="center"/>
    </xf>
    <xf numFmtId="0" fontId="168" fillId="0" borderId="37" xfId="0" applyFont="1" applyBorder="1" applyAlignment="1">
      <alignment horizontal="center"/>
    </xf>
    <xf numFmtId="0" fontId="168" fillId="0" borderId="65" xfId="0" applyFont="1" applyBorder="1" applyAlignment="1">
      <alignment horizontal="center"/>
    </xf>
    <xf numFmtId="0" fontId="222" fillId="0" borderId="0" xfId="0" applyFont="1" applyFill="1" applyBorder="1" applyAlignment="1">
      <alignment horizontal="center" vertical="center" wrapText="1"/>
    </xf>
    <xf numFmtId="0" fontId="214" fillId="0" borderId="0" xfId="0" applyFont="1" applyFill="1" applyBorder="1" applyAlignment="1">
      <alignment horizontal="center" vertical="center" wrapText="1"/>
    </xf>
    <xf numFmtId="0" fontId="214" fillId="0" borderId="0" xfId="0" applyFont="1" applyFill="1" applyBorder="1" applyAlignment="1">
      <alignment horizontal="center" vertical="center"/>
    </xf>
  </cellXfs>
  <cellStyles count="201">
    <cellStyle name="???????????" xfId="31"/>
    <cellStyle name="????????????? ???????????" xfId="32"/>
    <cellStyle name="_TB_Calc_number" xfId="18"/>
    <cellStyle name="_TB_Calc_percent" xfId="19"/>
    <cellStyle name="_TB_def_number" xfId="20"/>
    <cellStyle name="_TB_def_percent" xfId="21"/>
    <cellStyle name="_TB_results1" xfId="33"/>
    <cellStyle name="_TB_subtitle2" xfId="22"/>
    <cellStyle name="_TB_textunprotect" xfId="34"/>
    <cellStyle name="_TB_years" xfId="35"/>
    <cellStyle name="20 % - Accent1" xfId="114"/>
    <cellStyle name="20 % - Accent2" xfId="115"/>
    <cellStyle name="20 % - Accent3" xfId="116"/>
    <cellStyle name="20 % - Accent4" xfId="117"/>
    <cellStyle name="20 % - Accent5" xfId="118"/>
    <cellStyle name="20 % - Accent6" xfId="119"/>
    <cellStyle name="20% - Akzent1" xfId="120"/>
    <cellStyle name="20% - Akzent2" xfId="121"/>
    <cellStyle name="20% - Akzent3" xfId="122"/>
    <cellStyle name="20% - Akzent4" xfId="123"/>
    <cellStyle name="20% - Akzent5" xfId="124"/>
    <cellStyle name="20% - Akzent6" xfId="125"/>
    <cellStyle name="20% - Акцент1" xfId="36"/>
    <cellStyle name="20% - Акцент2" xfId="37"/>
    <cellStyle name="20% - Акцент3" xfId="38"/>
    <cellStyle name="20% - Акцент4" xfId="39"/>
    <cellStyle name="20% - Акцент5" xfId="40"/>
    <cellStyle name="20% - Акцент6" xfId="41"/>
    <cellStyle name="40 % - Accent1" xfId="126"/>
    <cellStyle name="40 % - Accent2" xfId="127"/>
    <cellStyle name="40 % - Accent3" xfId="128"/>
    <cellStyle name="40 % - Accent4" xfId="129"/>
    <cellStyle name="40 % - Accent5" xfId="130"/>
    <cellStyle name="40 % - Accent6" xfId="131"/>
    <cellStyle name="40% - Akzent1" xfId="132"/>
    <cellStyle name="40% - Akzent2" xfId="133"/>
    <cellStyle name="40% - Akzent3" xfId="134"/>
    <cellStyle name="40% - Akzent4" xfId="135"/>
    <cellStyle name="40% - Akzent5" xfId="136"/>
    <cellStyle name="40% - Akzent6" xfId="137"/>
    <cellStyle name="40% - Акцент1" xfId="42"/>
    <cellStyle name="40% - Акцент2" xfId="43"/>
    <cellStyle name="40% - Акцент3" xfId="44"/>
    <cellStyle name="40% - Акцент4" xfId="45"/>
    <cellStyle name="40% - Акцент5" xfId="46"/>
    <cellStyle name="40% - Акцент6" xfId="47"/>
    <cellStyle name="60 % - Accent1" xfId="138"/>
    <cellStyle name="60 % - Accent2" xfId="139"/>
    <cellStyle name="60 % - Accent3" xfId="140"/>
    <cellStyle name="60 % - Accent4" xfId="141"/>
    <cellStyle name="60 % - Accent5" xfId="142"/>
    <cellStyle name="60 % - Accent6" xfId="143"/>
    <cellStyle name="60% - Akzent1" xfId="144"/>
    <cellStyle name="60% - Akzent2" xfId="145"/>
    <cellStyle name="60% - Akzent3" xfId="146"/>
    <cellStyle name="60% - Akzent4" xfId="147"/>
    <cellStyle name="60% - Akzent5" xfId="148"/>
    <cellStyle name="60% - Akzent6" xfId="149"/>
    <cellStyle name="60% - Акцент1" xfId="48"/>
    <cellStyle name="60% - Акцент2" xfId="49"/>
    <cellStyle name="60% - Акцент3" xfId="50"/>
    <cellStyle name="60% - Акцент4" xfId="51"/>
    <cellStyle name="60% - Акцент5" xfId="52"/>
    <cellStyle name="60% - Акцент6" xfId="53"/>
    <cellStyle name="Ãèïåðññûëêà" xfId="54"/>
    <cellStyle name="Avertissement" xfId="150"/>
    <cellStyle name="Calcul" xfId="151"/>
    <cellStyle name="Cellule liée" xfId="152"/>
    <cellStyle name="Comma" xfId="12" builtinId="3"/>
    <cellStyle name="Comma 2" xfId="17"/>
    <cellStyle name="Comma 2 2" xfId="6"/>
    <cellStyle name="Comma 2 3" xfId="153"/>
    <cellStyle name="Comma 2 4" xfId="154"/>
    <cellStyle name="Comma 3" xfId="55"/>
    <cellStyle name="Comma 3 2" xfId="155"/>
    <cellStyle name="Comma 4" xfId="56"/>
    <cellStyle name="Comma 5" xfId="57"/>
    <cellStyle name="Comma 5 2" xfId="156"/>
    <cellStyle name="Comma 6" xfId="157"/>
    <cellStyle name="Comma 6 2" xfId="158"/>
    <cellStyle name="Comma 7" xfId="159"/>
    <cellStyle name="Comma 8" xfId="160"/>
    <cellStyle name="Comma 9" xfId="161"/>
    <cellStyle name="Commentaire" xfId="162"/>
    <cellStyle name="Currency" xfId="199" builtinId="4"/>
    <cellStyle name="Currency 2" xfId="163"/>
    <cellStyle name="Currency 2 2" xfId="164"/>
    <cellStyle name="Currency 3" xfId="165"/>
    <cellStyle name="Dezimal_NRL_Macheton_Annual Consumables (5)" xfId="166"/>
    <cellStyle name="Entrée" xfId="167"/>
    <cellStyle name="Euro" xfId="58"/>
    <cellStyle name="Euro 2" xfId="168"/>
    <cellStyle name="Hyperlink" xfId="11" builtinId="8"/>
    <cellStyle name="Hyperlink 2" xfId="23"/>
    <cellStyle name="Hyperlink 3" xfId="59"/>
    <cellStyle name="info" xfId="60"/>
    <cellStyle name="Insatisfaisant" xfId="169"/>
    <cellStyle name="Îòêðûâàâøàÿñÿ ãèïåðññûëêà" xfId="61"/>
    <cellStyle name="ListData" xfId="62"/>
    <cellStyle name="Neutre" xfId="170"/>
    <cellStyle name="Normal" xfId="0" builtinId="0"/>
    <cellStyle name="Normal 10" xfId="63"/>
    <cellStyle name="Normal 10 2" xfId="171"/>
    <cellStyle name="Normal 11" xfId="107"/>
    <cellStyle name="Normal 12" xfId="112"/>
    <cellStyle name="Normal 13" xfId="172"/>
    <cellStyle name="Normal 14" xfId="173"/>
    <cellStyle name="Normal 15" xfId="174"/>
    <cellStyle name="Normal 16" xfId="175"/>
    <cellStyle name="Normal 17" xfId="200"/>
    <cellStyle name="Normal 2" xfId="5"/>
    <cellStyle name="Normal 2 2" xfId="176"/>
    <cellStyle name="Normal 2 2 2" xfId="177"/>
    <cellStyle name="Normal 2 2 2 2" xfId="178"/>
    <cellStyle name="Normal 2 3" xfId="179"/>
    <cellStyle name="Normal 2 4" xfId="180"/>
    <cellStyle name="Normal 2 5" xfId="181"/>
    <cellStyle name="Normal 3" xfId="9"/>
    <cellStyle name="Normal 3 2" xfId="182"/>
    <cellStyle name="Normal 4" xfId="13"/>
    <cellStyle name="Normal 5" xfId="14"/>
    <cellStyle name="Normal 5 2" xfId="24"/>
    <cellStyle name="Normal 5 3" xfId="183"/>
    <cellStyle name="Normal 6" xfId="15"/>
    <cellStyle name="Normal 7" xfId="4"/>
    <cellStyle name="Normal 7 2" xfId="64"/>
    <cellStyle name="Normal 8" xfId="27"/>
    <cellStyle name="Normal 8 2" xfId="65"/>
    <cellStyle name="Normal 9" xfId="29"/>
    <cellStyle name="Normal 9 2" xfId="113"/>
    <cellStyle name="Normal_Mosaxleoba na 1.1 raionebis mixedvit" xfId="8"/>
    <cellStyle name="Normal_TB notification by years and regions within Georgia" xfId="7"/>
    <cellStyle name="Percent" xfId="1" builtinId="5"/>
    <cellStyle name="Percent 10" xfId="184"/>
    <cellStyle name="Percent 11" xfId="185"/>
    <cellStyle name="Percent 2" xfId="2"/>
    <cellStyle name="Percent 3" xfId="3"/>
    <cellStyle name="Percent 4" xfId="16"/>
    <cellStyle name="Percent 5" xfId="28"/>
    <cellStyle name="Percent 6" xfId="30"/>
    <cellStyle name="Percent 7" xfId="108"/>
    <cellStyle name="Percent 8" xfId="111"/>
    <cellStyle name="Percent 9" xfId="186"/>
    <cellStyle name="Satisfaisant" xfId="187"/>
    <cellStyle name="SheetHeader" xfId="66"/>
    <cellStyle name="Sortie" xfId="188"/>
    <cellStyle name="Standard 2" xfId="189"/>
    <cellStyle name="Standard 3" xfId="190"/>
    <cellStyle name="Standard_NRL_Macheton_Annual Consumables (5)" xfId="191"/>
    <cellStyle name="TableHeader" xfId="67"/>
    <cellStyle name="Texte explicatif" xfId="192"/>
    <cellStyle name="Titre" xfId="193"/>
    <cellStyle name="Titre 1" xfId="194"/>
    <cellStyle name="Titre 2" xfId="195"/>
    <cellStyle name="Titre 3" xfId="196"/>
    <cellStyle name="Titre 4" xfId="197"/>
    <cellStyle name="Vérification" xfId="198"/>
    <cellStyle name="Акцент1" xfId="68"/>
    <cellStyle name="Акцент2" xfId="69"/>
    <cellStyle name="Акцент3" xfId="70"/>
    <cellStyle name="Акцент4" xfId="71"/>
    <cellStyle name="Акцент5" xfId="72"/>
    <cellStyle name="Акцент6" xfId="73"/>
    <cellStyle name="Ввод " xfId="74"/>
    <cellStyle name="Вывод" xfId="75"/>
    <cellStyle name="Вычисление" xfId="76"/>
    <cellStyle name="Гиперссылка 2" xfId="77"/>
    <cellStyle name="Гиперссылка 3" xfId="78"/>
    <cellStyle name="Заголовок 1" xfId="79"/>
    <cellStyle name="Заголовок 2" xfId="80"/>
    <cellStyle name="Заголовок 3" xfId="81"/>
    <cellStyle name="Заголовок 4" xfId="82"/>
    <cellStyle name="Итог" xfId="83"/>
    <cellStyle name="Контрольная ячейка" xfId="84"/>
    <cellStyle name="Название" xfId="85"/>
    <cellStyle name="Нейтральный" xfId="86"/>
    <cellStyle name="Обычный 2" xfId="25"/>
    <cellStyle name="Обычный 2 2" xfId="87"/>
    <cellStyle name="Обычный 2 3" xfId="109"/>
    <cellStyle name="Обычный 3" xfId="26"/>
    <cellStyle name="Обычный 4" xfId="88"/>
    <cellStyle name="Обычный 4 2" xfId="89"/>
    <cellStyle name="Обычный 4_KGZ Rnd 7 budget HIV" xfId="90"/>
    <cellStyle name="Обычный 5" xfId="91"/>
    <cellStyle name="Обычный 6" xfId="92"/>
    <cellStyle name="Обычный_bm" xfId="10"/>
    <cellStyle name="Плохой" xfId="93"/>
    <cellStyle name="Пояснение" xfId="94"/>
    <cellStyle name="Примечание" xfId="95"/>
    <cellStyle name="Процентный 2" xfId="96"/>
    <cellStyle name="Связанная ячейка" xfId="97"/>
    <cellStyle name="Текст предупреждения" xfId="98"/>
    <cellStyle name="Финансовый 2" xfId="99"/>
    <cellStyle name="Финансовый 2 2" xfId="110"/>
    <cellStyle name="Финансовый 3" xfId="100"/>
    <cellStyle name="Финансовый 4" xfId="101"/>
    <cellStyle name="Финансовый 5" xfId="102"/>
    <cellStyle name="Финансовый 6" xfId="103"/>
    <cellStyle name="Финансовый_AZE budget templates 21 May" xfId="104"/>
    <cellStyle name="Хороший" xfId="105"/>
    <cellStyle name="Хороший 2" xfId="10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externalLink" Target="externalLinks/externalLink1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19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17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343112374360381E-2"/>
          <c:y val="2.8252397680592456E-2"/>
          <c:w val="0.90517999308448738"/>
          <c:h val="0.809023162284632"/>
        </c:manualLayout>
      </c:layout>
      <c:lineChart>
        <c:grouping val="standard"/>
        <c:varyColors val="0"/>
        <c:ser>
          <c:idx val="2"/>
          <c:order val="0"/>
          <c:tx>
            <c:strRef>
              <c:f>'Tx outcomes (all)'!$R$7</c:f>
              <c:strCache>
                <c:ptCount val="1"/>
                <c:pt idx="0">
                  <c:v>Treatment success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'Tx outcomes (all)'!$S$6:$AD$6</c:f>
              <c:numCache>
                <c:formatCode>General</c:formatCod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numCache>
            </c:numRef>
          </c:cat>
          <c:val>
            <c:numRef>
              <c:f>'Tx outcomes (all)'!$S$7:$AD$7</c:f>
              <c:numCache>
                <c:formatCode>#,##0.0</c:formatCode>
                <c:ptCount val="12"/>
                <c:pt idx="0">
                  <c:v>64.100236063192298</c:v>
                </c:pt>
                <c:pt idx="1">
                  <c:v>66.465939028980046</c:v>
                </c:pt>
                <c:pt idx="2">
                  <c:v>62.480805323323665</c:v>
                </c:pt>
                <c:pt idx="3">
                  <c:v>69.466480012443611</c:v>
                </c:pt>
                <c:pt idx="4">
                  <c:v>72.825225796228807</c:v>
                </c:pt>
                <c:pt idx="5">
                  <c:v>72.47504652343089</c:v>
                </c:pt>
                <c:pt idx="6">
                  <c:v>69.551062371487319</c:v>
                </c:pt>
                <c:pt idx="7">
                  <c:v>74.149773831462554</c:v>
                </c:pt>
                <c:pt idx="8">
                  <c:v>75.0989502667355</c:v>
                </c:pt>
                <c:pt idx="9">
                  <c:v>76.016552716804611</c:v>
                </c:pt>
                <c:pt idx="10">
                  <c:v>75.340817963111462</c:v>
                </c:pt>
                <c:pt idx="11">
                  <c:v>77.554179566563477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'Tx outcomes (all)'!$R$8</c:f>
              <c:strCache>
                <c:ptCount val="1"/>
                <c:pt idx="0">
                  <c:v>LTFU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'Tx outcomes (all)'!$S$6:$AD$6</c:f>
              <c:numCache>
                <c:formatCode>General</c:formatCod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numCache>
            </c:numRef>
          </c:cat>
          <c:val>
            <c:numRef>
              <c:f>'Tx outcomes (all)'!$S$8:$AD$8</c:f>
              <c:numCache>
                <c:formatCode>#,##0.0</c:formatCode>
                <c:ptCount val="12"/>
                <c:pt idx="0">
                  <c:v>21.064100236063194</c:v>
                </c:pt>
                <c:pt idx="1">
                  <c:v>20.417764395935265</c:v>
                </c:pt>
                <c:pt idx="2">
                  <c:v>16.311209691178981</c:v>
                </c:pt>
                <c:pt idx="3">
                  <c:v>16.223362886918647</c:v>
                </c:pt>
                <c:pt idx="4">
                  <c:v>11.757249247345904</c:v>
                </c:pt>
                <c:pt idx="5">
                  <c:v>10.641177465741837</c:v>
                </c:pt>
                <c:pt idx="6">
                  <c:v>10.161069225496917</c:v>
                </c:pt>
                <c:pt idx="7">
                  <c:v>9.465572122633608</c:v>
                </c:pt>
                <c:pt idx="8">
                  <c:v>8.4494923421097923</c:v>
                </c:pt>
                <c:pt idx="9">
                  <c:v>6.3512054695933795</c:v>
                </c:pt>
                <c:pt idx="10">
                  <c:v>6.7562149157979148</c:v>
                </c:pt>
                <c:pt idx="11">
                  <c:v>10.681114551083592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3934016"/>
        <c:axId val="1213940544"/>
      </c:lineChart>
      <c:catAx>
        <c:axId val="121393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1213940544"/>
        <c:crosses val="autoZero"/>
        <c:auto val="1"/>
        <c:lblAlgn val="ctr"/>
        <c:lblOffset val="100"/>
        <c:noMultiLvlLbl val="0"/>
      </c:catAx>
      <c:valAx>
        <c:axId val="1213940544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213934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5694116472976067E-2"/>
          <c:y val="0.91881813529594125"/>
          <c:w val="0.47501684752580164"/>
          <c:h val="6.9657931258821096E-2"/>
        </c:manualLayout>
      </c:layout>
      <c:overlay val="0"/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577210574549792E-2"/>
          <c:y val="2.8252405949256341E-2"/>
          <c:w val="0.90517999308448738"/>
          <c:h val="0.809023162284632"/>
        </c:manualLayout>
      </c:layout>
      <c:lineChart>
        <c:grouping val="standard"/>
        <c:varyColors val="0"/>
        <c:ser>
          <c:idx val="1"/>
          <c:order val="0"/>
          <c:tx>
            <c:strRef>
              <c:f>'Tx outcomes (all)'!$R$120</c:f>
              <c:strCache>
                <c:ptCount val="1"/>
                <c:pt idx="0">
                  <c:v>Treatment success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'Tx outcomes (all)'!$U$119:$AD$119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'Tx outcomes (all)'!$U$120:$AD$120</c:f>
              <c:numCache>
                <c:formatCode>#,##0.0</c:formatCode>
                <c:ptCount val="10"/>
                <c:pt idx="0">
                  <c:v>67.56341275941584</c:v>
                </c:pt>
                <c:pt idx="1">
                  <c:v>72.464741437206172</c:v>
                </c:pt>
                <c:pt idx="2">
                  <c:v>75.371900826446293</c:v>
                </c:pt>
                <c:pt idx="3">
                  <c:v>77.067669172932327</c:v>
                </c:pt>
                <c:pt idx="4">
                  <c:v>73.394004282655246</c:v>
                </c:pt>
                <c:pt idx="5">
                  <c:v>75.37712895377129</c:v>
                </c:pt>
                <c:pt idx="6">
                  <c:v>76.481567895473631</c:v>
                </c:pt>
                <c:pt idx="7">
                  <c:v>76.035502958579883</c:v>
                </c:pt>
                <c:pt idx="8">
                  <c:v>74.377656344869465</c:v>
                </c:pt>
                <c:pt idx="9">
                  <c:v>80.988917306052855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'Tx outcomes (all)'!$R$121</c:f>
              <c:strCache>
                <c:ptCount val="1"/>
                <c:pt idx="0">
                  <c:v>LTFU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'Tx outcomes (all)'!$U$119:$AD$119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'Tx outcomes (all)'!$U$131:$AD$131</c:f>
              <c:numCache>
                <c:formatCode>#,##0.0</c:formatCode>
                <c:ptCount val="10"/>
                <c:pt idx="0">
                  <c:v>12.854757929883139</c:v>
                </c:pt>
                <c:pt idx="1">
                  <c:v>13.591495823842065</c:v>
                </c:pt>
                <c:pt idx="2">
                  <c:v>9.5427435387673949</c:v>
                </c:pt>
                <c:pt idx="3">
                  <c:v>8.827238335435057</c:v>
                </c:pt>
                <c:pt idx="4">
                  <c:v>9.4940662086196124</c:v>
                </c:pt>
                <c:pt idx="5">
                  <c:v>7.5460487225193118</c:v>
                </c:pt>
                <c:pt idx="6">
                  <c:v>8.3023543990086743</c:v>
                </c:pt>
                <c:pt idx="7">
                  <c:v>6.495176848874598</c:v>
                </c:pt>
                <c:pt idx="8">
                  <c:v>5.9670781893004117</c:v>
                </c:pt>
                <c:pt idx="9">
                  <c:v>7.6517150395778373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3913888"/>
        <c:axId val="1213940000"/>
      </c:lineChart>
      <c:catAx>
        <c:axId val="121391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1213940000"/>
        <c:crosses val="autoZero"/>
        <c:auto val="1"/>
        <c:lblAlgn val="ctr"/>
        <c:lblOffset val="100"/>
        <c:noMultiLvlLbl val="0"/>
      </c:catAx>
      <c:valAx>
        <c:axId val="1213940000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213913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5694116472976067E-2"/>
          <c:y val="0.91881813529594125"/>
          <c:w val="0.88654500565047989"/>
          <c:h val="6.0956272375556869E-2"/>
        </c:manualLayout>
      </c:layout>
      <c:overlay val="0"/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577210574549792E-2"/>
          <c:y val="2.8252405949256341E-2"/>
          <c:w val="0.90517999308448738"/>
          <c:h val="0.809023162284632"/>
        </c:manualLayout>
      </c:layout>
      <c:lineChart>
        <c:grouping val="standard"/>
        <c:varyColors val="0"/>
        <c:ser>
          <c:idx val="2"/>
          <c:order val="0"/>
          <c:tx>
            <c:strRef>
              <c:f>'Tx outcomes (all)'!$R$65</c:f>
              <c:strCache>
                <c:ptCount val="1"/>
                <c:pt idx="0">
                  <c:v>Treatment success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'Tx outcomes (all)'!$S$64:$AD$64</c:f>
              <c:numCache>
                <c:formatCode>General</c:formatCod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numCache>
            </c:numRef>
          </c:cat>
          <c:val>
            <c:numRef>
              <c:f>'Tx outcomes (all)'!$S$65:$AD$65</c:f>
              <c:numCache>
                <c:formatCode>#,##0.0</c:formatCode>
                <c:ptCount val="12"/>
                <c:pt idx="0">
                  <c:v>64.100236063192298</c:v>
                </c:pt>
                <c:pt idx="1">
                  <c:v>66.465939028980046</c:v>
                </c:pt>
                <c:pt idx="2">
                  <c:v>62.480805323323665</c:v>
                </c:pt>
                <c:pt idx="3">
                  <c:v>69.466480012443611</c:v>
                </c:pt>
                <c:pt idx="4">
                  <c:v>72.859860494610018</c:v>
                </c:pt>
                <c:pt idx="5">
                  <c:v>73.696886289351454</c:v>
                </c:pt>
                <c:pt idx="6">
                  <c:v>74.944608567208277</c:v>
                </c:pt>
                <c:pt idx="7">
                  <c:v>79.518505210204822</c:v>
                </c:pt>
                <c:pt idx="8">
                  <c:v>81.999248402856068</c:v>
                </c:pt>
                <c:pt idx="9">
                  <c:v>84.873443149859384</c:v>
                </c:pt>
                <c:pt idx="10">
                  <c:v>82.994699646643113</c:v>
                </c:pt>
                <c:pt idx="11">
                  <c:v>78.017129509473136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'Tx outcomes (all)'!$R$66</c:f>
              <c:strCache>
                <c:ptCount val="1"/>
                <c:pt idx="0">
                  <c:v>LTFU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'Tx outcomes (all)'!$S$64:$AD$64</c:f>
              <c:numCache>
                <c:formatCode>General</c:formatCod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numCache>
            </c:numRef>
          </c:cat>
          <c:val>
            <c:numRef>
              <c:f>'Tx outcomes (all)'!$S$66:$AD$66</c:f>
              <c:numCache>
                <c:formatCode>#,##0.0</c:formatCode>
                <c:ptCount val="12"/>
                <c:pt idx="0">
                  <c:v>21.064100236063194</c:v>
                </c:pt>
                <c:pt idx="1">
                  <c:v>20.417764395935265</c:v>
                </c:pt>
                <c:pt idx="2">
                  <c:v>16.311209691178981</c:v>
                </c:pt>
                <c:pt idx="3">
                  <c:v>16.223362886918647</c:v>
                </c:pt>
                <c:pt idx="4">
                  <c:v>11.762840837032341</c:v>
                </c:pt>
                <c:pt idx="5">
                  <c:v>10.820574574230173</c:v>
                </c:pt>
                <c:pt idx="6">
                  <c:v>10.949039881831611</c:v>
                </c:pt>
                <c:pt idx="7">
                  <c:v>10.150916277398492</c:v>
                </c:pt>
                <c:pt idx="8">
                  <c:v>9.225854941751221</c:v>
                </c:pt>
                <c:pt idx="9">
                  <c:v>7.09120128565689</c:v>
                </c:pt>
                <c:pt idx="10">
                  <c:v>7.4425795053003529</c:v>
                </c:pt>
                <c:pt idx="11">
                  <c:v>10.744874124059175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3935648"/>
        <c:axId val="1213912256"/>
      </c:lineChart>
      <c:catAx>
        <c:axId val="121393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1213912256"/>
        <c:crosses val="autoZero"/>
        <c:auto val="1"/>
        <c:lblAlgn val="ctr"/>
        <c:lblOffset val="100"/>
        <c:noMultiLvlLbl val="0"/>
      </c:catAx>
      <c:valAx>
        <c:axId val="1213912256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213935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5694116472976067E-2"/>
          <c:y val="0.91881813529594125"/>
          <c:w val="0.47501684752580164"/>
          <c:h val="6.9657931258821096E-2"/>
        </c:manualLayout>
      </c:layout>
      <c:overlay val="0"/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577210574549792E-2"/>
          <c:y val="2.8252405949256341E-2"/>
          <c:w val="0.90517999308448738"/>
          <c:h val="0.809023162284632"/>
        </c:manualLayout>
      </c:layout>
      <c:lineChart>
        <c:grouping val="standard"/>
        <c:varyColors val="0"/>
        <c:ser>
          <c:idx val="1"/>
          <c:order val="0"/>
          <c:tx>
            <c:strRef>
              <c:f>'Tx outcomes (all)'!$R$178</c:f>
              <c:strCache>
                <c:ptCount val="1"/>
                <c:pt idx="0">
                  <c:v>Treatment success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'Tx outcomes (all)'!$U$177:$AD$177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'Tx outcomes (all)'!$U$178:$AD$178</c:f>
              <c:numCache>
                <c:formatCode>#,##0.0</c:formatCode>
                <c:ptCount val="10"/>
                <c:pt idx="0">
                  <c:v>67.56341275941584</c:v>
                </c:pt>
                <c:pt idx="1">
                  <c:v>72.464741437206172</c:v>
                </c:pt>
                <c:pt idx="2">
                  <c:v>75.455046883618323</c:v>
                </c:pt>
                <c:pt idx="3">
                  <c:v>77.989130434782609</c:v>
                </c:pt>
                <c:pt idx="4">
                  <c:v>78.567335243553018</c:v>
                </c:pt>
                <c:pt idx="5">
                  <c:v>82.00105876124934</c:v>
                </c:pt>
                <c:pt idx="6">
                  <c:v>84.790481117434041</c:v>
                </c:pt>
                <c:pt idx="7">
                  <c:v>86.097152428810716</c:v>
                </c:pt>
                <c:pt idx="8">
                  <c:v>83.846680355920611</c:v>
                </c:pt>
                <c:pt idx="9">
                  <c:v>81.545064377682408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'Tx outcomes (all)'!$R$179</c:f>
              <c:strCache>
                <c:ptCount val="1"/>
                <c:pt idx="0">
                  <c:v>LTFU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'Tx outcomes (all)'!$U$177:$AD$177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'Tx outcomes (all)'!$U$179:$AD$179</c:f>
              <c:numCache>
                <c:formatCode>#,##0.0</c:formatCode>
                <c:ptCount val="10"/>
                <c:pt idx="0">
                  <c:v>12.682551883166795</c:v>
                </c:pt>
                <c:pt idx="1">
                  <c:v>12.760241773002015</c:v>
                </c:pt>
                <c:pt idx="2">
                  <c:v>9.9834528405956977</c:v>
                </c:pt>
                <c:pt idx="3">
                  <c:v>8.858695652173914</c:v>
                </c:pt>
                <c:pt idx="4">
                  <c:v>9.3982808022922644</c:v>
                </c:pt>
                <c:pt idx="5">
                  <c:v>7.9936474325039697</c:v>
                </c:pt>
                <c:pt idx="6">
                  <c:v>7.3978272115882051</c:v>
                </c:pt>
                <c:pt idx="7">
                  <c:v>5.8068118369625905</c:v>
                </c:pt>
                <c:pt idx="8">
                  <c:v>6.0917180013689256</c:v>
                </c:pt>
                <c:pt idx="9">
                  <c:v>7.4678111587982832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3930208"/>
        <c:axId val="1213914432"/>
      </c:lineChart>
      <c:catAx>
        <c:axId val="121393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1213914432"/>
        <c:crosses val="autoZero"/>
        <c:auto val="1"/>
        <c:lblAlgn val="ctr"/>
        <c:lblOffset val="100"/>
        <c:noMultiLvlLbl val="0"/>
      </c:catAx>
      <c:valAx>
        <c:axId val="1213914432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213930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5694116472976067E-2"/>
          <c:y val="0.91881813529594125"/>
          <c:w val="0.88654500565047989"/>
          <c:h val="6.0956272375556869E-2"/>
        </c:manualLayout>
      </c:layout>
      <c:overlay val="0"/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603740</xdr:colOff>
      <xdr:row>37</xdr:row>
      <xdr:rowOff>1466</xdr:rowOff>
    </xdr:from>
    <xdr:to>
      <xdr:col>9</xdr:col>
      <xdr:colOff>5861</xdr:colOff>
      <xdr:row>59</xdr:row>
      <xdr:rowOff>158262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603740</xdr:colOff>
      <xdr:row>150</xdr:row>
      <xdr:rowOff>1466</xdr:rowOff>
    </xdr:from>
    <xdr:to>
      <xdr:col>9</xdr:col>
      <xdr:colOff>5861</xdr:colOff>
      <xdr:row>172</xdr:row>
      <xdr:rowOff>158262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603740</xdr:colOff>
      <xdr:row>92</xdr:row>
      <xdr:rowOff>1466</xdr:rowOff>
    </xdr:from>
    <xdr:to>
      <xdr:col>9</xdr:col>
      <xdr:colOff>5861</xdr:colOff>
      <xdr:row>114</xdr:row>
      <xdr:rowOff>158262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603740</xdr:colOff>
      <xdr:row>205</xdr:row>
      <xdr:rowOff>1466</xdr:rowOff>
    </xdr:from>
    <xdr:to>
      <xdr:col>9</xdr:col>
      <xdr:colOff>5861</xdr:colOff>
      <xdr:row>227</xdr:row>
      <xdr:rowOff>158262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\Documents%20and%20Settings\Marina\Local%20Settings\Temporary%20Internet%20Files\OLK5\Disease_specific_PF_template_dropdown_3+4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Z/Users/&#1090;&#1091;&#1073;&#1077;&#1088;&#1082;&#1091;&#1083;&#1077;&#1079;/Desktop/Turmenistan%20mission%20Jun%202-11/SSF%20Belarus%20docs/Phase%20II%20Final/Disease_specific_PF_template_dropdown_3+4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-zit/AppData/Roaming/Microsoft/Excel/VP_ver%2007_MDA%20Renewal%20TB%20PCIMU%20Workplan%20and%20Budget_19.01.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Z/Documents%20and%20Settings/ez/Desktop/Kyrgyzstan/R10/R10_PerformanceFramework_ru_020810_13-00%20%20V2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Z/9&#1088;/&#1053;&#1086;&#1074;&#1072;&#1103;%20&#1087;&#1072;&#1087;&#1082;&#1072;/Rnd9-Budget-12.04.09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TB%20R10/SR/PR%20reporting%20forms/New%20PUDR_Form_EN_SRv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golubkov/My%20Documents/GLOBAL%20FUND%20MAIN/ROUND%207%20Application/Final%20Application/Tomsk%20Application%20Main%20documents%20Part%2003/Budget_Tomsk_Fi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Z/Upated%20TB%20budget%20Y2%20March%202009/TB_Financial%20Report%20Y1%20EFR%20guidelines%20Updated%2011.02.2009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CUMENTS/1.%20Centrul%20PAS/GFATM%20R8%20-%20TB_HIV/Acordul%20HIV%20-%20cu%20FG/prolongare/Finale/SB_HIV_12Dec_1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at/Budget%20calculation%20tool_LNR,%2026.12.2013,er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2TBNSPCN/1FINALDRAFTS/1FINALJULY142015/NSPJULY15th/GEO%20TB%20WPB%20v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Z/Documents%20and%20Settings/Marina/Local%20Settings/Temporary%20Internet%20Files/OLK5/Disease_specific_PF_template_dropdown_3+4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\Upated%20TB%20budget%20Y2%20March%202009\TB_Financial%20Report%20Y1%20EFR%20guidelines%20Updated%2011.02.2009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orelsoltan/Library/Mail%20Downloads/KGZ%20tb_budgeting_templa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Z/Procurement/SSF%20Costs%20Ref%20Docs/Annex%208.%20SLD%20request%20KG%202007-2012_2nd%20line%20TB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\Procurement\SSF%20Costs%20Ref%20Docs\Annex%208.%20SLD%20request%20KG%202007-2012_2nd%20line%20TB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orelsoltan/Library/Mail%20Downloads/MDA%20tb%20budgeting%20template%20v3%20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Fomicheva/COS%20HIV/Rnd4-Budget-COS_28012010(CCM)_ru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O/Documents/MDA/MDA%20TB%20REACH%20Wave%202/From%20Valeriu%202011-02-14/TB%20Reach%202011/dinamic-tb_rezistance_who_RAD9E188TM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erformance Framework 3&amp;4"/>
      <sheetName val="HIV"/>
      <sheetName val="TB"/>
      <sheetName val="Malaria"/>
    </sheetNames>
    <sheetDataSet>
      <sheetData sheetId="0" refreshError="1"/>
      <sheetData sheetId="1" refreshError="1"/>
      <sheetData sheetId="2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 and schools</v>
          </cell>
        </row>
        <row r="5">
          <cell r="A5" t="str">
            <v xml:space="preserve">Condom </v>
          </cell>
        </row>
        <row r="6">
          <cell r="A6" t="str">
            <v>Testing and Counseling</v>
          </cell>
        </row>
        <row r="7">
          <cell r="A7" t="str">
            <v>PMTCT</v>
          </cell>
        </row>
        <row r="8">
          <cell r="A8" t="str">
            <v>Post-exposure prophylaxis (PEP)</v>
          </cell>
        </row>
        <row r="9">
          <cell r="A9" t="str">
            <v>STI diagnosis and treatment</v>
          </cell>
        </row>
        <row r="10">
          <cell r="A10" t="str">
            <v>Blood safety and universal precaution</v>
          </cell>
        </row>
        <row r="11">
          <cell r="A11" t="str">
            <v>Antiretroviral treatment (ARV) and monitoring</v>
          </cell>
        </row>
        <row r="12">
          <cell r="A12" t="str">
            <v>Prophylaxis and treatment for opportunistic infections</v>
          </cell>
        </row>
        <row r="13">
          <cell r="A13" t="str">
            <v>Care and support for the chronically ill</v>
          </cell>
        </row>
        <row r="14">
          <cell r="A14" t="str">
            <v>Support for orphans and vulnerable children</v>
          </cell>
        </row>
        <row r="15">
          <cell r="A15" t="str">
            <v>TB/HIV</v>
          </cell>
        </row>
        <row r="16">
          <cell r="A16" t="str">
            <v>Policy development including workplace policy</v>
          </cell>
        </row>
        <row r="17">
          <cell r="A17" t="str">
            <v xml:space="preserve">Strengthening of civil society and institutional capacity building </v>
          </cell>
        </row>
        <row r="18">
          <cell r="A18" t="str">
            <v>Stigma reduction in all settings</v>
          </cell>
        </row>
        <row r="19">
          <cell r="A19" t="str">
            <v>HSS: Service delivery</v>
          </cell>
        </row>
        <row r="20">
          <cell r="A20" t="str">
            <v>HSS: Health Workforce</v>
          </cell>
        </row>
        <row r="21">
          <cell r="A21" t="str">
            <v>HSS: Medical Products, vaccines and technology</v>
          </cell>
        </row>
        <row r="22">
          <cell r="A22" t="str">
            <v>HSS: Financing</v>
          </cell>
        </row>
        <row r="23">
          <cell r="A23" t="str">
            <v>HSS: Leadership and Governance</v>
          </cell>
        </row>
        <row r="24">
          <cell r="A24" t="str">
            <v xml:space="preserve">HSS: Information system </v>
          </cell>
        </row>
      </sheetData>
      <sheetData sheetId="3">
        <row r="2">
          <cell r="A2" t="str">
            <v>please select…</v>
          </cell>
        </row>
      </sheetData>
      <sheetData sheetId="4">
        <row r="2">
          <cell r="A2" t="str">
            <v>please select…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erformance Framework 3&amp;4"/>
      <sheetName val="HIV"/>
      <sheetName val="TB"/>
      <sheetName val="Malaria"/>
    </sheetNames>
    <sheetDataSet>
      <sheetData sheetId="0" refreshError="1"/>
      <sheetData sheetId="1" refreshError="1"/>
      <sheetData sheetId="2">
        <row r="2">
          <cell r="A2" t="str">
            <v>Please select…</v>
          </cell>
          <cell r="B2" t="str">
            <v>Please select…</v>
          </cell>
          <cell r="D2" t="str">
            <v>Please select…</v>
          </cell>
          <cell r="E2" t="str">
            <v>Please select…</v>
          </cell>
        </row>
        <row r="3">
          <cell r="A3" t="str">
            <v>BCC - Mass media</v>
          </cell>
          <cell r="B3" t="str">
            <v xml:space="preserve">% of young women and men aged 15-24 who are HIV infected </v>
          </cell>
          <cell r="D3" t="str">
            <v xml:space="preserve">% of women and men aged 15-49 who have had sexual intercourse with more than one partner in the last 12 months </v>
          </cell>
          <cell r="E3" t="str">
            <v>HMIS</v>
          </cell>
          <cell r="F3" t="str">
            <v>Please enter a corresponding indicator here…</v>
          </cell>
        </row>
        <row r="4">
          <cell r="A4" t="str">
            <v>BCC - community outreach and schools</v>
          </cell>
          <cell r="B4" t="str">
            <v xml:space="preserve">% of adults and children with HIV known to be on treatment 12 months after initiation of antiretroviral therapy </v>
          </cell>
          <cell r="D4" t="str">
            <v>% of never married young men and women aged 15-24 who have never had sex</v>
          </cell>
          <cell r="E4" t="str">
            <v>Patient records</v>
          </cell>
          <cell r="F4" t="str">
            <v>Please enter a data source here…</v>
          </cell>
        </row>
        <row r="5">
          <cell r="A5" t="str">
            <v xml:space="preserve">Condom </v>
          </cell>
          <cell r="B5" t="str">
            <v xml:space="preserve">% of infants born to HIV infected mothers who are infected </v>
          </cell>
          <cell r="D5" t="str">
            <v xml:space="preserve">% of young women and men aged 15-24 who have had sexual intercourse before the age of 15 </v>
          </cell>
          <cell r="E5" t="str">
            <v>Training records</v>
          </cell>
          <cell r="F5" t="str">
            <v>Please enter a SDA here…</v>
          </cell>
        </row>
        <row r="6">
          <cell r="A6" t="str">
            <v>Testing and Counseling</v>
          </cell>
          <cell r="B6" t="str">
            <v xml:space="preserve">% of most-at-risk population(s) (sex workers, clients of sex workers, men who have sex with men, injecting drug users) who are HIV infected </v>
          </cell>
          <cell r="D6" t="str">
            <v xml:space="preserve">% of injecting drug users reporting the use of sterile injecting equipment the last time they injected </v>
          </cell>
          <cell r="E6" t="str">
            <v>MICS (Multiple Indicator Cluster Survey)</v>
          </cell>
        </row>
        <row r="7">
          <cell r="A7" t="str">
            <v>PMTCT</v>
          </cell>
          <cell r="B7" t="str">
            <v>% of children under age 18 who are orphans</v>
          </cell>
          <cell r="D7" t="str">
            <v xml:space="preserve">% of injecting drug users reporting the use of a condom the last time they had sexual intercourse </v>
          </cell>
          <cell r="E7" t="str">
            <v>DHS/DHS+ (Demographic and Health Survey)</v>
          </cell>
        </row>
        <row r="8">
          <cell r="A8" t="str">
            <v>Post-exposure prophylaxis (PEP)</v>
          </cell>
          <cell r="D8" t="str">
            <v>Current school attendance among orphans and non-orphans</v>
          </cell>
          <cell r="E8" t="str">
            <v>AIS (AIDS Indicator Survey)</v>
          </cell>
        </row>
        <row r="9">
          <cell r="A9" t="str">
            <v>STI diagnosis and treatment</v>
          </cell>
          <cell r="D9" t="str">
            <v>% of women and men aged 15-49 who have had more than one sexual partner in the past 12 months reporting the use of a condom during their last sexual intercourse</v>
          </cell>
          <cell r="E9" t="str">
            <v>BSS (Behavioral Surveillance Survey)</v>
          </cell>
        </row>
        <row r="10">
          <cell r="A10" t="str">
            <v>Blood safety and universal precaution</v>
          </cell>
          <cell r="D10" t="str">
            <v xml:space="preserve">% of women and men aged 15-49 expressing accepting attitudes towards people with HIV </v>
          </cell>
          <cell r="E10" t="str">
            <v>Health Facility survey</v>
          </cell>
        </row>
        <row r="11">
          <cell r="A11" t="str">
            <v>Antiretroviral treatment (ARV) and monitoring</v>
          </cell>
          <cell r="D11" t="str">
            <v xml:space="preserve">% of female and male sex workers reporting the use of a condom with their most recent client </v>
          </cell>
          <cell r="E11" t="str">
            <v>SAMS (Service Availability Mapping Survey)</v>
          </cell>
        </row>
        <row r="12">
          <cell r="A12" t="str">
            <v>Prophylaxis and treatment for opportunistic infections</v>
          </cell>
          <cell r="D12" t="str">
            <v xml:space="preserve">% of men aged 15-49 reporting sex with a sex worker in the last 12 months who used a condom during last paid intercourse </v>
          </cell>
          <cell r="E12" t="str">
            <v>Households survey</v>
          </cell>
        </row>
        <row r="13">
          <cell r="A13" t="str">
            <v>Care and support for the chronically ill</v>
          </cell>
          <cell r="D13" t="str">
            <v xml:space="preserve">% of men reporting the use of condom the last time they had anal sex with a male partner </v>
          </cell>
          <cell r="E13" t="str">
            <v>Specific surveys and research (specify)</v>
          </cell>
        </row>
        <row r="14">
          <cell r="A14" t="str">
            <v>Support for orphans and vulnerable children</v>
          </cell>
          <cell r="E14" t="str">
            <v>Reports (specify)</v>
          </cell>
        </row>
        <row r="15">
          <cell r="A15" t="str">
            <v>TB/HIV</v>
          </cell>
          <cell r="E15" t="str">
            <v>Vital and disease-specific registry</v>
          </cell>
        </row>
        <row r="16">
          <cell r="A16" t="str">
            <v>Policy development including workplace policy</v>
          </cell>
          <cell r="E16" t="str">
            <v>Operational Research</v>
          </cell>
        </row>
        <row r="17">
          <cell r="A17" t="str">
            <v xml:space="preserve">Strengthening of civil society and institutional capacity building </v>
          </cell>
          <cell r="E17" t="str">
            <v>Health Provider survey</v>
          </cell>
        </row>
        <row r="18">
          <cell r="A18" t="str">
            <v>Stigma reduction in all settings</v>
          </cell>
          <cell r="E18" t="str">
            <v>National Health Account</v>
          </cell>
        </row>
        <row r="19">
          <cell r="A19" t="str">
            <v>HSS: Service delivery</v>
          </cell>
          <cell r="E19" t="str">
            <v>Administrative records</v>
          </cell>
        </row>
        <row r="20">
          <cell r="A20" t="str">
            <v>HSS: Health Workforce</v>
          </cell>
        </row>
        <row r="21">
          <cell r="A21" t="str">
            <v>HSS: Medical Products, vaccines and technology</v>
          </cell>
        </row>
        <row r="22">
          <cell r="A22" t="str">
            <v>HSS: Financing</v>
          </cell>
        </row>
        <row r="23">
          <cell r="A23" t="str">
            <v>HSS: Leadership and Governance</v>
          </cell>
        </row>
        <row r="24">
          <cell r="A24" t="str">
            <v xml:space="preserve">HSS: Information system </v>
          </cell>
        </row>
      </sheetData>
      <sheetData sheetId="3">
        <row r="2">
          <cell r="A2" t="str">
            <v>please select…</v>
          </cell>
          <cell r="B2" t="str">
            <v>please select…</v>
          </cell>
          <cell r="D2" t="str">
            <v>please select…</v>
          </cell>
          <cell r="E2" t="str">
            <v>please select…</v>
          </cell>
        </row>
        <row r="3">
          <cell r="A3" t="str">
            <v>High Quality DOTS</v>
          </cell>
          <cell r="B3" t="str">
            <v>TB prevalence rate</v>
          </cell>
          <cell r="D3" t="str">
            <v>Case detection rate: new smear positive TB cases</v>
          </cell>
          <cell r="E3" t="str">
            <v>R&amp;R TB system, quarterly reports</v>
          </cell>
        </row>
        <row r="4">
          <cell r="A4" t="str">
            <v>Improving diagnosis</v>
          </cell>
          <cell r="B4" t="str">
            <v>TB incidence rate</v>
          </cell>
          <cell r="D4" t="str">
            <v>Treatment success rate: new smear positive TB cases</v>
          </cell>
          <cell r="E4" t="str">
            <v xml:space="preserve">R&amp;R TB system, yearly management report </v>
          </cell>
        </row>
        <row r="5">
          <cell r="A5" t="str">
            <v xml:space="preserve">Patient support </v>
          </cell>
          <cell r="B5" t="str">
            <v>TB mortality rate</v>
          </cell>
          <cell r="E5" t="str">
            <v>TB prevalence survey</v>
          </cell>
        </row>
        <row r="6">
          <cell r="A6" t="str">
            <v xml:space="preserve">Procurement and supply management (First line drugs) </v>
          </cell>
          <cell r="E6" t="str">
            <v>TB patient register</v>
          </cell>
        </row>
        <row r="7">
          <cell r="A7" t="str">
            <v>M&amp;E</v>
          </cell>
          <cell r="E7" t="str">
            <v>TB laboratory register</v>
          </cell>
        </row>
        <row r="8">
          <cell r="A8" t="str">
            <v>TB/HIV</v>
          </cell>
          <cell r="E8" t="str">
            <v>TB treatment card</v>
          </cell>
        </row>
        <row r="9">
          <cell r="A9" t="str">
            <v>MDR-TB</v>
          </cell>
          <cell r="E9" t="str">
            <v>Training records</v>
          </cell>
        </row>
        <row r="10">
          <cell r="A10" t="str">
            <v xml:space="preserve">High-risk groups </v>
          </cell>
          <cell r="E10" t="str">
            <v>Specify- Reports, Surveys, Questionnaires etc.</v>
          </cell>
        </row>
        <row r="11">
          <cell r="A11" t="str">
            <v>PAL (Practical Approach to Lung Health)</v>
          </cell>
          <cell r="E11" t="str">
            <v>Health Provider survey</v>
          </cell>
        </row>
        <row r="12">
          <cell r="A12" t="str">
            <v>All care providers (PPM / ISTC - Public-Public, Public-Private Mix (PPM) approaches and International standards for TB care)</v>
          </cell>
          <cell r="E12" t="str">
            <v>Health Facility survey</v>
          </cell>
        </row>
        <row r="13">
          <cell r="A13" t="str">
            <v xml:space="preserve">ACSM (Advocacy, communication and social mobilization) </v>
          </cell>
          <cell r="E13" t="str">
            <v>National Health Account</v>
          </cell>
        </row>
        <row r="14">
          <cell r="A14" t="str">
            <v xml:space="preserve">Community TB care </v>
          </cell>
          <cell r="E14" t="str">
            <v>Households survey</v>
          </cell>
        </row>
        <row r="15">
          <cell r="A15" t="str">
            <v>Operational Research</v>
          </cell>
          <cell r="E15" t="str">
            <v>SAMS (Service Availability Mapping Survey)</v>
          </cell>
        </row>
        <row r="16">
          <cell r="A16" t="str">
            <v>HSS: Service delivery</v>
          </cell>
          <cell r="E16" t="str">
            <v>Administrative records</v>
          </cell>
        </row>
        <row r="17">
          <cell r="A17" t="str">
            <v>HSS:  Health Workforce</v>
          </cell>
        </row>
        <row r="18">
          <cell r="A18" t="str">
            <v>HSS:  Medical Products, Vaccines and Technology</v>
          </cell>
        </row>
        <row r="19">
          <cell r="A19" t="str">
            <v>HSS:  Financing</v>
          </cell>
        </row>
        <row r="20">
          <cell r="A20" t="str">
            <v>HSS:  Information System</v>
          </cell>
        </row>
        <row r="21">
          <cell r="A21" t="str">
            <v>HSS:  Leadership and Goverance</v>
          </cell>
        </row>
      </sheetData>
      <sheetData sheetId="4">
        <row r="2">
          <cell r="A2" t="str">
            <v>please select…</v>
          </cell>
          <cell r="B2" t="str">
            <v>please select…</v>
          </cell>
          <cell r="D2" t="str">
            <v>please select…</v>
          </cell>
          <cell r="E2" t="str">
            <v>please select…</v>
          </cell>
        </row>
        <row r="3">
          <cell r="A3" t="str">
            <v>BCC - Mass media</v>
          </cell>
          <cell r="B3" t="str">
            <v xml:space="preserve">Death rates associated with Malaria: all-cause under-5 mortality rate in highly endemic areas </v>
          </cell>
          <cell r="D3" t="str">
            <v>% of U5 children (and other target groups) with malaria/fever receiving appropriate treatment within 24 hours (community/health facility)</v>
          </cell>
          <cell r="E3" t="str">
            <v>DHS/DHS+ (Demographic and Health Survey)</v>
          </cell>
        </row>
        <row r="4">
          <cell r="A4" t="str">
            <v>BCC - community outreach</v>
          </cell>
          <cell r="B4" t="str">
            <v xml:space="preserve">Incidence of clinical malaria cases (estimated and/or reported) </v>
          </cell>
          <cell r="D4" t="str">
            <v>% of U5 children (and other target group) with uncomplicated malaria correctly managed at health facilities</v>
          </cell>
          <cell r="E4" t="str">
            <v>MIS (Malaria Indicator Survey)</v>
          </cell>
        </row>
        <row r="5">
          <cell r="A5" t="str">
            <v>Insecticide-treated nets (ITNs)</v>
          </cell>
          <cell r="B5" t="str">
            <v>Anaemia prevalence in children under 5 years of age</v>
          </cell>
          <cell r="D5" t="str">
            <v>% of U5 children (and other target groups) admitted with severe malaria and correctly managed at health facilities</v>
          </cell>
          <cell r="E5" t="str">
            <v>MICS (Multiple Indicator Cluster Survey)</v>
          </cell>
        </row>
        <row r="6">
          <cell r="A6" t="str">
            <v>Malaria prevention during pregnancy</v>
          </cell>
          <cell r="B6" t="str">
            <v xml:space="preserve">Prevalence of malaria parasite infection </v>
          </cell>
          <cell r="D6" t="str">
            <v>% of children U5 sleeping under an ITN</v>
          </cell>
          <cell r="E6" t="str">
            <v>Situation Analysis</v>
          </cell>
        </row>
        <row r="7">
          <cell r="A7" t="str">
            <v>Indoor Residual Spraying</v>
          </cell>
          <cell r="B7" t="str">
            <v>Laboratory-confirmed malaria cases seen in heath facilities</v>
          </cell>
          <cell r="D7" t="str">
            <v>% of households with at least one ITN</v>
          </cell>
          <cell r="E7" t="str">
            <v>HMIS</v>
          </cell>
        </row>
        <row r="8">
          <cell r="A8" t="str">
            <v>Prompt, effective anti-malarial treatment</v>
          </cell>
          <cell r="B8" t="str">
            <v>Laboratory-confirmed malaria deaths seen in health facilities</v>
          </cell>
          <cell r="D8" t="str">
            <v>% of pregnant women (and other target groups) sleeping under an ITN</v>
          </cell>
          <cell r="E8" t="str">
            <v>Health Facility survey</v>
          </cell>
        </row>
        <row r="9">
          <cell r="A9" t="str">
            <v>Home based management of malaria</v>
          </cell>
          <cell r="B9" t="str">
            <v>Malaria-attributed deaths in sentinel demographic surveillance sites</v>
          </cell>
          <cell r="D9" t="str">
            <v>% of pregnant women on Intermittent preventive treatment (IPT) according to national policy (specific to Sub-Saharian Africa)</v>
          </cell>
          <cell r="E9" t="str">
            <v>Health Provider survey</v>
          </cell>
        </row>
        <row r="10">
          <cell r="A10" t="str">
            <v>Diagnosis</v>
          </cell>
          <cell r="B10" t="str">
            <v>API (Annual Parasite Index) (specific to Latin America and Asia)</v>
          </cell>
          <cell r="D10" t="str">
            <v>% of households in malaria areas protected by IRS</v>
          </cell>
          <cell r="E10" t="str">
            <v>Key informant survey</v>
          </cell>
        </row>
        <row r="11">
          <cell r="A11" t="str">
            <v>Monitoring drug resistance</v>
          </cell>
          <cell r="B11" t="str">
            <v xml:space="preserve">Incidence of confirmed malaria cases  </v>
          </cell>
          <cell r="D11" t="str">
            <v>% of households covered by ITN or IRS</v>
          </cell>
          <cell r="E11" t="str">
            <v>Households survey</v>
          </cell>
        </row>
        <row r="12">
          <cell r="A12" t="str">
            <v>Monitoring insecticide resistance</v>
          </cell>
          <cell r="E12" t="str">
            <v>Vital registration systems</v>
          </cell>
        </row>
        <row r="13">
          <cell r="A13" t="str">
            <v>Coordination and partnership development (national, community, public-private)</v>
          </cell>
          <cell r="E13" t="str">
            <v>Training records</v>
          </cell>
        </row>
        <row r="14">
          <cell r="A14" t="str">
            <v>HSS: Service delivery</v>
          </cell>
          <cell r="E14" t="str">
            <v>Patients records</v>
          </cell>
        </row>
        <row r="15">
          <cell r="A15" t="str">
            <v xml:space="preserve">HSS: Health Workforce </v>
          </cell>
          <cell r="E15" t="str">
            <v>Surveillance systems</v>
          </cell>
        </row>
        <row r="16">
          <cell r="A16" t="str">
            <v xml:space="preserve">HSS: Medical Products, Vaccines and Technology </v>
          </cell>
          <cell r="E16" t="str">
            <v>Other report, specify</v>
          </cell>
        </row>
        <row r="17">
          <cell r="A17" t="str">
            <v xml:space="preserve">HSS: Information system </v>
          </cell>
          <cell r="E17" t="str">
            <v>National Health Account</v>
          </cell>
        </row>
        <row r="18">
          <cell r="A18" t="str">
            <v xml:space="preserve">HSS: Financing </v>
          </cell>
          <cell r="E18" t="str">
            <v>SAMS (Service Availability Mapping Survey)</v>
          </cell>
        </row>
        <row r="19">
          <cell r="A19" t="str">
            <v xml:space="preserve">HSS: Leadership and Goverance </v>
          </cell>
          <cell r="E19" t="str">
            <v>Other survey, specify</v>
          </cell>
        </row>
        <row r="20">
          <cell r="E20" t="str">
            <v>Administrative records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plan and Budget 2012_2015"/>
      <sheetName val="Workplan and budget Years 1-3"/>
      <sheetName val="PR-PCIMU SSF year 2012"/>
      <sheetName val="PR-PCIMU SSF Grant 2013-15"/>
      <sheetName val="Estimations"/>
      <sheetName val="Estimations 27.01.12"/>
      <sheetName val="Activities"/>
      <sheetName val="Visit_costs"/>
      <sheetName val="Cost of 2nd line drugs"/>
      <sheetName val="PCIMU PM costs 2012"/>
      <sheetName val="PCIMU PM costs 2013_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D4">
            <v>15.31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и "/>
      <sheetName val="Система эф. работы"/>
      <sheetName val="HIV"/>
      <sheetName val="TB"/>
      <sheetName val="Malaria"/>
      <sheetName val="HSS"/>
      <sheetName val="Epid data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Выберите…</v>
          </cell>
        </row>
        <row r="4">
          <cell r="A4" t="str">
            <v>УСЗ (Укрепление систем здравоохранения): Оказание услуг</v>
          </cell>
        </row>
        <row r="5">
          <cell r="A5" t="str">
            <v>УСЗ: Кадровые ресурсы</v>
          </cell>
        </row>
        <row r="6">
          <cell r="A6" t="str">
            <v>УСЗ: Продукты медицинского назначения, вакцины и технология</v>
          </cell>
        </row>
        <row r="7">
          <cell r="A7" t="str">
            <v>УСЗ: Финансирование</v>
          </cell>
        </row>
        <row r="8">
          <cell r="A8" t="str">
            <v>УСЗ: Управление и руководство</v>
          </cell>
        </row>
        <row r="9">
          <cell r="A9" t="str">
            <v>УСЗ: Информационные системы</v>
          </cell>
        </row>
        <row r="10">
          <cell r="A10" t="str">
            <v xml:space="preserve">УСС (Укрепление систем сообществ): Мониторинг и документация общинных и правительственных программ </v>
          </cell>
        </row>
        <row r="11">
          <cell r="A11" t="str">
            <v xml:space="preserve">УСС: Информационно-разъяснительная деятельность, коммуникация и социальная мобилизация </v>
          </cell>
        </row>
        <row r="12">
          <cell r="A12" t="str">
            <v xml:space="preserve">УСС: Создание сетей на уровне сообществ, сотрудничество и координация </v>
          </cell>
        </row>
        <row r="13">
          <cell r="A13" t="str">
            <v>УСС: Людские ресурсы: укрепление навыков в сфере предоставления услуг, информационно-разъяснительной деятельности и лидерских навыков</v>
          </cell>
        </row>
        <row r="14">
          <cell r="A14" t="str">
            <v>УСС: Финансовые ресурсы</v>
          </cell>
        </row>
        <row r="15">
          <cell r="A15" t="str">
            <v>УСС: Материально-технические ресурсы – инфраструктура и основные продукты (включая продукты медицинского назначения и другие продукты и технологии</v>
          </cell>
        </row>
        <row r="16">
          <cell r="A16" t="str">
            <v>УСС: Виды деятельности и услуги на базе сообществ – предоставление, использование и качество услуг</v>
          </cell>
        </row>
        <row r="17">
          <cell r="A17" t="str">
            <v xml:space="preserve">УСС: Управление, ответственность и лидерство </v>
          </cell>
        </row>
        <row r="18">
          <cell r="A18" t="str">
            <v xml:space="preserve">УСС: Мониторинг и оценка, создание достоверных баз данных </v>
          </cell>
        </row>
        <row r="19">
          <cell r="A19" t="str">
            <v xml:space="preserve">УСС: Стратегическое планирование </v>
          </cell>
        </row>
      </sheetData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Заглавный лист"/>
      <sheetName val="Общие указания"/>
      <sheetName val="Общие допущения"/>
      <sheetName val="Детальные допущения"/>
      <sheetName val="Детальный бюджет на 1-й год"/>
      <sheetName val="Детальный бюджет на 2-й год"/>
      <sheetName val="Детальный бюджет на 3,4,5-й год"/>
      <sheetName val="Бюджет на 5 лет"/>
      <sheetName val="Краткий бюджет"/>
    </sheetNames>
    <sheetDataSet>
      <sheetData sheetId="0">
        <row r="3">
          <cell r="F3" t="str">
            <v>Кадровые ресурсы</v>
          </cell>
          <cell r="H3" t="str">
            <v>FBO</v>
          </cell>
        </row>
        <row r="4">
          <cell r="H4" t="str">
            <v>Негосударственные учреждения/общественные организации/высшие учебные учреждения</v>
          </cell>
        </row>
        <row r="5">
          <cell r="H5" t="str">
            <v>Частный сектор</v>
          </cell>
        </row>
        <row r="6">
          <cell r="H6" t="str">
            <v>Министерство здравоохранения</v>
          </cell>
        </row>
        <row r="7">
          <cell r="H7" t="str">
            <v>Другие правительственные органы</v>
          </cell>
        </row>
        <row r="8">
          <cell r="H8" t="str">
            <v>Программа развития ООН</v>
          </cell>
        </row>
        <row r="9">
          <cell r="H9" t="str">
            <v>Другие многосторонние организации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Sheet3"/>
      <sheetName val="EFR Malaria Financial Data_3B"/>
      <sheetName val="EFR TB Financial Data_3B"/>
      <sheetName val="EFR HIV AIDS Financial Data_3B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Please select…</v>
          </cell>
        </row>
      </sheetData>
      <sheetData sheetId="31"/>
      <sheetData sheetId="32"/>
      <sheetData sheetId="33">
        <row r="1">
          <cell r="A1" t="str">
            <v>Please Select…</v>
          </cell>
        </row>
        <row r="2">
          <cell r="A2" t="str">
            <v>Prevention</v>
          </cell>
        </row>
        <row r="3">
          <cell r="A3" t="str">
            <v>Treatment</v>
          </cell>
        </row>
        <row r="4">
          <cell r="A4" t="str">
            <v>Care and Support</v>
          </cell>
        </row>
        <row r="5">
          <cell r="A5" t="str">
            <v>TB/HIV Collaborative Activities</v>
          </cell>
        </row>
        <row r="6">
          <cell r="A6" t="str">
            <v>Supportive Environment</v>
          </cell>
        </row>
        <row r="7">
          <cell r="A7" t="str">
            <v>Health System Strengthening (HSS)</v>
          </cell>
        </row>
        <row r="58">
          <cell r="A58" t="str">
            <v>Please Select…</v>
          </cell>
        </row>
        <row r="59">
          <cell r="A59" t="str">
            <v>FBO</v>
          </cell>
        </row>
        <row r="60">
          <cell r="A60" t="str">
            <v>NGO/CBO/Academic</v>
          </cell>
        </row>
        <row r="61">
          <cell r="A61" t="str">
            <v>Private Sector</v>
          </cell>
        </row>
        <row r="62">
          <cell r="A62" t="str">
            <v>Ministry Health (MoH)</v>
          </cell>
        </row>
        <row r="63">
          <cell r="A63" t="str">
            <v>Other Government</v>
          </cell>
        </row>
        <row r="64">
          <cell r="A64" t="str">
            <v>UNDP</v>
          </cell>
        </row>
        <row r="65">
          <cell r="A65" t="str">
            <v>Other Multilateral Organization</v>
          </cell>
        </row>
      </sheetData>
      <sheetData sheetId="3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шкала SDA и др"/>
      <sheetName val="1.1.1"/>
      <sheetName val="1.1.2"/>
      <sheetName val="1.1.3"/>
      <sheetName val="1.1.4"/>
      <sheetName val="1.1.5"/>
      <sheetName val="1.1.6"/>
      <sheetName val="1.1.7"/>
      <sheetName val="1.2.1"/>
      <sheetName val="1.2.2"/>
      <sheetName val="1.2.3"/>
      <sheetName val="1.3.1"/>
      <sheetName val="1.3.2"/>
      <sheetName val="1.3.3"/>
      <sheetName val="1.4.1"/>
      <sheetName val="1.4.2"/>
      <sheetName val="1.4.3"/>
      <sheetName val="1.4.4"/>
      <sheetName val="1.5.1"/>
      <sheetName val="1.5.2"/>
      <sheetName val="1.6.1"/>
      <sheetName val="1.6.2"/>
      <sheetName val="1.6.3"/>
      <sheetName val="1.6.4"/>
      <sheetName val="1.6.5"/>
      <sheetName val="1.6.6"/>
      <sheetName val="1.6.7"/>
      <sheetName val="2.1.1"/>
      <sheetName val="2.1.2"/>
      <sheetName val="2.1.3"/>
      <sheetName val="2.1.4"/>
      <sheetName val="2.1.5"/>
      <sheetName val="2.1.6"/>
      <sheetName val="2.1.7"/>
      <sheetName val="2.2.1"/>
      <sheetName val="2.2.2"/>
      <sheetName val="2.2.3"/>
      <sheetName val="2.2.4"/>
      <sheetName val="2.3.1"/>
      <sheetName val="2.3.2"/>
      <sheetName val="2.3.3"/>
      <sheetName val="2.3.4"/>
      <sheetName val="2.4.1"/>
      <sheetName val="2.4.2"/>
      <sheetName val="2.4.3"/>
      <sheetName val="3.1.1"/>
      <sheetName val="3.1.2"/>
      <sheetName val="3.1.3"/>
      <sheetName val="3.1.4"/>
      <sheetName val="3.1.5"/>
      <sheetName val="3.1.6"/>
      <sheetName val="3.1.7"/>
      <sheetName val="3.2.1"/>
      <sheetName val="3.2.2"/>
      <sheetName val="3.2.3"/>
      <sheetName val="3.2.4"/>
      <sheetName val="3.2.5"/>
      <sheetName val="3.2.6"/>
      <sheetName val="3.3.1"/>
      <sheetName val="3.3.2"/>
      <sheetName val="3.3.3"/>
      <sheetName val="3.4.1"/>
      <sheetName val="3.4.2"/>
      <sheetName val="3.4.3"/>
      <sheetName val="3.4.4"/>
      <sheetName val="4.1.1"/>
      <sheetName val="4.1.2"/>
      <sheetName val="4.2"/>
      <sheetName val="4.3"/>
      <sheetName val="4.4"/>
    </sheetNames>
    <sheetDataSet>
      <sheetData sheetId="0"/>
      <sheetData sheetId="1">
        <row r="3">
          <cell r="M3" t="str">
            <v>HR</v>
          </cell>
        </row>
        <row r="4">
          <cell r="M4" t="str">
            <v>TA</v>
          </cell>
        </row>
        <row r="5">
          <cell r="M5" t="str">
            <v>T</v>
          </cell>
        </row>
        <row r="6">
          <cell r="M6" t="str">
            <v>HP</v>
          </cell>
        </row>
        <row r="7">
          <cell r="M7" t="str">
            <v>MED</v>
          </cell>
        </row>
        <row r="8">
          <cell r="M8" t="str">
            <v>PC</v>
          </cell>
        </row>
        <row r="9">
          <cell r="M9" t="str">
            <v>IF</v>
          </cell>
        </row>
        <row r="10">
          <cell r="M10" t="str">
            <v>CM</v>
          </cell>
        </row>
        <row r="11">
          <cell r="M11" t="str">
            <v>ME</v>
          </cell>
        </row>
        <row r="12">
          <cell r="M12" t="str">
            <v>LS</v>
          </cell>
        </row>
        <row r="13">
          <cell r="M13" t="str">
            <v>PA</v>
          </cell>
        </row>
        <row r="14">
          <cell r="M14" t="str">
            <v>OTHER</v>
          </cell>
        </row>
        <row r="15">
          <cell r="M15" t="str">
            <v>OV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_Financial Data"/>
      <sheetName val="BUDGET Y1 GF"/>
      <sheetName val="Budget Y1 New line Categories"/>
      <sheetName val="Macro-categ_Budget"/>
      <sheetName val="Budget Implem. agent"/>
      <sheetName val="Budget sub-recipients work tab "/>
      <sheetName val="ATLAS GF "/>
      <sheetName val="Expenditures by Categ."/>
      <sheetName val="Expenditures GF Macro-categ "/>
      <sheetName val="Expenditures Impl. party"/>
      <sheetName val="Definition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 GF"/>
      <sheetName val="Definitions"/>
    </sheetNames>
    <sheetDataSet>
      <sheetData sheetId="0"/>
      <sheetData sheetId="1">
        <row r="31">
          <cell r="B31" t="str">
            <v>Please Select…</v>
          </cell>
        </row>
        <row r="32">
          <cell r="B32" t="str">
            <v>FBO</v>
          </cell>
        </row>
        <row r="33">
          <cell r="B33" t="str">
            <v>NGO/CBO/Academic</v>
          </cell>
        </row>
        <row r="34">
          <cell r="B34" t="str">
            <v>Private Sector</v>
          </cell>
        </row>
        <row r="35">
          <cell r="B35" t="str">
            <v>Ministry of Health (MoH)</v>
          </cell>
        </row>
        <row r="36">
          <cell r="B36" t="str">
            <v>Other Government</v>
          </cell>
        </row>
        <row r="37">
          <cell r="B37" t="str">
            <v>UNDP</v>
          </cell>
        </row>
        <row r="38">
          <cell r="B38" t="str">
            <v>Other Multilateral Organisation</v>
          </cell>
        </row>
        <row r="127">
          <cell r="B127" t="str">
            <v>Please Select…</v>
          </cell>
        </row>
        <row r="128">
          <cell r="B128" t="str">
            <v>HIV:Prevention</v>
          </cell>
        </row>
        <row r="129">
          <cell r="B129" t="str">
            <v>HIV:Treatment</v>
          </cell>
        </row>
        <row r="130">
          <cell r="B130" t="str">
            <v>HIV:Care and Support</v>
          </cell>
        </row>
        <row r="131">
          <cell r="B131" t="str">
            <v>HIV:TB/HIV Collaborative Activities</v>
          </cell>
        </row>
        <row r="132">
          <cell r="B132" t="str">
            <v>HIV:Supportive Environment</v>
          </cell>
        </row>
        <row r="133">
          <cell r="B133" t="str">
            <v>HIV:Health Systems Strengthening (HSS)</v>
          </cell>
        </row>
        <row r="134">
          <cell r="B134" t="str">
            <v>HIV_TB: TB Detection</v>
          </cell>
        </row>
        <row r="135">
          <cell r="B135" t="str">
            <v>HIV_TB: TB Treatment</v>
          </cell>
        </row>
        <row r="136">
          <cell r="B136" t="str">
            <v>HIV_TB: Collaborative Activities</v>
          </cell>
        </row>
        <row r="137">
          <cell r="B137" t="str">
            <v>HIV_TB: Supportive Environment</v>
          </cell>
        </row>
        <row r="138">
          <cell r="B138" t="str">
            <v>HIV_TB: Health Systems Strengthening (HSS)</v>
          </cell>
        </row>
        <row r="139">
          <cell r="B139" t="str">
            <v>Mal: Prevention</v>
          </cell>
        </row>
        <row r="140">
          <cell r="B140" t="str">
            <v>Mal: Treatment</v>
          </cell>
        </row>
        <row r="141">
          <cell r="B141" t="str">
            <v>Mal: Supportive Environment</v>
          </cell>
        </row>
        <row r="142">
          <cell r="B142" t="str">
            <v>Mal: Health Systems Strengthening (HSS)</v>
          </cell>
        </row>
        <row r="143">
          <cell r="B143" t="str">
            <v>TB Detection</v>
          </cell>
        </row>
        <row r="144">
          <cell r="B144" t="str">
            <v>TB Treatment</v>
          </cell>
        </row>
        <row r="145">
          <cell r="B145" t="str">
            <v>TB/HIV Collaborative Activities</v>
          </cell>
        </row>
        <row r="146">
          <cell r="B146" t="str">
            <v>TB: Supportive Environment</v>
          </cell>
        </row>
        <row r="147">
          <cell r="B147" t="str">
            <v>TB: Health Systems Strengthening (HSS)</v>
          </cell>
        </row>
        <row r="148">
          <cell r="B148" t="str">
            <v>HSS: Health Systems Strengthening (HSS)</v>
          </cell>
        </row>
        <row r="149">
          <cell r="B149" t="str">
            <v>HSS: Supportive Environment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"/>
      <sheetName val="BUDGET SUMMARY"/>
      <sheetName val="MICROSCOPY"/>
      <sheetName val="PROCESSING &amp; solid CULTURE"/>
      <sheetName val="LJ tubes"/>
      <sheetName val="DST LJ, Linia I"/>
      <sheetName val="DST LJ, Linia II"/>
      <sheetName val="LPA, plus"/>
      <sheetName val="LPA, sl"/>
      <sheetName val="Xpert MTB RIF"/>
      <sheetName val="LIQUID CULTURE and DST"/>
      <sheetName val="BIO SAFETY AND CLEANING"/>
      <sheetName val="MAINTENANCE &amp; REPAIR"/>
      <sheetName val="HUMAN RESOURCES"/>
      <sheetName val="QA"/>
      <sheetName val="OPERATION"/>
      <sheetName val="LPA and Tips"/>
      <sheetName val="Lab items list"/>
      <sheetName val="Лист2"/>
      <sheetName val="LPA"/>
    </sheetNames>
    <sheetDataSet>
      <sheetData sheetId="0">
        <row r="4">
          <cell r="C4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FM Summary budget"/>
      <sheetName val="NFM WPB"/>
      <sheetName val="NFM Unit costs"/>
      <sheetName val="NFM TA"/>
      <sheetName val="NFM Training"/>
      <sheetName val="1.1.3, 1.1.5"/>
      <sheetName val="1.1.8"/>
      <sheetName val="1.2.1"/>
      <sheetName val="1.2.3"/>
      <sheetName val="1.2.4"/>
      <sheetName val="1.2.5"/>
      <sheetName val="1.2.6"/>
      <sheetName val="2.1.1-2.1.5"/>
      <sheetName val="2.1.10"/>
      <sheetName val="2.2.1"/>
      <sheetName val="2.2.2"/>
      <sheetName val="2.2.3"/>
      <sheetName val="2.5.4"/>
      <sheetName val="3.2.7"/>
      <sheetName val="5.1. PR Project Mgmt"/>
      <sheetName val="(DSM supplies)"/>
      <sheetName val="(Solid media culture)"/>
      <sheetName val="(Enablers for HCWs)"/>
      <sheetName val="(Clinical tests)"/>
      <sheetName val="(Drugs for ADRs and CMs)"/>
      <sheetName val="(LTBI treatment)"/>
      <sheetName val="CALCULATIONS"/>
      <sheetName val="Population"/>
      <sheetName val="TB data from NTP"/>
      <sheetName val="Civilian sector"/>
      <sheetName val="Penitentiary sector"/>
      <sheetName val="All country"/>
      <sheetName val="DST-1 (2010-2014)"/>
      <sheetName val="DST-2 (2013)"/>
      <sheetName val="Tx outcomes (all)"/>
      <sheetName val="Lab tests (2013)"/>
      <sheetName val="Xpert needs"/>
      <sheetName val="DR-TB treatment regimens"/>
      <sheetName val="TB-HIV"/>
      <sheetName val="Diabetes"/>
    </sheetNames>
    <sheetDataSet>
      <sheetData sheetId="0">
        <row r="9">
          <cell r="F9">
            <v>1080455.6738450001</v>
          </cell>
        </row>
      </sheetData>
      <sheetData sheetId="1">
        <row r="24">
          <cell r="A24" t="str">
            <v>1.1.4</v>
          </cell>
          <cell r="B24" t="str">
            <v>Xpert MTB/RIF instruments (4-module)</v>
          </cell>
        </row>
        <row r="28">
          <cell r="A28" t="str">
            <v>1.1.5</v>
          </cell>
          <cell r="B28" t="str">
            <v>Xpert MTB/RIF instruments (2-module)</v>
          </cell>
        </row>
        <row r="36">
          <cell r="A36" t="str">
            <v>1.1.7</v>
          </cell>
          <cell r="B36" t="str">
            <v>Cartridges for Xpert MTB/RIF tests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7">
          <cell r="L7">
            <v>1178.2</v>
          </cell>
        </row>
        <row r="19">
          <cell r="L19">
            <v>160.6</v>
          </cell>
        </row>
        <row r="20">
          <cell r="L20">
            <v>20.6</v>
          </cell>
        </row>
        <row r="21">
          <cell r="L21">
            <v>93.1</v>
          </cell>
        </row>
        <row r="22">
          <cell r="L22">
            <v>22.8</v>
          </cell>
        </row>
        <row r="23">
          <cell r="L23">
            <v>62.3</v>
          </cell>
        </row>
        <row r="24">
          <cell r="L24">
            <v>36</v>
          </cell>
        </row>
        <row r="26">
          <cell r="L26">
            <v>38.6</v>
          </cell>
        </row>
        <row r="27">
          <cell r="L27">
            <v>77.8</v>
          </cell>
        </row>
        <row r="28">
          <cell r="L28">
            <v>22.6</v>
          </cell>
        </row>
        <row r="30">
          <cell r="L30">
            <v>196.7</v>
          </cell>
        </row>
        <row r="31">
          <cell r="L31">
            <v>28.6</v>
          </cell>
        </row>
        <row r="32">
          <cell r="L32">
            <v>33.5</v>
          </cell>
        </row>
        <row r="33">
          <cell r="L33">
            <v>75.3</v>
          </cell>
        </row>
        <row r="34">
          <cell r="L34">
            <v>44.7</v>
          </cell>
        </row>
        <row r="35">
          <cell r="L35">
            <v>60.2</v>
          </cell>
        </row>
        <row r="36">
          <cell r="L36">
            <v>48</v>
          </cell>
        </row>
        <row r="37">
          <cell r="L37">
            <v>29.7</v>
          </cell>
        </row>
        <row r="38">
          <cell r="L38">
            <v>73.5</v>
          </cell>
        </row>
        <row r="39">
          <cell r="L39">
            <v>54.9</v>
          </cell>
        </row>
        <row r="40">
          <cell r="L40">
            <v>27.2</v>
          </cell>
        </row>
        <row r="41">
          <cell r="L41">
            <v>31.3</v>
          </cell>
        </row>
        <row r="43">
          <cell r="L43">
            <v>42.3</v>
          </cell>
        </row>
        <row r="44">
          <cell r="L44">
            <v>69.099999999999994</v>
          </cell>
        </row>
        <row r="45">
          <cell r="L45">
            <v>30.5</v>
          </cell>
        </row>
        <row r="46">
          <cell r="L46">
            <v>70.8</v>
          </cell>
        </row>
        <row r="47">
          <cell r="L47">
            <v>52</v>
          </cell>
        </row>
        <row r="48">
          <cell r="L48">
            <v>60.1</v>
          </cell>
        </row>
        <row r="49">
          <cell r="L49">
            <v>43.3</v>
          </cell>
        </row>
        <row r="50">
          <cell r="L50">
            <v>36.9</v>
          </cell>
        </row>
        <row r="53">
          <cell r="L53">
            <v>33.700000000000003</v>
          </cell>
        </row>
        <row r="54">
          <cell r="L54">
            <v>12.9</v>
          </cell>
        </row>
        <row r="55">
          <cell r="L55">
            <v>57.4</v>
          </cell>
        </row>
        <row r="56">
          <cell r="L56">
            <v>4.9000000000000004</v>
          </cell>
        </row>
        <row r="58">
          <cell r="L58">
            <v>13.7</v>
          </cell>
        </row>
        <row r="59">
          <cell r="L59">
            <v>8.9</v>
          </cell>
        </row>
        <row r="60">
          <cell r="L60">
            <v>8.1999999999999993</v>
          </cell>
        </row>
        <row r="61">
          <cell r="L61">
            <v>15.3</v>
          </cell>
        </row>
        <row r="63">
          <cell r="L63">
            <v>47.7</v>
          </cell>
        </row>
        <row r="64">
          <cell r="L64">
            <v>27.6</v>
          </cell>
        </row>
        <row r="65">
          <cell r="L65">
            <v>177.1</v>
          </cell>
        </row>
        <row r="66">
          <cell r="L66">
            <v>44.6</v>
          </cell>
        </row>
        <row r="67">
          <cell r="L67">
            <v>14.5</v>
          </cell>
        </row>
        <row r="68">
          <cell r="L68">
            <v>52.2</v>
          </cell>
        </row>
        <row r="69">
          <cell r="L69">
            <v>30.7</v>
          </cell>
        </row>
        <row r="70">
          <cell r="L70">
            <v>40.700000000000003</v>
          </cell>
        </row>
        <row r="71">
          <cell r="L71">
            <v>41.5</v>
          </cell>
        </row>
        <row r="73">
          <cell r="L73">
            <v>20.8</v>
          </cell>
        </row>
        <row r="74">
          <cell r="L74">
            <v>13.2</v>
          </cell>
        </row>
        <row r="75">
          <cell r="L75">
            <v>64.8</v>
          </cell>
        </row>
        <row r="76">
          <cell r="L76">
            <v>48.4</v>
          </cell>
        </row>
        <row r="77">
          <cell r="L77">
            <v>31.5</v>
          </cell>
        </row>
        <row r="78">
          <cell r="L78">
            <v>34.9</v>
          </cell>
        </row>
        <row r="80">
          <cell r="L80">
            <v>122.7</v>
          </cell>
        </row>
        <row r="81">
          <cell r="L81">
            <v>78.7</v>
          </cell>
        </row>
        <row r="82">
          <cell r="L82">
            <v>99.9</v>
          </cell>
        </row>
        <row r="83">
          <cell r="L83">
            <v>28.8</v>
          </cell>
        </row>
        <row r="84">
          <cell r="L84">
            <v>28.3</v>
          </cell>
        </row>
        <row r="85">
          <cell r="L85">
            <v>130.19999999999999</v>
          </cell>
        </row>
        <row r="86">
          <cell r="L86">
            <v>23.5</v>
          </cell>
        </row>
        <row r="89">
          <cell r="L89">
            <v>145.69999999999999</v>
          </cell>
        </row>
        <row r="92">
          <cell r="L92">
            <v>52.6</v>
          </cell>
        </row>
        <row r="93">
          <cell r="L93">
            <v>52.9</v>
          </cell>
        </row>
        <row r="95">
          <cell r="L95">
            <v>62.5</v>
          </cell>
        </row>
      </sheetData>
      <sheetData sheetId="28"/>
      <sheetData sheetId="29"/>
      <sheetData sheetId="30"/>
      <sheetData sheetId="31"/>
      <sheetData sheetId="32">
        <row r="156">
          <cell r="C156">
            <v>1482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erformance Framework 3&amp;4"/>
      <sheetName val="HIV"/>
      <sheetName val="TB"/>
      <sheetName val="Malaria"/>
    </sheetNames>
    <sheetDataSet>
      <sheetData sheetId="0" refreshError="1"/>
      <sheetData sheetId="1" refreshError="1"/>
      <sheetData sheetId="2">
        <row r="2">
          <cell r="A2" t="str">
            <v>Please select…</v>
          </cell>
          <cell r="D2" t="str">
            <v>Please select…</v>
          </cell>
        </row>
        <row r="3">
          <cell r="A3" t="str">
            <v>BCC - Mass media</v>
          </cell>
          <cell r="D3" t="str">
            <v xml:space="preserve">% of women and men aged 15-49 who have had sexual intercourse with more than one partner in the last 12 months </v>
          </cell>
        </row>
        <row r="4">
          <cell r="A4" t="str">
            <v>BCC - community outreach and schools</v>
          </cell>
          <cell r="D4" t="str">
            <v>% of never married young men and women aged 15-24 who have never had sex</v>
          </cell>
        </row>
        <row r="5">
          <cell r="A5" t="str">
            <v xml:space="preserve">Condom </v>
          </cell>
          <cell r="D5" t="str">
            <v xml:space="preserve">% of young women and men aged 15-24 who have had sexual intercourse before the age of 15 </v>
          </cell>
          <cell r="F5" t="str">
            <v>Please enter a SDA here…</v>
          </cell>
        </row>
        <row r="6">
          <cell r="A6" t="str">
            <v>Testing and Counseling</v>
          </cell>
          <cell r="D6" t="str">
            <v xml:space="preserve">% of injecting drug users reporting the use of sterile injecting equipment the last time they injected </v>
          </cell>
        </row>
        <row r="7">
          <cell r="A7" t="str">
            <v>PMTCT</v>
          </cell>
          <cell r="D7" t="str">
            <v xml:space="preserve">% of injecting drug users reporting the use of a condom the last time they had sexual intercourse </v>
          </cell>
        </row>
        <row r="8">
          <cell r="A8" t="str">
            <v>Post-exposure prophylaxis (PEP)</v>
          </cell>
          <cell r="D8" t="str">
            <v>Current school attendance among orphans and non-orphans</v>
          </cell>
        </row>
        <row r="9">
          <cell r="A9" t="str">
            <v>STI diagnosis and treatment</v>
          </cell>
          <cell r="D9" t="str">
            <v>% of women and men aged 15-49 who have had more than one sexual partner in the past 12 months reporting the use of a condom during their last sexual intercourse</v>
          </cell>
        </row>
        <row r="10">
          <cell r="A10" t="str">
            <v>Blood safety and universal precaution</v>
          </cell>
          <cell r="D10" t="str">
            <v xml:space="preserve">% of women and men aged 15-49 expressing accepting attitudes towards people with HIV </v>
          </cell>
        </row>
        <row r="11">
          <cell r="A11" t="str">
            <v>Antiretroviral treatment (ARV) and monitoring</v>
          </cell>
          <cell r="D11" t="str">
            <v xml:space="preserve">% of female and male sex workers reporting the use of a condom with their most recent client </v>
          </cell>
        </row>
        <row r="12">
          <cell r="A12" t="str">
            <v>Prophylaxis and treatment for opportunistic infections</v>
          </cell>
          <cell r="D12" t="str">
            <v xml:space="preserve">% of men aged 15-49 reporting sex with a sex worker in the last 12 months who used a condom during last paid intercourse </v>
          </cell>
        </row>
        <row r="13">
          <cell r="A13" t="str">
            <v>Care and support for the chronically ill</v>
          </cell>
          <cell r="D13" t="str">
            <v xml:space="preserve">% of men reporting the use of condom the last time they had anal sex with a male partner </v>
          </cell>
        </row>
        <row r="14">
          <cell r="A14" t="str">
            <v>Support for orphans and vulnerable children</v>
          </cell>
        </row>
        <row r="15">
          <cell r="A15" t="str">
            <v>TB/HIV</v>
          </cell>
        </row>
        <row r="16">
          <cell r="A16" t="str">
            <v>Policy development including workplace policy</v>
          </cell>
        </row>
        <row r="17">
          <cell r="A17" t="str">
            <v xml:space="preserve">Strengthening of civil society and institutional capacity building </v>
          </cell>
        </row>
        <row r="18">
          <cell r="A18" t="str">
            <v>Stigma reduction in all settings</v>
          </cell>
        </row>
        <row r="19">
          <cell r="A19" t="str">
            <v>HSS: Service delivery</v>
          </cell>
        </row>
        <row r="20">
          <cell r="A20" t="str">
            <v>HSS: Health Workforce</v>
          </cell>
        </row>
        <row r="21">
          <cell r="A21" t="str">
            <v>HSS: Medical Products, vaccines and technology</v>
          </cell>
        </row>
        <row r="22">
          <cell r="A22" t="str">
            <v>HSS: Financing</v>
          </cell>
        </row>
        <row r="23">
          <cell r="A23" t="str">
            <v>HSS: Leadership and Governance</v>
          </cell>
        </row>
        <row r="24">
          <cell r="A24" t="str">
            <v xml:space="preserve">HSS: Information system </v>
          </cell>
        </row>
      </sheetData>
      <sheetData sheetId="3">
        <row r="2">
          <cell r="B2" t="str">
            <v>please select…</v>
          </cell>
          <cell r="D2" t="str">
            <v>please select…</v>
          </cell>
        </row>
        <row r="3">
          <cell r="B3" t="str">
            <v>TB prevalence rate</v>
          </cell>
          <cell r="D3" t="str">
            <v>Case detection rate: new smear positive TB cases</v>
          </cell>
        </row>
        <row r="4">
          <cell r="B4" t="str">
            <v>TB incidence rate</v>
          </cell>
          <cell r="D4" t="str">
            <v>Treatment success rate: new smear positive TB cases</v>
          </cell>
        </row>
        <row r="5">
          <cell r="B5" t="str">
            <v>TB mortality rate</v>
          </cell>
        </row>
      </sheetData>
      <sheetData sheetId="4">
        <row r="2">
          <cell r="A2" t="str">
            <v>please select…</v>
          </cell>
          <cell r="E2" t="str">
            <v>please select…</v>
          </cell>
        </row>
        <row r="3">
          <cell r="A3" t="str">
            <v>BCC - Mass media</v>
          </cell>
          <cell r="E3" t="str">
            <v>DHS/DHS+ (Demographic and Health Survey)</v>
          </cell>
        </row>
        <row r="4">
          <cell r="A4" t="str">
            <v>BCC - community outreach</v>
          </cell>
          <cell r="E4" t="str">
            <v>MIS (Malaria Indicator Survey)</v>
          </cell>
        </row>
        <row r="5">
          <cell r="A5" t="str">
            <v>Insecticide-treated nets (ITNs)</v>
          </cell>
          <cell r="E5" t="str">
            <v>MICS (Multiple Indicator Cluster Survey)</v>
          </cell>
        </row>
        <row r="6">
          <cell r="A6" t="str">
            <v>Malaria prevention during pregnancy</v>
          </cell>
          <cell r="E6" t="str">
            <v>Situation Analysis</v>
          </cell>
        </row>
        <row r="7">
          <cell r="A7" t="str">
            <v>Indoor Residual Spraying</v>
          </cell>
          <cell r="E7" t="str">
            <v>HMIS</v>
          </cell>
        </row>
        <row r="8">
          <cell r="A8" t="str">
            <v>Prompt, effective anti-malarial treatment</v>
          </cell>
          <cell r="E8" t="str">
            <v>Health Facility survey</v>
          </cell>
        </row>
        <row r="9">
          <cell r="A9" t="str">
            <v>Home based management of malaria</v>
          </cell>
          <cell r="E9" t="str">
            <v>Health Provider survey</v>
          </cell>
        </row>
        <row r="10">
          <cell r="A10" t="str">
            <v>Diagnosis</v>
          </cell>
          <cell r="E10" t="str">
            <v>Key informant survey</v>
          </cell>
        </row>
        <row r="11">
          <cell r="A11" t="str">
            <v>Monitoring drug resistance</v>
          </cell>
          <cell r="E11" t="str">
            <v>Households survey</v>
          </cell>
        </row>
        <row r="12">
          <cell r="A12" t="str">
            <v>Monitoring insecticide resistance</v>
          </cell>
          <cell r="E12" t="str">
            <v>Vital registration systems</v>
          </cell>
        </row>
        <row r="13">
          <cell r="A13" t="str">
            <v>Coordination and partnership development (national, community, public-private)</v>
          </cell>
          <cell r="E13" t="str">
            <v>Training records</v>
          </cell>
        </row>
        <row r="14">
          <cell r="A14" t="str">
            <v>HSS: Service delivery</v>
          </cell>
          <cell r="E14" t="str">
            <v>Patients records</v>
          </cell>
        </row>
        <row r="15">
          <cell r="A15" t="str">
            <v xml:space="preserve">HSS: Health Workforce </v>
          </cell>
          <cell r="E15" t="str">
            <v>Surveillance systems</v>
          </cell>
        </row>
        <row r="16">
          <cell r="A16" t="str">
            <v xml:space="preserve">HSS: Medical Products, Vaccines and Technology </v>
          </cell>
          <cell r="E16" t="str">
            <v>Other report, specify</v>
          </cell>
        </row>
        <row r="17">
          <cell r="A17" t="str">
            <v xml:space="preserve">HSS: Information system </v>
          </cell>
          <cell r="E17" t="str">
            <v>National Health Account</v>
          </cell>
        </row>
        <row r="18">
          <cell r="A18" t="str">
            <v xml:space="preserve">HSS: Financing </v>
          </cell>
          <cell r="E18" t="str">
            <v>SAMS (Service Availability Mapping Survey)</v>
          </cell>
        </row>
        <row r="19">
          <cell r="A19" t="str">
            <v xml:space="preserve">HSS: Leadership and Goverance </v>
          </cell>
          <cell r="E19" t="str">
            <v>Other survey, specify</v>
          </cell>
        </row>
        <row r="20">
          <cell r="E20" t="str">
            <v>Administrative records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_Financial Data"/>
      <sheetName val="BUDGET Y1 GF"/>
      <sheetName val="Budget Y1 New line Categories"/>
      <sheetName val="Macro-categ_Budget"/>
      <sheetName val="Budget Implem. agent"/>
      <sheetName val="Budget sub-recipients work tab "/>
      <sheetName val="ATLAS GF "/>
      <sheetName val="Expenditures by Categ."/>
      <sheetName val="Expenditures GF Macro-categ "/>
      <sheetName val="Expenditures Impl. party"/>
      <sheetName val="Definition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otal_tplt"/>
      <sheetName val="_rqst_tplt"/>
      <sheetName val="_settings"/>
      <sheetName val="Welcome"/>
      <sheetName val="Prices"/>
      <sheetName val="Selection"/>
      <sheetName val="Enrolment"/>
      <sheetName val="Calcs"/>
      <sheetName val="Request (Yr 1)"/>
      <sheetName val="Request (Yr 2)"/>
      <sheetName val="Request (Yr 3)"/>
      <sheetName val="Request (Yr 4)"/>
      <sheetName val="Request (Yr 5)"/>
      <sheetName val="Request (Yr 6)"/>
      <sheetName val="Request (Yr 7)"/>
      <sheetName val="Request (Yr 8)"/>
      <sheetName val="Total Requested"/>
    </sheetNames>
    <sheetDataSet>
      <sheetData sheetId="0" refreshError="1"/>
      <sheetData sheetId="1" refreshError="1"/>
      <sheetData sheetId="2">
        <row r="11">
          <cell r="B11" t="str">
            <v>Injectable</v>
          </cell>
        </row>
        <row r="19">
          <cell r="B19" t="str">
            <v>Bayer</v>
          </cell>
        </row>
        <row r="20">
          <cell r="B20" t="str">
            <v>Brown Burke</v>
          </cell>
        </row>
        <row r="21">
          <cell r="B21" t="str">
            <v>Eli Lilly</v>
          </cell>
        </row>
        <row r="22">
          <cell r="B22" t="str">
            <v>Fatol</v>
          </cell>
        </row>
        <row r="23">
          <cell r="B23" t="str">
            <v>Jacobus</v>
          </cell>
        </row>
        <row r="24">
          <cell r="B24" t="str">
            <v>Macleods</v>
          </cell>
        </row>
        <row r="25">
          <cell r="B25" t="str">
            <v>Panpharma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otal_tplt"/>
      <sheetName val="_rqst_tplt"/>
      <sheetName val="_settings"/>
      <sheetName val="Welcome"/>
      <sheetName val="Prices"/>
      <sheetName val="Selection"/>
      <sheetName val="Enrolment"/>
      <sheetName val="Calcs"/>
      <sheetName val="Request (Yr 1)"/>
      <sheetName val="Request (Yr 2)"/>
      <sheetName val="Request (Yr 3)"/>
      <sheetName val="Request (Yr 4)"/>
      <sheetName val="Request (Yr 5)"/>
      <sheetName val="Request (Yr 6)"/>
      <sheetName val="Request (Yr 7)"/>
      <sheetName val="Request (Yr 8)"/>
      <sheetName val="Total Requested"/>
    </sheetNames>
    <sheetDataSet>
      <sheetData sheetId="0" refreshError="1"/>
      <sheetData sheetId="1" refreshError="1"/>
      <sheetData sheetId="2">
        <row r="11">
          <cell r="B11" t="str">
            <v>Injectable</v>
          </cell>
        </row>
        <row r="12">
          <cell r="B12" t="str">
            <v>Oral tablet</v>
          </cell>
        </row>
        <row r="13">
          <cell r="B13" t="str">
            <v>Other</v>
          </cell>
        </row>
        <row r="14">
          <cell r="B14" t="str">
            <v>Quinolone</v>
          </cell>
        </row>
        <row r="15">
          <cell r="B15" t="str">
            <v>Sachet</v>
          </cell>
        </row>
        <row r="29">
          <cell r="B29" t="str">
            <v>Capreomycin</v>
          </cell>
        </row>
        <row r="30">
          <cell r="B30" t="str">
            <v>Clarithromycine</v>
          </cell>
        </row>
        <row r="31">
          <cell r="B31" t="str">
            <v>Cycloserin</v>
          </cell>
        </row>
        <row r="32">
          <cell r="B32" t="str">
            <v>Ethionamide</v>
          </cell>
        </row>
        <row r="33">
          <cell r="B33" t="str">
            <v>Kanamycin</v>
          </cell>
        </row>
        <row r="34">
          <cell r="B34" t="str">
            <v>Moxifloxacin (local purchase)</v>
          </cell>
        </row>
        <row r="35">
          <cell r="B35" t="str">
            <v>Ofloxacine</v>
          </cell>
        </row>
        <row r="36">
          <cell r="B36" t="str">
            <v>PASER</v>
          </cell>
        </row>
        <row r="37">
          <cell r="B37" t="str">
            <v>Prothionamide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costs &amp; funding"/>
      <sheetName val="Table CostCategories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 t="str">
            <v>EEUR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Заглавный лист"/>
      <sheetName val="Общие указания"/>
      <sheetName val="Общие допущения"/>
      <sheetName val="Детальные допущения"/>
      <sheetName val="Детальный бюджет на 1-й год"/>
      <sheetName val="Детальный бюджет на 2-й год"/>
      <sheetName val="Детальный бюджет на 3,4,5-й год"/>
      <sheetName val="Бюджет на 5 лет"/>
      <sheetName val="Краткий бюджет"/>
    </sheetNames>
    <sheetDataSet>
      <sheetData sheetId="0">
        <row r="3">
          <cell r="F3" t="str">
            <v>Кадровые ресурсы</v>
          </cell>
        </row>
        <row r="4">
          <cell r="F4" t="str">
            <v>Техническая и административная помощь</v>
          </cell>
        </row>
        <row r="5">
          <cell r="F5" t="str">
            <v>Обучение</v>
          </cell>
        </row>
        <row r="6">
          <cell r="F6" t="str">
            <v>Товары медицинского назначения и медицинское оборудование</v>
          </cell>
        </row>
        <row r="7">
          <cell r="F7" t="str">
            <v>Лекарственные препараты (медикаменты)</v>
          </cell>
        </row>
        <row r="8">
          <cell r="F8" t="str">
            <v xml:space="preserve">Расходы на управление закупками и снабжением </v>
          </cell>
        </row>
        <row r="9">
          <cell r="F9" t="str">
            <v>Инфраструктура и другое оборудование</v>
          </cell>
        </row>
        <row r="10">
          <cell r="F10" t="str">
            <v>Информационные материалы</v>
          </cell>
        </row>
        <row r="11">
          <cell r="F11" t="str">
            <v>Мониторинг и оценка</v>
          </cell>
        </row>
        <row r="12">
          <cell r="F12" t="str">
            <v>Поддержка жизни клиентов/целевых групп населения</v>
          </cell>
        </row>
        <row r="13">
          <cell r="F13" t="str">
            <v>Планирование и администрирование</v>
          </cell>
        </row>
        <row r="14">
          <cell r="F14" t="str">
            <v>Накладные расходы</v>
          </cell>
        </row>
        <row r="15">
          <cell r="F15" t="str">
            <v>Прочие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Data"/>
      <sheetName val="xTable_Filters"/>
      <sheetName val="xTable_ServerVariables"/>
      <sheetName val="xPublicVariables"/>
      <sheetName val="Rezitenta_TB"/>
    </sheetNames>
    <sheetDataSet>
      <sheetData sheetId="0"/>
      <sheetData sheetId="1"/>
      <sheetData sheetId="2"/>
      <sheetData sheetId="3">
        <row r="6">
          <cell r="D6">
            <v>0</v>
          </cell>
        </row>
        <row r="26">
          <cell r="D26" t="str">
            <v>Ianuarie - Decembrie, 2010</v>
          </cell>
        </row>
        <row r="27">
          <cell r="D27" t="str">
            <v>Monitorizarea tuberculozei în R.Moldova</v>
          </cell>
        </row>
        <row r="28">
          <cell r="D28" t="str">
            <v>14/02/2011</v>
          </cell>
        </row>
        <row r="29">
          <cell r="D29" t="str">
            <v>CNMS, M&amp;E, Date generate din SIME TB la 14/02/2011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esa.un.org/wpp/Excel-Data/population.ht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U273"/>
  <sheetViews>
    <sheetView tabSelected="1" topLeftCell="E144" zoomScale="80" zoomScaleNormal="80" workbookViewId="0">
      <selection activeCell="N241" sqref="N241"/>
    </sheetView>
  </sheetViews>
  <sheetFormatPr defaultColWidth="9.42578125" defaultRowHeight="15"/>
  <cols>
    <col min="1" max="1" width="9.42578125" style="353"/>
    <col min="2" max="2" width="53.5703125" style="1531" customWidth="1"/>
    <col min="3" max="3" width="14" style="1531" customWidth="1"/>
    <col min="4" max="4" width="13.28515625" style="1534" customWidth="1"/>
    <col min="5" max="5" width="13.85546875" style="1534" customWidth="1"/>
    <col min="6" max="6" width="14.85546875" style="1534" customWidth="1"/>
    <col min="7" max="7" width="15.85546875" style="1534" customWidth="1"/>
    <col min="8" max="8" width="11" style="1531" hidden="1" customWidth="1"/>
    <col min="9" max="9" width="17.5703125" style="1531" customWidth="1"/>
    <col min="10" max="11" width="15.42578125" style="1531" customWidth="1"/>
    <col min="12" max="12" width="15.7109375" style="1531" customWidth="1"/>
    <col min="13" max="13" width="14.85546875" style="1559" customWidth="1"/>
    <col min="14" max="15" width="22.7109375" style="1559" customWidth="1"/>
    <col min="16" max="16" width="11.42578125" style="355" customWidth="1"/>
    <col min="17" max="17" width="16.42578125" style="355" customWidth="1"/>
    <col min="18" max="18" width="14.7109375" style="355" customWidth="1"/>
    <col min="19" max="19" width="15.5703125" style="355" customWidth="1"/>
    <col min="20" max="22" width="13.42578125" style="356" customWidth="1"/>
    <col min="23" max="25" width="11.42578125" style="355" customWidth="1"/>
    <col min="26" max="26" width="16.140625" style="355" customWidth="1"/>
    <col min="27" max="27" width="13.42578125" style="355" customWidth="1"/>
    <col min="28" max="29" width="11.42578125" style="355" customWidth="1"/>
    <col min="30" max="30" width="16.85546875" style="355" customWidth="1"/>
    <col min="31" max="31" width="12.85546875" style="355" customWidth="1"/>
    <col min="32" max="32" width="13.42578125" style="356" customWidth="1"/>
    <col min="33" max="34" width="11.42578125" style="355" customWidth="1"/>
    <col min="35" max="35" width="26.85546875" style="355" customWidth="1"/>
    <col min="36" max="36" width="15.5703125" style="355" customWidth="1"/>
    <col min="37" max="37" width="17.42578125" style="356" customWidth="1"/>
    <col min="38" max="38" width="13.85546875" style="355" customWidth="1"/>
    <col min="39" max="39" width="17.28515625" style="355" customWidth="1"/>
    <col min="40" max="40" width="15.85546875" style="355" customWidth="1"/>
    <col min="41" max="41" width="14.85546875" style="355" customWidth="1"/>
    <col min="42" max="42" width="13.42578125" style="356" customWidth="1"/>
    <col min="43" max="46" width="10.5703125" style="330" customWidth="1"/>
    <col min="47" max="47" width="12.5703125" style="330" customWidth="1"/>
    <col min="48" max="50" width="10.5703125" style="330" customWidth="1"/>
    <col min="51" max="51" width="12.5703125" style="330" customWidth="1"/>
    <col min="52" max="16384" width="9.42578125" style="330"/>
  </cols>
  <sheetData>
    <row r="1" spans="1:47">
      <c r="A1" s="1036" t="s">
        <v>1833</v>
      </c>
      <c r="B1" s="1518"/>
      <c r="C1" s="1518"/>
      <c r="D1" s="1535"/>
      <c r="E1" s="1535"/>
      <c r="F1" s="1535"/>
      <c r="G1" s="1535"/>
      <c r="H1" s="1518"/>
      <c r="I1" s="1518"/>
      <c r="J1" s="1518"/>
      <c r="K1" s="1518"/>
      <c r="L1" s="1518"/>
      <c r="M1" s="1545"/>
      <c r="N1" s="1545"/>
      <c r="O1" s="1545"/>
      <c r="P1" s="328"/>
      <c r="Q1" s="328"/>
      <c r="R1" s="328"/>
      <c r="S1" s="328"/>
      <c r="T1" s="329"/>
      <c r="U1" s="329"/>
      <c r="V1" s="328"/>
      <c r="W1" s="328"/>
      <c r="X1" s="328"/>
      <c r="Y1" s="328"/>
      <c r="Z1" s="328"/>
      <c r="AA1" s="328"/>
      <c r="AB1" s="328"/>
      <c r="AC1" s="328"/>
      <c r="AD1" s="328"/>
      <c r="AE1" s="329"/>
      <c r="AF1" s="328"/>
      <c r="AG1" s="328"/>
      <c r="AH1" s="328"/>
      <c r="AI1" s="328"/>
      <c r="AJ1" s="329"/>
      <c r="AK1" s="328"/>
      <c r="AL1" s="328"/>
      <c r="AM1" s="328"/>
      <c r="AN1" s="328"/>
      <c r="AO1" s="329"/>
      <c r="AP1" s="330"/>
    </row>
    <row r="2" spans="1:47" ht="15.75">
      <c r="A2" s="326"/>
      <c r="B2" s="1519" t="s">
        <v>15</v>
      </c>
      <c r="C2" s="1519"/>
      <c r="D2" s="1536"/>
      <c r="E2" s="1536"/>
      <c r="F2" s="1536"/>
      <c r="G2" s="1536"/>
      <c r="H2" s="1519"/>
      <c r="I2" s="1518"/>
      <c r="J2" s="1518"/>
      <c r="K2" s="1518"/>
      <c r="L2" s="1518"/>
      <c r="M2" s="1545"/>
      <c r="N2" s="1545"/>
      <c r="O2" s="1545"/>
      <c r="P2" s="328"/>
      <c r="Q2" s="328"/>
      <c r="R2" s="328"/>
      <c r="S2" s="328"/>
      <c r="T2" s="329"/>
      <c r="U2" s="329"/>
      <c r="V2" s="328"/>
      <c r="W2" s="328"/>
      <c r="X2" s="328"/>
      <c r="Y2" s="328"/>
      <c r="Z2" s="328"/>
      <c r="AA2" s="328"/>
      <c r="AB2" s="328"/>
      <c r="AC2" s="328"/>
      <c r="AD2" s="328"/>
      <c r="AE2" s="329"/>
      <c r="AF2" s="328"/>
      <c r="AG2" s="328"/>
      <c r="AH2" s="328"/>
      <c r="AI2" s="1037"/>
      <c r="AJ2" s="329"/>
      <c r="AK2" s="1038"/>
      <c r="AL2" s="1038"/>
      <c r="AM2" s="328"/>
      <c r="AN2" s="328"/>
      <c r="AO2" s="329"/>
      <c r="AP2" s="330"/>
    </row>
    <row r="3" spans="1:47" ht="15.75">
      <c r="A3" s="326"/>
      <c r="B3" s="1519" t="s">
        <v>1890</v>
      </c>
      <c r="C3" s="1519"/>
      <c r="D3" s="1536"/>
      <c r="E3" s="1536"/>
      <c r="F3" s="1536"/>
      <c r="G3" s="1536"/>
      <c r="H3" s="1519"/>
      <c r="I3" s="1518"/>
      <c r="J3" s="1518"/>
      <c r="K3" s="1518"/>
      <c r="L3" s="1518"/>
      <c r="M3" s="1545"/>
      <c r="N3" s="1545"/>
      <c r="O3" s="1545"/>
      <c r="P3" s="328"/>
      <c r="Q3" s="328"/>
      <c r="R3" s="328"/>
      <c r="S3" s="328"/>
      <c r="T3" s="329"/>
      <c r="U3" s="329"/>
      <c r="V3" s="328"/>
      <c r="W3" s="328"/>
      <c r="X3" s="328"/>
      <c r="Y3" s="328"/>
      <c r="Z3" s="328"/>
      <c r="AA3" s="328"/>
      <c r="AB3" s="328"/>
      <c r="AC3" s="328"/>
      <c r="AD3" s="328"/>
      <c r="AE3" s="329"/>
      <c r="AF3" s="328"/>
      <c r="AG3" s="328"/>
      <c r="AH3" s="328"/>
      <c r="AI3" s="328"/>
      <c r="AJ3" s="329"/>
      <c r="AK3" s="328"/>
      <c r="AL3" s="328"/>
      <c r="AM3" s="328"/>
      <c r="AN3" s="328"/>
      <c r="AO3" s="329"/>
      <c r="AP3" s="330"/>
    </row>
    <row r="4" spans="1:47" ht="18.75">
      <c r="A4" s="326"/>
      <c r="B4" s="1520" t="s">
        <v>2129</v>
      </c>
      <c r="C4" s="1520"/>
      <c r="D4" s="1536"/>
      <c r="E4" s="1536"/>
      <c r="F4" s="1536"/>
      <c r="G4" s="1536"/>
      <c r="H4" s="1520"/>
      <c r="I4" s="1518"/>
      <c r="J4" s="1518"/>
      <c r="K4" s="1518"/>
      <c r="L4" s="1518"/>
      <c r="M4" s="1545"/>
      <c r="N4" s="1545"/>
      <c r="O4" s="1545"/>
      <c r="P4" s="328"/>
      <c r="Q4" s="328"/>
      <c r="R4" s="328"/>
      <c r="S4" s="328"/>
      <c r="T4" s="333"/>
      <c r="U4" s="333"/>
      <c r="V4" s="328"/>
      <c r="W4" s="328"/>
      <c r="X4" s="328"/>
      <c r="Y4" s="328"/>
      <c r="Z4" s="328"/>
      <c r="AA4" s="328"/>
      <c r="AB4" s="328"/>
      <c r="AC4" s="328"/>
      <c r="AD4" s="328"/>
      <c r="AE4" s="329"/>
      <c r="AF4" s="328"/>
      <c r="AG4" s="328"/>
      <c r="AH4" s="1298"/>
      <c r="AI4" s="1298"/>
      <c r="AJ4" s="1299"/>
      <c r="AK4" s="1300"/>
      <c r="AL4" s="1301"/>
      <c r="AM4" s="1302"/>
      <c r="AN4" s="328"/>
      <c r="AO4" s="329"/>
      <c r="AP4" s="330"/>
    </row>
    <row r="5" spans="1:47" ht="18.75">
      <c r="A5" s="326"/>
      <c r="B5" s="1520"/>
      <c r="C5" s="1520"/>
      <c r="D5" s="1536"/>
      <c r="E5" s="1536"/>
      <c r="F5" s="1536"/>
      <c r="G5" s="1536"/>
      <c r="H5" s="1520"/>
      <c r="I5" s="1518"/>
      <c r="J5" s="1518"/>
      <c r="K5" s="1518"/>
      <c r="L5" s="1518"/>
      <c r="M5" s="1644"/>
      <c r="N5" s="1545"/>
      <c r="O5" s="1545"/>
      <c r="P5" s="328"/>
      <c r="Q5" s="328"/>
      <c r="R5" s="328"/>
      <c r="S5" s="328"/>
      <c r="T5" s="333"/>
      <c r="U5" s="333"/>
      <c r="V5" s="328"/>
      <c r="W5" s="328"/>
      <c r="X5" s="328"/>
      <c r="Y5" s="328"/>
      <c r="Z5" s="328"/>
      <c r="AA5" s="328"/>
      <c r="AB5" s="328"/>
      <c r="AC5" s="328"/>
      <c r="AD5" s="328"/>
      <c r="AE5" s="329"/>
      <c r="AF5" s="328"/>
      <c r="AG5" s="328"/>
      <c r="AH5" s="328"/>
      <c r="AI5" s="328"/>
      <c r="AJ5" s="329"/>
      <c r="AK5" s="328"/>
      <c r="AL5" s="328"/>
      <c r="AM5" s="328"/>
      <c r="AN5" s="328"/>
      <c r="AO5" s="329"/>
      <c r="AP5" s="330"/>
    </row>
    <row r="6" spans="1:47" ht="18.75">
      <c r="A6" s="484" t="s">
        <v>41</v>
      </c>
      <c r="B6" s="1520" t="s">
        <v>986</v>
      </c>
      <c r="C6" s="1520"/>
      <c r="D6" s="1536"/>
      <c r="E6" s="1536"/>
      <c r="F6" s="1536"/>
      <c r="G6" s="1536"/>
      <c r="H6" s="1520"/>
      <c r="I6" s="1518"/>
      <c r="J6" s="1518"/>
      <c r="K6" s="1518"/>
      <c r="L6" s="1518"/>
      <c r="M6" s="1545"/>
      <c r="N6" s="1545"/>
      <c r="O6" s="1545"/>
      <c r="P6" s="328"/>
      <c r="Q6" s="328"/>
      <c r="R6" s="328"/>
      <c r="S6" s="328"/>
      <c r="T6" s="333" t="s">
        <v>987</v>
      </c>
      <c r="U6" s="333"/>
      <c r="V6" s="328"/>
      <c r="W6" s="328"/>
      <c r="X6" s="328"/>
      <c r="Y6" s="328"/>
      <c r="Z6" s="328"/>
      <c r="AA6" s="328"/>
      <c r="AB6" s="328"/>
      <c r="AC6" s="328"/>
      <c r="AD6" s="328"/>
      <c r="AE6" s="329"/>
      <c r="AF6" s="328"/>
      <c r="AG6" s="328"/>
      <c r="AH6" s="328"/>
      <c r="AI6" s="328"/>
      <c r="AJ6" s="329"/>
      <c r="AK6" s="328"/>
      <c r="AL6" s="328"/>
      <c r="AM6" s="328"/>
      <c r="AN6" s="328"/>
      <c r="AO6" s="329"/>
      <c r="AP6" s="330"/>
    </row>
    <row r="7" spans="1:47" s="819" customFormat="1" ht="15.75">
      <c r="A7" s="816"/>
      <c r="B7" s="1521"/>
      <c r="C7" s="1521"/>
      <c r="D7" s="1535"/>
      <c r="E7" s="1535"/>
      <c r="F7" s="1535"/>
      <c r="G7" s="1535"/>
      <c r="H7" s="1521"/>
      <c r="I7" s="1521"/>
      <c r="J7" s="1521"/>
      <c r="K7" s="1521"/>
      <c r="L7" s="1521"/>
      <c r="M7" s="1519"/>
      <c r="N7" s="1519"/>
      <c r="O7" s="1519"/>
      <c r="P7" s="817"/>
      <c r="Q7" s="817"/>
      <c r="R7" s="817"/>
      <c r="S7" s="817"/>
      <c r="T7" s="818"/>
      <c r="U7" s="818"/>
      <c r="V7" s="817"/>
      <c r="W7" s="817"/>
      <c r="X7" s="817"/>
      <c r="Y7" s="817"/>
      <c r="Z7" s="817"/>
      <c r="AA7" s="817"/>
      <c r="AB7" s="817"/>
      <c r="AC7" s="817"/>
      <c r="AD7" s="817"/>
      <c r="AE7" s="818"/>
      <c r="AF7" s="817"/>
      <c r="AG7" s="817"/>
      <c r="AH7" s="817"/>
      <c r="AI7" s="817"/>
      <c r="AJ7" s="818"/>
      <c r="AK7" s="817"/>
      <c r="AL7" s="817"/>
      <c r="AM7" s="817"/>
      <c r="AN7" s="817"/>
      <c r="AO7" s="818"/>
    </row>
    <row r="8" spans="1:47" ht="15.6" customHeight="1">
      <c r="A8" s="1768" t="s">
        <v>243</v>
      </c>
      <c r="B8" s="1770" t="s">
        <v>1625</v>
      </c>
      <c r="C8" s="1645"/>
      <c r="D8" s="1646"/>
      <c r="E8" s="1646"/>
      <c r="F8" s="1646"/>
      <c r="G8" s="1646"/>
      <c r="H8" s="1770" t="s">
        <v>988</v>
      </c>
      <c r="I8" s="1772" t="s">
        <v>989</v>
      </c>
      <c r="J8" s="1773"/>
      <c r="K8" s="1774"/>
      <c r="L8" s="1773"/>
      <c r="M8" s="1775"/>
      <c r="N8" s="1647"/>
      <c r="O8" s="1606"/>
      <c r="P8" s="1758" t="s">
        <v>990</v>
      </c>
      <c r="Q8" s="1759"/>
      <c r="R8" s="1760"/>
      <c r="S8" s="1759"/>
      <c r="T8" s="1761"/>
      <c r="U8" s="1758" t="s">
        <v>991</v>
      </c>
      <c r="V8" s="1759"/>
      <c r="W8" s="1760"/>
      <c r="X8" s="1759"/>
      <c r="Y8" s="1761"/>
      <c r="Z8" s="1758" t="s">
        <v>992</v>
      </c>
      <c r="AA8" s="1759"/>
      <c r="AB8" s="1760"/>
      <c r="AC8" s="1759"/>
      <c r="AD8" s="1761"/>
      <c r="AE8" s="1758" t="s">
        <v>993</v>
      </c>
      <c r="AF8" s="1759"/>
      <c r="AG8" s="1760"/>
      <c r="AH8" s="1759"/>
      <c r="AI8" s="1761"/>
      <c r="AJ8" s="1758" t="s">
        <v>994</v>
      </c>
      <c r="AK8" s="1759"/>
      <c r="AL8" s="1760"/>
      <c r="AM8" s="1759"/>
      <c r="AN8" s="1761"/>
      <c r="AO8" s="330"/>
      <c r="AP8" s="330"/>
    </row>
    <row r="9" spans="1:47" ht="68.25" customHeight="1">
      <c r="A9" s="1769"/>
      <c r="B9" s="1771"/>
      <c r="C9" s="1648" t="s">
        <v>1910</v>
      </c>
      <c r="D9" s="1649" t="s">
        <v>1841</v>
      </c>
      <c r="E9" s="1649" t="s">
        <v>1842</v>
      </c>
      <c r="F9" s="1650" t="s">
        <v>1843</v>
      </c>
      <c r="G9" s="1649" t="s">
        <v>1844</v>
      </c>
      <c r="H9" s="1771"/>
      <c r="I9" s="1651" t="s">
        <v>1841</v>
      </c>
      <c r="J9" s="1651" t="s">
        <v>1842</v>
      </c>
      <c r="K9" s="1652" t="s">
        <v>1843</v>
      </c>
      <c r="L9" s="1651" t="s">
        <v>1844</v>
      </c>
      <c r="M9" s="1653" t="s">
        <v>1846</v>
      </c>
      <c r="N9" s="1654" t="s">
        <v>2161</v>
      </c>
      <c r="O9" s="1596" t="s">
        <v>2128</v>
      </c>
      <c r="P9" s="334" t="str">
        <f>I9</f>
        <v>Year 1 (2019)</v>
      </c>
      <c r="Q9" s="334" t="str">
        <f>J9</f>
        <v>Year 2 (2020)</v>
      </c>
      <c r="R9" s="1113" t="s">
        <v>1843</v>
      </c>
      <c r="S9" s="334" t="str">
        <f t="shared" ref="S9" si="0">L9</f>
        <v>Year 4 (2022)</v>
      </c>
      <c r="T9" s="630" t="str">
        <f>M9</f>
        <v>Total 4 years (2019-2022)</v>
      </c>
      <c r="U9" s="334" t="str">
        <f>P9</f>
        <v>Year 1 (2019)</v>
      </c>
      <c r="V9" s="334" t="str">
        <f>Q9</f>
        <v>Year 2 (2020)</v>
      </c>
      <c r="W9" s="1113" t="s">
        <v>1845</v>
      </c>
      <c r="X9" s="334" t="str">
        <f>S9</f>
        <v>Year 4 (2022)</v>
      </c>
      <c r="Y9" s="630" t="str">
        <f>M9</f>
        <v>Total 4 years (2019-2022)</v>
      </c>
      <c r="Z9" s="334" t="str">
        <f>U9</f>
        <v>Year 1 (2019)</v>
      </c>
      <c r="AA9" s="334" t="str">
        <f>V9</f>
        <v>Year 2 (2020)</v>
      </c>
      <c r="AB9" s="1113" t="s">
        <v>1845</v>
      </c>
      <c r="AC9" s="334" t="str">
        <f t="shared" ref="AC9" si="1">X9</f>
        <v>Year 4 (2022)</v>
      </c>
      <c r="AD9" s="630" t="str">
        <f>Y9</f>
        <v>Total 4 years (2019-2022)</v>
      </c>
      <c r="AE9" s="334" t="str">
        <f>Z9</f>
        <v>Year 1 (2019)</v>
      </c>
      <c r="AF9" s="334" t="str">
        <f t="shared" ref="AF9" si="2">AA9</f>
        <v>Year 2 (2020)</v>
      </c>
      <c r="AG9" s="1113" t="s">
        <v>1843</v>
      </c>
      <c r="AH9" s="334" t="str">
        <f>AC9</f>
        <v>Year 4 (2022)</v>
      </c>
      <c r="AI9" s="630" t="str">
        <f>AD9</f>
        <v>Total 4 years (2019-2022)</v>
      </c>
      <c r="AJ9" s="334" t="str">
        <f>AE9</f>
        <v>Year 1 (2019)</v>
      </c>
      <c r="AK9" s="334" t="str">
        <f t="shared" ref="AK9" si="3">AF9</f>
        <v>Year 2 (2020)</v>
      </c>
      <c r="AL9" s="1113" t="s">
        <v>1847</v>
      </c>
      <c r="AM9" s="334" t="str">
        <f>AH9</f>
        <v>Year 4 (2022)</v>
      </c>
      <c r="AN9" s="630" t="str">
        <f>AI9</f>
        <v>Total 4 years (2019-2022)</v>
      </c>
      <c r="AO9" s="330"/>
      <c r="AP9" s="330"/>
      <c r="AQ9" s="994"/>
      <c r="AR9" s="994"/>
      <c r="AS9" s="994"/>
      <c r="AT9" s="994"/>
      <c r="AU9" s="994"/>
    </row>
    <row r="10" spans="1:47" ht="47.25">
      <c r="A10" s="336">
        <v>1</v>
      </c>
      <c r="B10" s="1547" t="s">
        <v>1672</v>
      </c>
      <c r="C10" s="1526"/>
      <c r="D10" s="1538"/>
      <c r="E10" s="1538"/>
      <c r="F10" s="1538"/>
      <c r="G10" s="1538"/>
      <c r="H10" s="1548"/>
      <c r="I10" s="1549">
        <f>SUM(I11,I21,I42,I48)</f>
        <v>2622369.4871144984</v>
      </c>
      <c r="J10" s="1549">
        <f>SUM(J11,J21,J42,J48)</f>
        <v>2636191.4407849167</v>
      </c>
      <c r="K10" s="1549">
        <f>SUM(K11,K21,K42,K48)</f>
        <v>2689192.87750764</v>
      </c>
      <c r="L10" s="1549">
        <f>SUM(L11,L21,L42,L48)</f>
        <v>2716557.1196825905</v>
      </c>
      <c r="M10" s="1655">
        <f>M11+M21+M42+M48</f>
        <v>10664310.925089646</v>
      </c>
      <c r="N10" s="1656" t="s">
        <v>2165</v>
      </c>
      <c r="O10" s="1597"/>
      <c r="P10" s="1013">
        <f>'Govt &amp; External'!J109</f>
        <v>1438780</v>
      </c>
      <c r="Q10" s="1013">
        <f>'Govt &amp; External'!K109</f>
        <v>1588540</v>
      </c>
      <c r="R10" s="1013">
        <f>'Govt &amp; External'!L109</f>
        <v>1743070</v>
      </c>
      <c r="S10" s="1013">
        <f>'Govt &amp; External'!M109</f>
        <v>1948280</v>
      </c>
      <c r="T10" s="1014">
        <f>SUM(P10:S10)</f>
        <v>6718670</v>
      </c>
      <c r="U10" s="1013">
        <f>'NSP Detailed Budget'!Q110</f>
        <v>594935.81401576824</v>
      </c>
      <c r="V10" s="1013">
        <f>'NSP Detailed Budget'!R110</f>
        <v>538858.70716630679</v>
      </c>
      <c r="W10" s="1013">
        <f>'NSP Detailed Budget'!S110</f>
        <v>536113.43899042765</v>
      </c>
      <c r="X10" s="1013">
        <f>'NSP Detailed Budget'!T110</f>
        <v>432965.45631284139</v>
      </c>
      <c r="Y10" s="1014">
        <f>SUM(U10:X10)</f>
        <v>2102873.4164853441</v>
      </c>
      <c r="Z10" s="1013">
        <f>'Govt &amp; External'!J126</f>
        <v>517579.12671232887</v>
      </c>
      <c r="AA10" s="1013"/>
      <c r="AB10" s="1013"/>
      <c r="AC10" s="1013"/>
      <c r="AD10" s="1014">
        <f>SUM(Z10:AC10)</f>
        <v>517579.12671232887</v>
      </c>
      <c r="AE10" s="1013">
        <f>U10+Z10</f>
        <v>1112514.9407280972</v>
      </c>
      <c r="AF10" s="1013">
        <f t="shared" ref="AF10:AH10" si="4">V10+AA10</f>
        <v>538858.70716630679</v>
      </c>
      <c r="AG10" s="1013">
        <f t="shared" si="4"/>
        <v>536113.43899042765</v>
      </c>
      <c r="AH10" s="1013">
        <f t="shared" si="4"/>
        <v>432965.45631284139</v>
      </c>
      <c r="AI10" s="1014">
        <f>SUM(AE10:AH10)</f>
        <v>2620452.5431976728</v>
      </c>
      <c r="AJ10" s="1013">
        <f>I10-SUM(P10,AE10)</f>
        <v>71074.546386401169</v>
      </c>
      <c r="AK10" s="1013">
        <f>J10-SUM(Q10,AF10)</f>
        <v>508792.73361861007</v>
      </c>
      <c r="AL10" s="1013">
        <f>K10-SUM(R10,AG10)</f>
        <v>410009.4385172124</v>
      </c>
      <c r="AM10" s="1013">
        <f>L10-SUM(S10,AH10)</f>
        <v>335311.66336974921</v>
      </c>
      <c r="AN10" s="1014">
        <f>SUM(AJ10:AM10)</f>
        <v>1325188.3818919729</v>
      </c>
      <c r="AO10" s="822"/>
      <c r="AP10" s="330"/>
      <c r="AQ10" s="995"/>
      <c r="AR10" s="995"/>
      <c r="AS10" s="995"/>
      <c r="AT10" s="995"/>
      <c r="AU10" s="995"/>
    </row>
    <row r="11" spans="1:47">
      <c r="A11" s="1657">
        <v>1.1000000000000001</v>
      </c>
      <c r="B11" s="1658" t="s">
        <v>1711</v>
      </c>
      <c r="C11" s="1659"/>
      <c r="D11" s="1660"/>
      <c r="E11" s="1660"/>
      <c r="F11" s="1660"/>
      <c r="G11" s="1660"/>
      <c r="H11" s="1661"/>
      <c r="I11" s="1662">
        <f t="shared" ref="I11:AN11" si="5">SUM(I12:I20)</f>
        <v>464423.77989386657</v>
      </c>
      <c r="J11" s="1662">
        <f t="shared" si="5"/>
        <v>464423.77989386657</v>
      </c>
      <c r="K11" s="1662">
        <f t="shared" si="5"/>
        <v>464423.77989386657</v>
      </c>
      <c r="L11" s="1662">
        <f t="shared" si="5"/>
        <v>464423.77989386657</v>
      </c>
      <c r="M11" s="1663">
        <f t="shared" si="5"/>
        <v>1857695.1195754663</v>
      </c>
      <c r="N11" s="1664"/>
      <c r="O11" s="1598"/>
      <c r="P11" s="1015">
        <f t="shared" si="5"/>
        <v>0</v>
      </c>
      <c r="Q11" s="1015">
        <f t="shared" si="5"/>
        <v>0</v>
      </c>
      <c r="R11" s="1015">
        <f t="shared" si="5"/>
        <v>0</v>
      </c>
      <c r="S11" s="1015">
        <f t="shared" si="5"/>
        <v>0</v>
      </c>
      <c r="T11" s="1016">
        <f t="shared" si="5"/>
        <v>0</v>
      </c>
      <c r="U11" s="1015">
        <f t="shared" si="5"/>
        <v>0</v>
      </c>
      <c r="V11" s="1015">
        <f t="shared" si="5"/>
        <v>0</v>
      </c>
      <c r="W11" s="1114"/>
      <c r="X11" s="1015">
        <f t="shared" si="5"/>
        <v>0</v>
      </c>
      <c r="Y11" s="1016">
        <f t="shared" si="5"/>
        <v>0</v>
      </c>
      <c r="Z11" s="1015">
        <f t="shared" si="5"/>
        <v>0</v>
      </c>
      <c r="AA11" s="1015">
        <f t="shared" si="5"/>
        <v>0</v>
      </c>
      <c r="AB11" s="1114"/>
      <c r="AC11" s="1015">
        <f t="shared" si="5"/>
        <v>0</v>
      </c>
      <c r="AD11" s="1016">
        <f t="shared" si="5"/>
        <v>0</v>
      </c>
      <c r="AE11" s="1015">
        <f t="shared" si="5"/>
        <v>0</v>
      </c>
      <c r="AF11" s="1015">
        <f t="shared" si="5"/>
        <v>0</v>
      </c>
      <c r="AG11" s="1114"/>
      <c r="AH11" s="1015">
        <f t="shared" si="5"/>
        <v>0</v>
      </c>
      <c r="AI11" s="1016">
        <f t="shared" si="5"/>
        <v>0</v>
      </c>
      <c r="AJ11" s="1015">
        <f t="shared" si="5"/>
        <v>0</v>
      </c>
      <c r="AK11" s="1015">
        <f t="shared" si="5"/>
        <v>0</v>
      </c>
      <c r="AL11" s="1015">
        <f t="shared" si="5"/>
        <v>0</v>
      </c>
      <c r="AM11" s="1015">
        <f t="shared" si="5"/>
        <v>0</v>
      </c>
      <c r="AN11" s="1016">
        <f t="shared" si="5"/>
        <v>0</v>
      </c>
      <c r="AO11" s="330"/>
      <c r="AP11" s="330"/>
    </row>
    <row r="12" spans="1:47" ht="30">
      <c r="A12" s="1665" t="s">
        <v>315</v>
      </c>
      <c r="B12" s="1666" t="s">
        <v>1453</v>
      </c>
      <c r="C12" s="1667" t="s">
        <v>2095</v>
      </c>
      <c r="D12" s="1668">
        <f>'NSP Detailed Budget'!G109</f>
        <v>24</v>
      </c>
      <c r="E12" s="1668">
        <f>'NSP Detailed Budget'!H109</f>
        <v>24</v>
      </c>
      <c r="F12" s="1668">
        <f>'NSP Detailed Budget'!I109</f>
        <v>24</v>
      </c>
      <c r="G12" s="1668">
        <f>'NSP Detailed Budget'!J109</f>
        <v>24</v>
      </c>
      <c r="H12" s="1669" t="s">
        <v>1000</v>
      </c>
      <c r="I12" s="1670">
        <f>'NSP Detailed Budget'!G111</f>
        <v>14400</v>
      </c>
      <c r="J12" s="1670">
        <f>'NSP Detailed Budget'!H111</f>
        <v>14400</v>
      </c>
      <c r="K12" s="1670">
        <f>'NSP Detailed Budget'!I111</f>
        <v>14400</v>
      </c>
      <c r="L12" s="1670">
        <f>'NSP Detailed Budget'!J111</f>
        <v>14400</v>
      </c>
      <c r="M12" s="1671">
        <f t="shared" ref="M12" si="6">SUM(I12:L12)</f>
        <v>57600</v>
      </c>
      <c r="N12" s="1672"/>
      <c r="O12" s="1589"/>
      <c r="P12" s="1017"/>
      <c r="Q12" s="1017"/>
      <c r="R12" s="1115"/>
      <c r="S12" s="1017"/>
      <c r="T12" s="1018">
        <f t="shared" ref="T12" si="7">SUM(P12:S12)</f>
        <v>0</v>
      </c>
      <c r="U12" s="1017"/>
      <c r="V12" s="1017"/>
      <c r="W12" s="1115"/>
      <c r="X12" s="1017"/>
      <c r="Y12" s="1018">
        <f t="shared" ref="Y12" si="8">SUM(U12:X12)</f>
        <v>0</v>
      </c>
      <c r="Z12" s="1017"/>
      <c r="AA12" s="1017"/>
      <c r="AB12" s="1115"/>
      <c r="AC12" s="1017"/>
      <c r="AD12" s="1018">
        <f t="shared" ref="AD12" si="9">SUM(Z12:AC12)</f>
        <v>0</v>
      </c>
      <c r="AE12" s="1017"/>
      <c r="AF12" s="1017"/>
      <c r="AG12" s="1115"/>
      <c r="AH12" s="1017"/>
      <c r="AI12" s="1018">
        <f t="shared" ref="AI12" si="10">SUM(AE12:AH12)</f>
        <v>0</v>
      </c>
      <c r="AJ12" s="1017"/>
      <c r="AK12" s="1017"/>
      <c r="AL12" s="1115"/>
      <c r="AM12" s="1017"/>
      <c r="AN12" s="1018">
        <f t="shared" ref="AN12" si="11">SUM(AJ12:AM12)</f>
        <v>0</v>
      </c>
      <c r="AO12" s="330"/>
      <c r="AP12" s="330"/>
    </row>
    <row r="13" spans="1:47" ht="60">
      <c r="A13" s="1665" t="s">
        <v>316</v>
      </c>
      <c r="B13" s="1666" t="s">
        <v>1353</v>
      </c>
      <c r="C13" s="1667" t="s">
        <v>2096</v>
      </c>
      <c r="D13" s="1668">
        <f>'NSP Detailed Budget'!G116+'NSP Detailed Budget'!G117</f>
        <v>7</v>
      </c>
      <c r="E13" s="1668">
        <f>'NSP Detailed Budget'!H116+'NSP Detailed Budget'!H117</f>
        <v>7</v>
      </c>
      <c r="F13" s="1668">
        <f>'NSP Detailed Budget'!I116+'NSP Detailed Budget'!I117</f>
        <v>7</v>
      </c>
      <c r="G13" s="1668">
        <f>'NSP Detailed Budget'!J116+'NSP Detailed Budget'!J117</f>
        <v>7</v>
      </c>
      <c r="H13" s="1669" t="s">
        <v>754</v>
      </c>
      <c r="I13" s="1670">
        <f>'NSP Detailed Budget'!G118</f>
        <v>17400</v>
      </c>
      <c r="J13" s="1670">
        <f>'NSP Detailed Budget'!H118</f>
        <v>17400</v>
      </c>
      <c r="K13" s="1670">
        <f>'NSP Detailed Budget'!I118</f>
        <v>17400</v>
      </c>
      <c r="L13" s="1670">
        <f>'NSP Detailed Budget'!J118</f>
        <v>17400</v>
      </c>
      <c r="M13" s="1671">
        <f>SUM(I13:L13)</f>
        <v>69600</v>
      </c>
      <c r="N13" s="1672"/>
      <c r="O13" s="1589"/>
      <c r="P13" s="1017"/>
      <c r="Q13" s="1017"/>
      <c r="R13" s="1115"/>
      <c r="S13" s="1017"/>
      <c r="T13" s="1018">
        <f>SUM(P13:S13)</f>
        <v>0</v>
      </c>
      <c r="U13" s="1017"/>
      <c r="V13" s="1017"/>
      <c r="W13" s="1115"/>
      <c r="X13" s="1017"/>
      <c r="Y13" s="1018">
        <f>SUM(U13:X13)</f>
        <v>0</v>
      </c>
      <c r="Z13" s="1017"/>
      <c r="AA13" s="1017"/>
      <c r="AB13" s="1115"/>
      <c r="AC13" s="1017"/>
      <c r="AD13" s="1018">
        <f>SUM(Z13:AC13)</f>
        <v>0</v>
      </c>
      <c r="AE13" s="1017"/>
      <c r="AF13" s="1017"/>
      <c r="AG13" s="1115"/>
      <c r="AH13" s="1017"/>
      <c r="AI13" s="1018">
        <f>SUM(AE13:AH13)</f>
        <v>0</v>
      </c>
      <c r="AJ13" s="1017"/>
      <c r="AK13" s="1017"/>
      <c r="AL13" s="1115"/>
      <c r="AM13" s="1017"/>
      <c r="AN13" s="1018">
        <f>SUM(AJ13:AM13)</f>
        <v>0</v>
      </c>
      <c r="AO13" s="330"/>
      <c r="AP13" s="330"/>
    </row>
    <row r="14" spans="1:47" hidden="1">
      <c r="A14" s="1665" t="s">
        <v>317</v>
      </c>
      <c r="B14" s="1666" t="s">
        <v>875</v>
      </c>
      <c r="C14" s="1673"/>
      <c r="D14" s="1668"/>
      <c r="E14" s="1668"/>
      <c r="F14" s="1668"/>
      <c r="G14" s="1668"/>
      <c r="H14" s="1669" t="s">
        <v>49</v>
      </c>
      <c r="I14" s="1670">
        <f>'NSP Detailed Budget'!G125</f>
        <v>0</v>
      </c>
      <c r="J14" s="1670">
        <f>'NSP Detailed Budget'!H125</f>
        <v>0</v>
      </c>
      <c r="K14" s="1670">
        <f>'NSP Detailed Budget'!I125</f>
        <v>0</v>
      </c>
      <c r="L14" s="1670">
        <f>'NSP Detailed Budget'!J125</f>
        <v>0</v>
      </c>
      <c r="M14" s="1671">
        <f t="shared" ref="M14" si="12">SUM(I14:L14)</f>
        <v>0</v>
      </c>
      <c r="N14" s="1672"/>
      <c r="O14" s="1589"/>
      <c r="P14" s="1017"/>
      <c r="Q14" s="1017"/>
      <c r="R14" s="1115"/>
      <c r="S14" s="1017"/>
      <c r="T14" s="1018">
        <f t="shared" ref="T14" si="13">SUM(P14:S14)</f>
        <v>0</v>
      </c>
      <c r="U14" s="1017"/>
      <c r="V14" s="1017"/>
      <c r="W14" s="1115"/>
      <c r="X14" s="1017"/>
      <c r="Y14" s="1018">
        <f t="shared" ref="Y14" si="14">SUM(U14:X14)</f>
        <v>0</v>
      </c>
      <c r="Z14" s="1017"/>
      <c r="AA14" s="1017"/>
      <c r="AB14" s="1115"/>
      <c r="AC14" s="1017"/>
      <c r="AD14" s="1018">
        <f t="shared" ref="AD14" si="15">SUM(Z14:AC14)</f>
        <v>0</v>
      </c>
      <c r="AE14" s="1017"/>
      <c r="AF14" s="1017"/>
      <c r="AG14" s="1115"/>
      <c r="AH14" s="1017"/>
      <c r="AI14" s="1018">
        <f t="shared" ref="AI14" si="16">SUM(AE14:AH14)</f>
        <v>0</v>
      </c>
      <c r="AJ14" s="1017"/>
      <c r="AK14" s="1017"/>
      <c r="AL14" s="1115"/>
      <c r="AM14" s="1017"/>
      <c r="AN14" s="1018">
        <f t="shared" ref="AN14" si="17">SUM(AJ14:AM14)</f>
        <v>0</v>
      </c>
      <c r="AO14" s="330"/>
      <c r="AP14" s="330"/>
    </row>
    <row r="15" spans="1:47" hidden="1">
      <c r="A15" s="1665" t="s">
        <v>318</v>
      </c>
      <c r="B15" s="1666" t="s">
        <v>1354</v>
      </c>
      <c r="C15" s="1673"/>
      <c r="D15" s="1668"/>
      <c r="E15" s="1668"/>
      <c r="F15" s="1668"/>
      <c r="G15" s="1668"/>
      <c r="H15" s="1669" t="s">
        <v>49</v>
      </c>
      <c r="I15" s="1670">
        <f>'NSP Detailed Budget'!G130</f>
        <v>0</v>
      </c>
      <c r="J15" s="1670">
        <f>'NSP Detailed Budget'!H130</f>
        <v>0</v>
      </c>
      <c r="K15" s="1670">
        <f>'NSP Detailed Budget'!I130</f>
        <v>0</v>
      </c>
      <c r="L15" s="1670">
        <f>'NSP Detailed Budget'!J130</f>
        <v>0</v>
      </c>
      <c r="M15" s="1671">
        <f>SUM(I15:L15)</f>
        <v>0</v>
      </c>
      <c r="N15" s="1672"/>
      <c r="O15" s="1589"/>
      <c r="P15" s="1017"/>
      <c r="Q15" s="1017"/>
      <c r="R15" s="1115"/>
      <c r="S15" s="1017"/>
      <c r="T15" s="1018">
        <f>SUM(P15:S15)</f>
        <v>0</v>
      </c>
      <c r="U15" s="1017"/>
      <c r="V15" s="1017"/>
      <c r="W15" s="1115"/>
      <c r="X15" s="1017"/>
      <c r="Y15" s="1018">
        <f>SUM(U15:X15)</f>
        <v>0</v>
      </c>
      <c r="Z15" s="1017"/>
      <c r="AA15" s="1017"/>
      <c r="AB15" s="1115"/>
      <c r="AC15" s="1017"/>
      <c r="AD15" s="1018">
        <f>SUM(Z15:AC15)</f>
        <v>0</v>
      </c>
      <c r="AE15" s="1017"/>
      <c r="AF15" s="1017"/>
      <c r="AG15" s="1115"/>
      <c r="AH15" s="1017"/>
      <c r="AI15" s="1018">
        <f>SUM(AE15:AH15)</f>
        <v>0</v>
      </c>
      <c r="AJ15" s="1017"/>
      <c r="AK15" s="1017"/>
      <c r="AL15" s="1115"/>
      <c r="AM15" s="1017"/>
      <c r="AN15" s="1018">
        <f>SUM(AJ15:AM15)</f>
        <v>0</v>
      </c>
      <c r="AO15" s="330"/>
      <c r="AP15" s="330"/>
    </row>
    <row r="16" spans="1:47" ht="30">
      <c r="A16" s="1665" t="s">
        <v>317</v>
      </c>
      <c r="B16" s="1666" t="s">
        <v>1358</v>
      </c>
      <c r="C16" s="1673" t="s">
        <v>2097</v>
      </c>
      <c r="D16" s="1674">
        <f>'NSP Detailed Budget'!G134</f>
        <v>29176.179386666659</v>
      </c>
      <c r="E16" s="1674">
        <f>'NSP Detailed Budget'!H134</f>
        <v>29176.179386666659</v>
      </c>
      <c r="F16" s="1674">
        <f>'NSP Detailed Budget'!I134</f>
        <v>29176.179386666659</v>
      </c>
      <c r="G16" s="1674">
        <f>'NSP Detailed Budget'!J134</f>
        <v>29176.179386666659</v>
      </c>
      <c r="H16" s="1675">
        <f>'NSP Detailed Budget'!K134</f>
        <v>0</v>
      </c>
      <c r="I16" s="1670">
        <f>'NSP Detailed Budget'!G135</f>
        <v>328523.77989386657</v>
      </c>
      <c r="J16" s="1670">
        <f>'NSP Detailed Budget'!H135</f>
        <v>328523.77989386657</v>
      </c>
      <c r="K16" s="1670">
        <f>'NSP Detailed Budget'!I135</f>
        <v>328523.77989386657</v>
      </c>
      <c r="L16" s="1670">
        <f>'NSP Detailed Budget'!J135</f>
        <v>328523.77989386657</v>
      </c>
      <c r="M16" s="1671">
        <f t="shared" ref="M16" si="18">SUM(I16:L16)</f>
        <v>1314095.1195754663</v>
      </c>
      <c r="N16" s="1672"/>
      <c r="O16" s="1589"/>
      <c r="P16" s="1017"/>
      <c r="Q16" s="1017"/>
      <c r="R16" s="1115"/>
      <c r="S16" s="1017"/>
      <c r="T16" s="1018">
        <f t="shared" ref="T16" si="19">SUM(P16:S16)</f>
        <v>0</v>
      </c>
      <c r="U16" s="1017"/>
      <c r="V16" s="1017"/>
      <c r="W16" s="1115"/>
      <c r="X16" s="1017"/>
      <c r="Y16" s="1018">
        <f t="shared" ref="Y16" si="20">SUM(U16:X16)</f>
        <v>0</v>
      </c>
      <c r="Z16" s="1017"/>
      <c r="AA16" s="1017"/>
      <c r="AB16" s="1115"/>
      <c r="AC16" s="1017"/>
      <c r="AD16" s="1018">
        <f t="shared" ref="AD16" si="21">SUM(Z16:AC16)</f>
        <v>0</v>
      </c>
      <c r="AE16" s="1017"/>
      <c r="AF16" s="1017"/>
      <c r="AG16" s="1115"/>
      <c r="AH16" s="1017"/>
      <c r="AI16" s="1018">
        <f t="shared" ref="AI16" si="22">SUM(AE16:AH16)</f>
        <v>0</v>
      </c>
      <c r="AJ16" s="1017"/>
      <c r="AK16" s="1017"/>
      <c r="AL16" s="1115"/>
      <c r="AM16" s="1017"/>
      <c r="AN16" s="1018">
        <f t="shared" ref="AN16" si="23">SUM(AJ16:AM16)</f>
        <v>0</v>
      </c>
      <c r="AO16" s="330"/>
      <c r="AP16" s="330"/>
    </row>
    <row r="17" spans="1:42" ht="45">
      <c r="A17" s="1665" t="s">
        <v>318</v>
      </c>
      <c r="B17" s="1666" t="s">
        <v>1355</v>
      </c>
      <c r="C17" s="1676" t="s">
        <v>2098</v>
      </c>
      <c r="D17" s="1674">
        <f>'NSP Detailed Budget'!G139</f>
        <v>112</v>
      </c>
      <c r="E17" s="1674">
        <f>'NSP Detailed Budget'!H139</f>
        <v>112</v>
      </c>
      <c r="F17" s="1674">
        <f>'NSP Detailed Budget'!I139</f>
        <v>112</v>
      </c>
      <c r="G17" s="1674">
        <f>'NSP Detailed Budget'!J139</f>
        <v>112</v>
      </c>
      <c r="H17" s="1669" t="s">
        <v>49</v>
      </c>
      <c r="I17" s="1670">
        <f>'NSP Detailed Budget'!G140</f>
        <v>84000</v>
      </c>
      <c r="J17" s="1670">
        <f>'NSP Detailed Budget'!H140</f>
        <v>84000</v>
      </c>
      <c r="K17" s="1670">
        <f>'NSP Detailed Budget'!I140</f>
        <v>84000</v>
      </c>
      <c r="L17" s="1670">
        <f>'NSP Detailed Budget'!J140</f>
        <v>84000</v>
      </c>
      <c r="M17" s="1671">
        <f>SUM(I17:L17)</f>
        <v>336000</v>
      </c>
      <c r="N17" s="1672"/>
      <c r="O17" s="1589"/>
      <c r="P17" s="1017"/>
      <c r="Q17" s="1017"/>
      <c r="R17" s="1115"/>
      <c r="S17" s="1017"/>
      <c r="T17" s="1018">
        <f>SUM(P17:S17)</f>
        <v>0</v>
      </c>
      <c r="U17" s="1017"/>
      <c r="V17" s="1017"/>
      <c r="W17" s="1115"/>
      <c r="X17" s="1017"/>
      <c r="Y17" s="1018">
        <f>SUM(U17:X17)</f>
        <v>0</v>
      </c>
      <c r="Z17" s="1017"/>
      <c r="AA17" s="1017"/>
      <c r="AB17" s="1115"/>
      <c r="AC17" s="1017"/>
      <c r="AD17" s="1018">
        <f>SUM(Z17:AC17)</f>
        <v>0</v>
      </c>
      <c r="AE17" s="1017"/>
      <c r="AF17" s="1017"/>
      <c r="AG17" s="1115"/>
      <c r="AH17" s="1017"/>
      <c r="AI17" s="1018">
        <f>SUM(AE17:AH17)</f>
        <v>0</v>
      </c>
      <c r="AJ17" s="1017"/>
      <c r="AK17" s="1017"/>
      <c r="AL17" s="1115"/>
      <c r="AM17" s="1017"/>
      <c r="AN17" s="1018">
        <f>SUM(AJ17:AM17)</f>
        <v>0</v>
      </c>
      <c r="AO17" s="330"/>
      <c r="AP17" s="330"/>
    </row>
    <row r="18" spans="1:42" hidden="1">
      <c r="A18" s="1665" t="s">
        <v>319</v>
      </c>
      <c r="B18" s="1666" t="s">
        <v>1357</v>
      </c>
      <c r="C18" s="1673"/>
      <c r="D18" s="1677"/>
      <c r="E18" s="1677"/>
      <c r="F18" s="1677"/>
      <c r="G18" s="1677"/>
      <c r="H18" s="1678" t="s">
        <v>49</v>
      </c>
      <c r="I18" s="1679">
        <f>'NSP Detailed Budget'!G145</f>
        <v>0</v>
      </c>
      <c r="J18" s="1679">
        <f>'NSP Detailed Budget'!H145</f>
        <v>0</v>
      </c>
      <c r="K18" s="1679">
        <f>'NSP Detailed Budget'!I145</f>
        <v>0</v>
      </c>
      <c r="L18" s="1679">
        <f>'NSP Detailed Budget'!J145</f>
        <v>0</v>
      </c>
      <c r="M18" s="1671">
        <f>SUM(I18:L18)</f>
        <v>0</v>
      </c>
      <c r="N18" s="1672"/>
      <c r="O18" s="1589"/>
      <c r="P18" s="1017"/>
      <c r="Q18" s="1017"/>
      <c r="R18" s="1115"/>
      <c r="S18" s="1017"/>
      <c r="T18" s="1018">
        <f>SUM(P18:S18)</f>
        <v>0</v>
      </c>
      <c r="U18" s="1017"/>
      <c r="V18" s="1017"/>
      <c r="W18" s="1115"/>
      <c r="X18" s="1017"/>
      <c r="Y18" s="1018">
        <f>SUM(U18:X18)</f>
        <v>0</v>
      </c>
      <c r="Z18" s="1017"/>
      <c r="AA18" s="1017"/>
      <c r="AB18" s="1115"/>
      <c r="AC18" s="1017"/>
      <c r="AD18" s="1018">
        <f>SUM(Z18:AC18)</f>
        <v>0</v>
      </c>
      <c r="AE18" s="1017"/>
      <c r="AF18" s="1017"/>
      <c r="AG18" s="1115"/>
      <c r="AH18" s="1017"/>
      <c r="AI18" s="1018">
        <f>SUM(AE18:AH18)</f>
        <v>0</v>
      </c>
      <c r="AJ18" s="1017"/>
      <c r="AK18" s="1017"/>
      <c r="AL18" s="1115"/>
      <c r="AM18" s="1017"/>
      <c r="AN18" s="1018">
        <f>SUM(AJ18:AM18)</f>
        <v>0</v>
      </c>
      <c r="AO18" s="330"/>
      <c r="AP18" s="330"/>
    </row>
    <row r="19" spans="1:42" ht="45">
      <c r="A19" s="1665" t="s">
        <v>319</v>
      </c>
      <c r="B19" s="1666" t="s">
        <v>1356</v>
      </c>
      <c r="C19" s="1673" t="s">
        <v>2099</v>
      </c>
      <c r="D19" s="1680">
        <v>38</v>
      </c>
      <c r="E19" s="1680">
        <v>38</v>
      </c>
      <c r="F19" s="1680">
        <v>38</v>
      </c>
      <c r="G19" s="1680">
        <v>38</v>
      </c>
      <c r="H19" s="1678" t="s">
        <v>1001</v>
      </c>
      <c r="I19" s="1679">
        <f>'NSP Detailed Budget'!G151</f>
        <v>15200</v>
      </c>
      <c r="J19" s="1679">
        <f>'NSP Detailed Budget'!H151</f>
        <v>15200</v>
      </c>
      <c r="K19" s="1679">
        <f>'NSP Detailed Budget'!I151</f>
        <v>15200</v>
      </c>
      <c r="L19" s="1679">
        <f>'NSP Detailed Budget'!J151</f>
        <v>15200</v>
      </c>
      <c r="M19" s="1671">
        <f t="shared" ref="M19" si="24">SUM(I19:L19)</f>
        <v>60800</v>
      </c>
      <c r="N19" s="1672"/>
      <c r="O19" s="1589"/>
      <c r="P19" s="1017"/>
      <c r="Q19" s="1017"/>
      <c r="R19" s="1115"/>
      <c r="S19" s="1017"/>
      <c r="T19" s="1018">
        <f t="shared" ref="T19" si="25">SUM(P19:S19)</f>
        <v>0</v>
      </c>
      <c r="U19" s="1017"/>
      <c r="V19" s="1017"/>
      <c r="W19" s="1115"/>
      <c r="X19" s="1017"/>
      <c r="Y19" s="1018">
        <f t="shared" ref="Y19" si="26">SUM(U19:X19)</f>
        <v>0</v>
      </c>
      <c r="Z19" s="1017"/>
      <c r="AA19" s="1017"/>
      <c r="AB19" s="1115"/>
      <c r="AC19" s="1017"/>
      <c r="AD19" s="1018">
        <f t="shared" ref="AD19" si="27">SUM(Z19:AC19)</f>
        <v>0</v>
      </c>
      <c r="AE19" s="1017"/>
      <c r="AF19" s="1017"/>
      <c r="AG19" s="1115"/>
      <c r="AH19" s="1017"/>
      <c r="AI19" s="1018">
        <f t="shared" ref="AI19" si="28">SUM(AE19:AH19)</f>
        <v>0</v>
      </c>
      <c r="AJ19" s="1017"/>
      <c r="AK19" s="1017"/>
      <c r="AL19" s="1115"/>
      <c r="AM19" s="1017"/>
      <c r="AN19" s="1018">
        <f t="shared" ref="AN19" si="29">SUM(AJ19:AM19)</f>
        <v>0</v>
      </c>
      <c r="AO19" s="330"/>
      <c r="AP19" s="330"/>
    </row>
    <row r="20" spans="1:42" ht="45">
      <c r="A20" s="1665" t="s">
        <v>320</v>
      </c>
      <c r="B20" s="1666" t="s">
        <v>1454</v>
      </c>
      <c r="C20" s="1673" t="s">
        <v>2100</v>
      </c>
      <c r="D20" s="1677">
        <v>1</v>
      </c>
      <c r="E20" s="1677">
        <v>1</v>
      </c>
      <c r="F20" s="1677">
        <v>1</v>
      </c>
      <c r="G20" s="1677">
        <v>1</v>
      </c>
      <c r="H20" s="1678" t="s">
        <v>754</v>
      </c>
      <c r="I20" s="1679">
        <f>'NSP Detailed Budget'!G158</f>
        <v>4900</v>
      </c>
      <c r="J20" s="1679">
        <f>'NSP Detailed Budget'!H158</f>
        <v>4900</v>
      </c>
      <c r="K20" s="1679">
        <f>'NSP Detailed Budget'!I158</f>
        <v>4900</v>
      </c>
      <c r="L20" s="1679">
        <f>'NSP Detailed Budget'!J158</f>
        <v>4900</v>
      </c>
      <c r="M20" s="1671">
        <f>SUM(I20:L20)</f>
        <v>19600</v>
      </c>
      <c r="N20" s="1672"/>
      <c r="O20" s="1589"/>
      <c r="P20" s="1017"/>
      <c r="Q20" s="1017"/>
      <c r="R20" s="1115"/>
      <c r="S20" s="1017"/>
      <c r="T20" s="1018">
        <f>SUM(P20:S20)</f>
        <v>0</v>
      </c>
      <c r="U20" s="1017"/>
      <c r="V20" s="1017"/>
      <c r="W20" s="1115"/>
      <c r="X20" s="1017"/>
      <c r="Y20" s="1018">
        <f>SUM(U20:X20)</f>
        <v>0</v>
      </c>
      <c r="Z20" s="1017"/>
      <c r="AA20" s="1017"/>
      <c r="AB20" s="1115"/>
      <c r="AC20" s="1017"/>
      <c r="AD20" s="1018">
        <f>SUM(Z20:AC20)</f>
        <v>0</v>
      </c>
      <c r="AE20" s="1017"/>
      <c r="AF20" s="1017"/>
      <c r="AG20" s="1115"/>
      <c r="AH20" s="1017"/>
      <c r="AI20" s="1018">
        <f>SUM(AE20:AH20)</f>
        <v>0</v>
      </c>
      <c r="AJ20" s="1017"/>
      <c r="AK20" s="1017"/>
      <c r="AL20" s="1115"/>
      <c r="AM20" s="1017"/>
      <c r="AN20" s="1018">
        <f>SUM(AJ20:AM20)</f>
        <v>0</v>
      </c>
      <c r="AO20" s="330"/>
      <c r="AP20" s="330"/>
    </row>
    <row r="21" spans="1:42" ht="28.5">
      <c r="A21" s="1657">
        <v>1.2</v>
      </c>
      <c r="B21" s="1658" t="s">
        <v>1247</v>
      </c>
      <c r="C21" s="1659"/>
      <c r="D21" s="1660"/>
      <c r="E21" s="1660"/>
      <c r="F21" s="1660"/>
      <c r="G21" s="1660"/>
      <c r="H21" s="1661"/>
      <c r="I21" s="1662">
        <f>SUM(I22:I40)</f>
        <v>558331.42950577138</v>
      </c>
      <c r="J21" s="1662">
        <f>SUM(J22:J40)</f>
        <v>526842.06538331148</v>
      </c>
      <c r="K21" s="1662">
        <f>SUM(K22:K40)</f>
        <v>515066.61842351302</v>
      </c>
      <c r="L21" s="1662">
        <f>SUM(L22:L40)</f>
        <v>494675.13273181615</v>
      </c>
      <c r="M21" s="1663">
        <f>SUM(M22:M40)</f>
        <v>2094915.246044412</v>
      </c>
      <c r="N21" s="1664"/>
      <c r="O21" s="1598"/>
      <c r="P21" s="1015">
        <f t="shared" ref="P21:AN21" si="30">SUM(P22:P40)</f>
        <v>0</v>
      </c>
      <c r="Q21" s="1015">
        <f t="shared" si="30"/>
        <v>0</v>
      </c>
      <c r="R21" s="1015">
        <f t="shared" si="30"/>
        <v>0</v>
      </c>
      <c r="S21" s="1015">
        <f t="shared" si="30"/>
        <v>0</v>
      </c>
      <c r="T21" s="1016">
        <f t="shared" si="30"/>
        <v>0</v>
      </c>
      <c r="U21" s="1015">
        <f t="shared" si="30"/>
        <v>0</v>
      </c>
      <c r="V21" s="1015">
        <f t="shared" si="30"/>
        <v>0</v>
      </c>
      <c r="W21" s="1015">
        <f t="shared" si="30"/>
        <v>0</v>
      </c>
      <c r="X21" s="1015">
        <f t="shared" si="30"/>
        <v>0</v>
      </c>
      <c r="Y21" s="1016">
        <f t="shared" si="30"/>
        <v>0</v>
      </c>
      <c r="Z21" s="1015">
        <f t="shared" si="30"/>
        <v>0</v>
      </c>
      <c r="AA21" s="1015">
        <f t="shared" si="30"/>
        <v>0</v>
      </c>
      <c r="AB21" s="1015">
        <f t="shared" si="30"/>
        <v>0</v>
      </c>
      <c r="AC21" s="1015">
        <f t="shared" si="30"/>
        <v>0</v>
      </c>
      <c r="AD21" s="1016">
        <f t="shared" si="30"/>
        <v>0</v>
      </c>
      <c r="AE21" s="1015">
        <f t="shared" si="30"/>
        <v>0</v>
      </c>
      <c r="AF21" s="1015">
        <f t="shared" si="30"/>
        <v>0</v>
      </c>
      <c r="AG21" s="1015">
        <f t="shared" si="30"/>
        <v>0</v>
      </c>
      <c r="AH21" s="1015">
        <f t="shared" si="30"/>
        <v>0</v>
      </c>
      <c r="AI21" s="1016">
        <f t="shared" si="30"/>
        <v>0</v>
      </c>
      <c r="AJ21" s="1015">
        <f t="shared" si="30"/>
        <v>0</v>
      </c>
      <c r="AK21" s="1015">
        <f t="shared" si="30"/>
        <v>0</v>
      </c>
      <c r="AL21" s="1015">
        <f t="shared" si="30"/>
        <v>0</v>
      </c>
      <c r="AM21" s="1015">
        <f t="shared" si="30"/>
        <v>0</v>
      </c>
      <c r="AN21" s="1016">
        <f t="shared" si="30"/>
        <v>0</v>
      </c>
      <c r="AO21" s="330"/>
      <c r="AP21" s="330"/>
    </row>
    <row r="22" spans="1:42">
      <c r="A22" s="1665" t="s">
        <v>241</v>
      </c>
      <c r="B22" s="1666" t="s">
        <v>1486</v>
      </c>
      <c r="C22" s="1673"/>
      <c r="D22" s="1681"/>
      <c r="E22" s="1681"/>
      <c r="F22" s="1681"/>
      <c r="G22" s="1681"/>
      <c r="H22" s="1678" t="s">
        <v>49</v>
      </c>
      <c r="I22" s="1679">
        <f>'NSP Detailed Budget'!G167</f>
        <v>0</v>
      </c>
      <c r="J22" s="1679">
        <f>'NSP Detailed Budget'!H167</f>
        <v>0</v>
      </c>
      <c r="K22" s="1679">
        <f>'NSP Detailed Budget'!I167</f>
        <v>0</v>
      </c>
      <c r="L22" s="1679">
        <f>'NSP Detailed Budget'!J167</f>
        <v>0</v>
      </c>
      <c r="M22" s="1671">
        <f>SUM(I22:L22)</f>
        <v>0</v>
      </c>
      <c r="N22" s="1672"/>
      <c r="O22" s="1589"/>
      <c r="P22" s="1017"/>
      <c r="Q22" s="1017"/>
      <c r="R22" s="1115"/>
      <c r="S22" s="1017"/>
      <c r="T22" s="1018">
        <f>SUM(P22:S22)</f>
        <v>0</v>
      </c>
      <c r="U22" s="1017"/>
      <c r="V22" s="1017"/>
      <c r="W22" s="1115"/>
      <c r="X22" s="1017"/>
      <c r="Y22" s="1018">
        <f>SUM(U22:X22)</f>
        <v>0</v>
      </c>
      <c r="Z22" s="1017"/>
      <c r="AA22" s="1017"/>
      <c r="AB22" s="1115"/>
      <c r="AC22" s="1017"/>
      <c r="AD22" s="1018">
        <f>SUM(Z22:AC22)</f>
        <v>0</v>
      </c>
      <c r="AE22" s="1017"/>
      <c r="AF22" s="1017"/>
      <c r="AG22" s="1115"/>
      <c r="AH22" s="1017"/>
      <c r="AI22" s="1018">
        <f>SUM(AE22:AH22)</f>
        <v>0</v>
      </c>
      <c r="AJ22" s="1017"/>
      <c r="AK22" s="1017"/>
      <c r="AL22" s="1115"/>
      <c r="AM22" s="1017"/>
      <c r="AN22" s="1018">
        <f>SUM(AJ22:AM22)</f>
        <v>0</v>
      </c>
      <c r="AO22" s="330"/>
      <c r="AP22" s="330"/>
    </row>
    <row r="23" spans="1:42" ht="45">
      <c r="A23" s="1665" t="s">
        <v>242</v>
      </c>
      <c r="B23" s="1666" t="s">
        <v>1456</v>
      </c>
      <c r="C23" s="1682" t="str">
        <f>'NSP Detailed Budget'!B170</f>
        <v>Annual cost of specimens' transportation</v>
      </c>
      <c r="D23" s="1680">
        <v>1</v>
      </c>
      <c r="E23" s="1680">
        <v>1</v>
      </c>
      <c r="F23" s="1680">
        <v>1</v>
      </c>
      <c r="G23" s="1680">
        <v>1</v>
      </c>
      <c r="H23" s="1678" t="s">
        <v>1001</v>
      </c>
      <c r="I23" s="1679">
        <f>'NSP Detailed Budget'!G172</f>
        <v>50000</v>
      </c>
      <c r="J23" s="1679">
        <f>'NSP Detailed Budget'!H172</f>
        <v>50000</v>
      </c>
      <c r="K23" s="1679">
        <f>'NSP Detailed Budget'!I172</f>
        <v>50000</v>
      </c>
      <c r="L23" s="1679">
        <f>'NSP Detailed Budget'!J172</f>
        <v>50000</v>
      </c>
      <c r="M23" s="1671">
        <f t="shared" ref="M23:M40" si="31">SUM(I23:L23)</f>
        <v>200000</v>
      </c>
      <c r="N23" s="1672"/>
      <c r="O23" s="1589"/>
      <c r="P23" s="1017"/>
      <c r="Q23" s="1017"/>
      <c r="R23" s="1115"/>
      <c r="S23" s="1017"/>
      <c r="T23" s="1018">
        <f t="shared" ref="T23:T40" si="32">SUM(P23:S23)</f>
        <v>0</v>
      </c>
      <c r="U23" s="1017"/>
      <c r="V23" s="1017"/>
      <c r="W23" s="1115"/>
      <c r="X23" s="1017"/>
      <c r="Y23" s="1018">
        <f t="shared" ref="Y23:Y40" si="33">SUM(U23:X23)</f>
        <v>0</v>
      </c>
      <c r="Z23" s="1017"/>
      <c r="AA23" s="1017"/>
      <c r="AB23" s="1115"/>
      <c r="AC23" s="1017"/>
      <c r="AD23" s="1018">
        <f t="shared" ref="AD23:AD40" si="34">SUM(Z23:AC23)</f>
        <v>0</v>
      </c>
      <c r="AE23" s="1017"/>
      <c r="AF23" s="1017"/>
      <c r="AG23" s="1115"/>
      <c r="AH23" s="1017"/>
      <c r="AI23" s="1018">
        <f t="shared" ref="AI23:AI40" si="35">SUM(AE23:AH23)</f>
        <v>0</v>
      </c>
      <c r="AJ23" s="1017"/>
      <c r="AK23" s="1017"/>
      <c r="AL23" s="1115"/>
      <c r="AM23" s="1017"/>
      <c r="AN23" s="1018">
        <f t="shared" ref="AN23:AN40" si="36">SUM(AJ23:AM23)</f>
        <v>0</v>
      </c>
      <c r="AO23" s="330"/>
      <c r="AP23" s="330"/>
    </row>
    <row r="24" spans="1:42" ht="30">
      <c r="A24" s="1665" t="s">
        <v>327</v>
      </c>
      <c r="B24" s="1666" t="s">
        <v>1457</v>
      </c>
      <c r="C24" s="1683" t="str">
        <f>'NSP Detailed Budget'!B179</f>
        <v>No. of LED tests</v>
      </c>
      <c r="D24" s="1684">
        <f>'NSP Detailed Budget'!G175</f>
        <v>24068.911200000002</v>
      </c>
      <c r="E24" s="1684">
        <f>'NSP Detailed Budget'!H175</f>
        <v>20203.065750000002</v>
      </c>
      <c r="F24" s="1684">
        <f>'NSP Detailed Budget'!I175</f>
        <v>19647.538049999999</v>
      </c>
      <c r="G24" s="1684">
        <f>'NSP Detailed Budget'!J175</f>
        <v>19175.301599999999</v>
      </c>
      <c r="H24" s="1678" t="s">
        <v>156</v>
      </c>
      <c r="I24" s="1679">
        <f>'NSP Detailed Budget'!G182</f>
        <v>12034.455600000001</v>
      </c>
      <c r="J24" s="1679">
        <f>'NSP Detailed Budget'!H182</f>
        <v>10101.532875000001</v>
      </c>
      <c r="K24" s="1679">
        <f>'NSP Detailed Budget'!I182</f>
        <v>9823.7690249999996</v>
      </c>
      <c r="L24" s="1679">
        <f>'NSP Detailed Budget'!J182</f>
        <v>9587.6507999999994</v>
      </c>
      <c r="M24" s="1671">
        <f t="shared" si="31"/>
        <v>41547.408299999996</v>
      </c>
      <c r="N24" s="1672"/>
      <c r="O24" s="1589"/>
      <c r="P24" s="1017"/>
      <c r="Q24" s="1017"/>
      <c r="R24" s="1115"/>
      <c r="S24" s="1017"/>
      <c r="T24" s="1018">
        <f t="shared" si="32"/>
        <v>0</v>
      </c>
      <c r="U24" s="1017"/>
      <c r="V24" s="1017"/>
      <c r="W24" s="1115"/>
      <c r="X24" s="1017"/>
      <c r="Y24" s="1018">
        <f t="shared" si="33"/>
        <v>0</v>
      </c>
      <c r="Z24" s="1017"/>
      <c r="AA24" s="1017"/>
      <c r="AB24" s="1115"/>
      <c r="AC24" s="1017"/>
      <c r="AD24" s="1018">
        <f t="shared" si="34"/>
        <v>0</v>
      </c>
      <c r="AE24" s="1017"/>
      <c r="AF24" s="1017"/>
      <c r="AG24" s="1115"/>
      <c r="AH24" s="1017"/>
      <c r="AI24" s="1018">
        <f t="shared" si="35"/>
        <v>0</v>
      </c>
      <c r="AJ24" s="1017"/>
      <c r="AK24" s="1017"/>
      <c r="AL24" s="1115"/>
      <c r="AM24" s="1017"/>
      <c r="AN24" s="1018">
        <f t="shared" si="36"/>
        <v>0</v>
      </c>
      <c r="AO24" s="330"/>
      <c r="AP24" s="330"/>
    </row>
    <row r="25" spans="1:42">
      <c r="A25" s="1665" t="s">
        <v>328</v>
      </c>
      <c r="B25" s="1666" t="s">
        <v>1460</v>
      </c>
      <c r="C25" s="1673" t="s">
        <v>2102</v>
      </c>
      <c r="D25" s="1685">
        <f>'NSP Detailed Budget'!G213+'NSP Detailed Budget'!G215</f>
        <v>2636.8380500000003</v>
      </c>
      <c r="E25" s="1685">
        <f>'NSP Detailed Budget'!H213+'NSP Detailed Budget'!H215</f>
        <v>2532.5156999999999</v>
      </c>
      <c r="F25" s="1685">
        <f>'NSP Detailed Budget'!I213+'NSP Detailed Budget'!I215</f>
        <v>2459.4806499999995</v>
      </c>
      <c r="G25" s="1685">
        <f>'NSP Detailed Budget'!J213+'NSP Detailed Budget'!J215</f>
        <v>2402.6848999999997</v>
      </c>
      <c r="H25" s="1678" t="s">
        <v>156</v>
      </c>
      <c r="I25" s="1679">
        <f>'NSP Detailed Budget'!G216</f>
        <v>29456.606300000007</v>
      </c>
      <c r="J25" s="1679">
        <f>'NSP Detailed Budget'!H216</f>
        <v>28326.104399999997</v>
      </c>
      <c r="K25" s="1679">
        <f>'NSP Detailed Budget'!I216</f>
        <v>27519.385299999998</v>
      </c>
      <c r="L25" s="1679">
        <f>'NSP Detailed Budget'!J216</f>
        <v>26891.9882</v>
      </c>
      <c r="M25" s="1671">
        <f t="shared" ref="M25:M33" si="37">SUM(I25:L25)</f>
        <v>112194.08420000001</v>
      </c>
      <c r="N25" s="1672"/>
      <c r="O25" s="1589"/>
      <c r="P25" s="1017"/>
      <c r="Q25" s="1017"/>
      <c r="R25" s="1115"/>
      <c r="S25" s="1017"/>
      <c r="T25" s="1018">
        <f t="shared" ref="T25:T33" si="38">SUM(P25:S25)</f>
        <v>0</v>
      </c>
      <c r="U25" s="1017"/>
      <c r="V25" s="1017"/>
      <c r="W25" s="1115"/>
      <c r="X25" s="1017"/>
      <c r="Y25" s="1018">
        <f t="shared" ref="Y25:Y33" si="39">SUM(U25:X25)</f>
        <v>0</v>
      </c>
      <c r="Z25" s="1017"/>
      <c r="AA25" s="1017"/>
      <c r="AB25" s="1115"/>
      <c r="AC25" s="1017"/>
      <c r="AD25" s="1018">
        <f t="shared" ref="AD25:AD33" si="40">SUM(Z25:AC25)</f>
        <v>0</v>
      </c>
      <c r="AE25" s="1017"/>
      <c r="AF25" s="1017"/>
      <c r="AG25" s="1115"/>
      <c r="AH25" s="1017"/>
      <c r="AI25" s="1018">
        <f t="shared" ref="AI25:AI33" si="41">SUM(AE25:AH25)</f>
        <v>0</v>
      </c>
      <c r="AJ25" s="1017"/>
      <c r="AK25" s="1017"/>
      <c r="AL25" s="1115"/>
      <c r="AM25" s="1017"/>
      <c r="AN25" s="1018">
        <f t="shared" ref="AN25:AN33" si="42">SUM(AJ25:AM25)</f>
        <v>0</v>
      </c>
      <c r="AO25" s="330"/>
      <c r="AP25" s="330"/>
    </row>
    <row r="26" spans="1:42" ht="30">
      <c r="A26" s="1665" t="s">
        <v>329</v>
      </c>
      <c r="B26" s="1666" t="s">
        <v>1461</v>
      </c>
      <c r="C26" s="1673" t="s">
        <v>1784</v>
      </c>
      <c r="D26" s="1685">
        <f>'NSP Detailed Budget'!G220</f>
        <v>7334.0642475659915</v>
      </c>
      <c r="E26" s="1685">
        <f>'NSP Detailed Budget'!H220</f>
        <v>7162.4740567482922</v>
      </c>
      <c r="F26" s="1685">
        <f>'NSP Detailed Budget'!I220</f>
        <v>6972.6336567737962</v>
      </c>
      <c r="G26" s="1685">
        <f>'NSP Detailed Budget'!J220</f>
        <v>6809.1466787109021</v>
      </c>
      <c r="H26" s="1678" t="s">
        <v>156</v>
      </c>
      <c r="I26" s="1679">
        <f>'NSP Detailed Budget'!G221</f>
        <v>9534.2835218357886</v>
      </c>
      <c r="J26" s="1679">
        <f>'NSP Detailed Budget'!H221</f>
        <v>9311.2162737727795</v>
      </c>
      <c r="K26" s="1679">
        <f>'NSP Detailed Budget'!I221</f>
        <v>9064.4237538059351</v>
      </c>
      <c r="L26" s="1679">
        <f>'NSP Detailed Budget'!J221</f>
        <v>8851.8906823241723</v>
      </c>
      <c r="M26" s="1671">
        <f t="shared" si="37"/>
        <v>36761.814231738674</v>
      </c>
      <c r="N26" s="1672"/>
      <c r="O26" s="1589"/>
      <c r="P26" s="1017"/>
      <c r="Q26" s="1017"/>
      <c r="R26" s="1115"/>
      <c r="S26" s="1017"/>
      <c r="T26" s="1018">
        <f t="shared" si="38"/>
        <v>0</v>
      </c>
      <c r="U26" s="1017"/>
      <c r="V26" s="1017"/>
      <c r="W26" s="1115"/>
      <c r="X26" s="1017"/>
      <c r="Y26" s="1018">
        <f t="shared" si="39"/>
        <v>0</v>
      </c>
      <c r="Z26" s="1017"/>
      <c r="AA26" s="1017"/>
      <c r="AB26" s="1115"/>
      <c r="AC26" s="1017"/>
      <c r="AD26" s="1018">
        <f t="shared" si="40"/>
        <v>0</v>
      </c>
      <c r="AE26" s="1017"/>
      <c r="AF26" s="1017"/>
      <c r="AG26" s="1115"/>
      <c r="AH26" s="1017"/>
      <c r="AI26" s="1018">
        <f t="shared" si="41"/>
        <v>0</v>
      </c>
      <c r="AJ26" s="1017"/>
      <c r="AK26" s="1017"/>
      <c r="AL26" s="1115"/>
      <c r="AM26" s="1017"/>
      <c r="AN26" s="1018">
        <f t="shared" si="42"/>
        <v>0</v>
      </c>
      <c r="AO26" s="330"/>
      <c r="AP26" s="330"/>
    </row>
    <row r="27" spans="1:42" ht="75">
      <c r="A27" s="1665" t="s">
        <v>330</v>
      </c>
      <c r="B27" s="1666" t="s">
        <v>1459</v>
      </c>
      <c r="C27" s="1673" t="s">
        <v>2101</v>
      </c>
      <c r="D27" s="1685">
        <f>'NSP Detailed Budget'!G204+'NSP Detailed Budget'!G206+'NSP Detailed Budget'!G208</f>
        <v>17173.820715131984</v>
      </c>
      <c r="E27" s="1685">
        <f>'NSP Detailed Budget'!H204+'NSP Detailed Budget'!H206+'NSP Detailed Budget'!H208</f>
        <v>16732.947793496583</v>
      </c>
      <c r="F27" s="1685">
        <f>'NSP Detailed Budget'!I204+'NSP Detailed Budget'!I206+'NSP Detailed Budget'!I208</f>
        <v>16284.171173547591</v>
      </c>
      <c r="G27" s="1685">
        <f>'NSP Detailed Budget'!J204+'NSP Detailed Budget'!J206+'NSP Detailed Budget'!J208</f>
        <v>15902.902617421803</v>
      </c>
      <c r="H27" s="1678" t="s">
        <v>156</v>
      </c>
      <c r="I27" s="1679">
        <f>'NSP Detailed Budget'!G209</f>
        <v>91838.084083935551</v>
      </c>
      <c r="J27" s="1679">
        <f>'NSP Detailed Budget'!H209</f>
        <v>89035.211834538728</v>
      </c>
      <c r="K27" s="1679">
        <f>'NSP Detailed Budget'!I209</f>
        <v>86591.040344707057</v>
      </c>
      <c r="L27" s="1679">
        <f>'NSP Detailed Budget'!J209</f>
        <v>84575.603049491954</v>
      </c>
      <c r="M27" s="1671">
        <f t="shared" si="37"/>
        <v>352039.93931267323</v>
      </c>
      <c r="N27" s="1672"/>
      <c r="O27" s="1589"/>
      <c r="P27" s="1017"/>
      <c r="Q27" s="1017"/>
      <c r="R27" s="1115"/>
      <c r="S27" s="1017"/>
      <c r="T27" s="1018">
        <f t="shared" si="38"/>
        <v>0</v>
      </c>
      <c r="U27" s="1017"/>
      <c r="V27" s="1017"/>
      <c r="W27" s="1115"/>
      <c r="X27" s="1017"/>
      <c r="Y27" s="1018">
        <f t="shared" si="39"/>
        <v>0</v>
      </c>
      <c r="Z27" s="1017"/>
      <c r="AA27" s="1017"/>
      <c r="AB27" s="1115"/>
      <c r="AC27" s="1017"/>
      <c r="AD27" s="1018">
        <f t="shared" si="40"/>
        <v>0</v>
      </c>
      <c r="AE27" s="1017"/>
      <c r="AF27" s="1017"/>
      <c r="AG27" s="1115"/>
      <c r="AH27" s="1017"/>
      <c r="AI27" s="1018">
        <f t="shared" si="41"/>
        <v>0</v>
      </c>
      <c r="AJ27" s="1017"/>
      <c r="AK27" s="1017"/>
      <c r="AL27" s="1115"/>
      <c r="AM27" s="1017"/>
      <c r="AN27" s="1018">
        <f t="shared" si="42"/>
        <v>0</v>
      </c>
      <c r="AO27" s="330"/>
      <c r="AP27" s="330"/>
    </row>
    <row r="28" spans="1:42" ht="30">
      <c r="A28" s="1665" t="s">
        <v>331</v>
      </c>
      <c r="B28" s="1686" t="s">
        <v>1621</v>
      </c>
      <c r="C28" s="1687" t="str">
        <f>'NSP Detailed Budget'!B271</f>
        <v>Number of tests</v>
      </c>
      <c r="D28" s="1688">
        <f>'NSP Detailed Budget'!G271</f>
        <v>783</v>
      </c>
      <c r="E28" s="1688">
        <f>'NSP Detailed Budget'!H271</f>
        <v>747</v>
      </c>
      <c r="F28" s="1688">
        <f>'NSP Detailed Budget'!I271</f>
        <v>725</v>
      </c>
      <c r="G28" s="1688">
        <f>'NSP Detailed Budget'!J271</f>
        <v>707</v>
      </c>
      <c r="H28" s="1678" t="s">
        <v>156</v>
      </c>
      <c r="I28" s="1679">
        <f>'NSP Detailed Budget'!G273</f>
        <v>156600</v>
      </c>
      <c r="J28" s="1679">
        <f>'NSP Detailed Budget'!H273</f>
        <v>149400</v>
      </c>
      <c r="K28" s="1679">
        <f>'NSP Detailed Budget'!I273</f>
        <v>145000</v>
      </c>
      <c r="L28" s="1679">
        <f>'NSP Detailed Budget'!J273</f>
        <v>141400</v>
      </c>
      <c r="M28" s="1671">
        <f t="shared" si="37"/>
        <v>592400</v>
      </c>
      <c r="N28" s="1672"/>
      <c r="O28" s="1589"/>
      <c r="P28" s="1017"/>
      <c r="Q28" s="1017"/>
      <c r="R28" s="1115"/>
      <c r="S28" s="1017"/>
      <c r="T28" s="1018">
        <f t="shared" si="38"/>
        <v>0</v>
      </c>
      <c r="U28" s="1017"/>
      <c r="V28" s="1017"/>
      <c r="W28" s="1115"/>
      <c r="X28" s="1017"/>
      <c r="Y28" s="1018">
        <f t="shared" si="39"/>
        <v>0</v>
      </c>
      <c r="Z28" s="1017"/>
      <c r="AA28" s="1017"/>
      <c r="AB28" s="1115"/>
      <c r="AC28" s="1017"/>
      <c r="AD28" s="1018">
        <f t="shared" si="40"/>
        <v>0</v>
      </c>
      <c r="AE28" s="1017"/>
      <c r="AF28" s="1017"/>
      <c r="AG28" s="1115"/>
      <c r="AH28" s="1017"/>
      <c r="AI28" s="1018">
        <f t="shared" si="41"/>
        <v>0</v>
      </c>
      <c r="AJ28" s="1017"/>
      <c r="AK28" s="1017"/>
      <c r="AL28" s="1115"/>
      <c r="AM28" s="1017"/>
      <c r="AN28" s="1018">
        <f t="shared" si="42"/>
        <v>0</v>
      </c>
      <c r="AO28" s="330"/>
      <c r="AP28" s="330"/>
    </row>
    <row r="29" spans="1:42" ht="75">
      <c r="A29" s="1665" t="s">
        <v>332</v>
      </c>
      <c r="B29" s="1666" t="s">
        <v>1458</v>
      </c>
      <c r="C29" s="1682" t="str">
        <f>'NSP Detailed Budget'!B198</f>
        <v>Annual cost of minor equipment and supplies for reference labs</v>
      </c>
      <c r="D29" s="1680">
        <v>1</v>
      </c>
      <c r="E29" s="1680">
        <v>1</v>
      </c>
      <c r="F29" s="1680">
        <v>1</v>
      </c>
      <c r="G29" s="1680">
        <v>1</v>
      </c>
      <c r="H29" s="1678" t="s">
        <v>156</v>
      </c>
      <c r="I29" s="1679">
        <f>'NSP Detailed Budget'!G200</f>
        <v>88400</v>
      </c>
      <c r="J29" s="1679">
        <f>'NSP Detailed Budget'!H200</f>
        <v>88400</v>
      </c>
      <c r="K29" s="1679">
        <f>'NSP Detailed Budget'!I200</f>
        <v>88400</v>
      </c>
      <c r="L29" s="1679">
        <f>'NSP Detailed Budget'!J200</f>
        <v>88400</v>
      </c>
      <c r="M29" s="1671">
        <f t="shared" si="37"/>
        <v>353600</v>
      </c>
      <c r="N29" s="1672"/>
      <c r="O29" s="1589"/>
      <c r="P29" s="1017"/>
      <c r="Q29" s="1017"/>
      <c r="R29" s="1115"/>
      <c r="S29" s="1017"/>
      <c r="T29" s="1018">
        <f t="shared" si="38"/>
        <v>0</v>
      </c>
      <c r="U29" s="1017"/>
      <c r="V29" s="1017"/>
      <c r="W29" s="1115"/>
      <c r="X29" s="1017"/>
      <c r="Y29" s="1018">
        <f t="shared" si="39"/>
        <v>0</v>
      </c>
      <c r="Z29" s="1017"/>
      <c r="AA29" s="1017"/>
      <c r="AB29" s="1115"/>
      <c r="AC29" s="1017"/>
      <c r="AD29" s="1018">
        <f t="shared" si="40"/>
        <v>0</v>
      </c>
      <c r="AE29" s="1017"/>
      <c r="AF29" s="1017"/>
      <c r="AG29" s="1115"/>
      <c r="AH29" s="1017"/>
      <c r="AI29" s="1018">
        <f t="shared" si="41"/>
        <v>0</v>
      </c>
      <c r="AJ29" s="1017"/>
      <c r="AK29" s="1017"/>
      <c r="AL29" s="1115"/>
      <c r="AM29" s="1017"/>
      <c r="AN29" s="1018">
        <f t="shared" si="42"/>
        <v>0</v>
      </c>
      <c r="AO29" s="330"/>
      <c r="AP29" s="330"/>
    </row>
    <row r="30" spans="1:42" ht="30">
      <c r="A30" s="1665" t="s">
        <v>1455</v>
      </c>
      <c r="B30" s="1666" t="s">
        <v>1462</v>
      </c>
      <c r="C30" s="1673" t="s">
        <v>2103</v>
      </c>
      <c r="D30" s="1677">
        <v>1</v>
      </c>
      <c r="E30" s="1677">
        <v>1</v>
      </c>
      <c r="F30" s="1677">
        <v>1</v>
      </c>
      <c r="G30" s="1677">
        <v>1</v>
      </c>
      <c r="H30" s="1678" t="s">
        <v>49</v>
      </c>
      <c r="I30" s="1679">
        <f>'NSP Detailed Budget'!G226</f>
        <v>40000</v>
      </c>
      <c r="J30" s="1679">
        <f>'NSP Detailed Budget'!H226</f>
        <v>40000</v>
      </c>
      <c r="K30" s="1679">
        <f>'NSP Detailed Budget'!I226</f>
        <v>40000</v>
      </c>
      <c r="L30" s="1679">
        <f>'NSP Detailed Budget'!J226</f>
        <v>40000</v>
      </c>
      <c r="M30" s="1671">
        <f t="shared" si="37"/>
        <v>160000</v>
      </c>
      <c r="N30" s="1672"/>
      <c r="O30" s="1589"/>
      <c r="P30" s="1017"/>
      <c r="Q30" s="1017"/>
      <c r="R30" s="1115"/>
      <c r="S30" s="1017"/>
      <c r="T30" s="1018">
        <f t="shared" si="38"/>
        <v>0</v>
      </c>
      <c r="U30" s="1017"/>
      <c r="V30" s="1017"/>
      <c r="W30" s="1115"/>
      <c r="X30" s="1017"/>
      <c r="Y30" s="1018">
        <f t="shared" si="39"/>
        <v>0</v>
      </c>
      <c r="Z30" s="1017"/>
      <c r="AA30" s="1017"/>
      <c r="AB30" s="1115"/>
      <c r="AC30" s="1017"/>
      <c r="AD30" s="1018">
        <f t="shared" si="40"/>
        <v>0</v>
      </c>
      <c r="AE30" s="1017"/>
      <c r="AF30" s="1017"/>
      <c r="AG30" s="1115"/>
      <c r="AH30" s="1017"/>
      <c r="AI30" s="1018">
        <f t="shared" si="41"/>
        <v>0</v>
      </c>
      <c r="AJ30" s="1017"/>
      <c r="AK30" s="1017"/>
      <c r="AL30" s="1115"/>
      <c r="AM30" s="1017"/>
      <c r="AN30" s="1018">
        <f t="shared" si="42"/>
        <v>0</v>
      </c>
      <c r="AO30" s="330"/>
      <c r="AP30" s="330"/>
    </row>
    <row r="31" spans="1:42" ht="30">
      <c r="A31" s="1665" t="s">
        <v>1003</v>
      </c>
      <c r="B31" s="1666" t="s">
        <v>1491</v>
      </c>
      <c r="C31" s="1673" t="str">
        <f>'NSP Detailed Budget'!B255</f>
        <v>No. of respirators</v>
      </c>
      <c r="D31" s="1685">
        <f>'NSP Detailed Budget'!G255</f>
        <v>1584</v>
      </c>
      <c r="E31" s="1685">
        <f>'NSP Detailed Budget'!H255</f>
        <v>1584</v>
      </c>
      <c r="F31" s="1685">
        <f>'NSP Detailed Budget'!I255</f>
        <v>1584</v>
      </c>
      <c r="G31" s="1685">
        <f>'NSP Detailed Budget'!J255</f>
        <v>1584</v>
      </c>
      <c r="H31" s="1678" t="s">
        <v>156</v>
      </c>
      <c r="I31" s="1679">
        <f>'NSP Detailed Budget'!G256</f>
        <v>3168</v>
      </c>
      <c r="J31" s="1679">
        <f>'NSP Detailed Budget'!H256</f>
        <v>3168</v>
      </c>
      <c r="K31" s="1679">
        <f>'NSP Detailed Budget'!I256</f>
        <v>3168</v>
      </c>
      <c r="L31" s="1679">
        <f>'NSP Detailed Budget'!J256</f>
        <v>3168</v>
      </c>
      <c r="M31" s="1671">
        <f t="shared" si="37"/>
        <v>12672</v>
      </c>
      <c r="N31" s="1672"/>
      <c r="O31" s="1589"/>
      <c r="P31" s="1017"/>
      <c r="Q31" s="1017"/>
      <c r="R31" s="1115"/>
      <c r="S31" s="1017"/>
      <c r="T31" s="1018">
        <f t="shared" si="38"/>
        <v>0</v>
      </c>
      <c r="U31" s="1017"/>
      <c r="V31" s="1017"/>
      <c r="W31" s="1115"/>
      <c r="X31" s="1017"/>
      <c r="Y31" s="1018">
        <f t="shared" si="39"/>
        <v>0</v>
      </c>
      <c r="Z31" s="1017"/>
      <c r="AA31" s="1017"/>
      <c r="AB31" s="1115"/>
      <c r="AC31" s="1017"/>
      <c r="AD31" s="1018">
        <f t="shared" si="40"/>
        <v>0</v>
      </c>
      <c r="AE31" s="1017"/>
      <c r="AF31" s="1017"/>
      <c r="AG31" s="1115"/>
      <c r="AH31" s="1017"/>
      <c r="AI31" s="1018">
        <f t="shared" si="41"/>
        <v>0</v>
      </c>
      <c r="AJ31" s="1017"/>
      <c r="AK31" s="1017"/>
      <c r="AL31" s="1115"/>
      <c r="AM31" s="1017"/>
      <c r="AN31" s="1018">
        <f t="shared" si="42"/>
        <v>0</v>
      </c>
      <c r="AO31" s="330"/>
      <c r="AP31" s="330"/>
    </row>
    <row r="32" spans="1:42" ht="45">
      <c r="A32" s="1665" t="s">
        <v>1463</v>
      </c>
      <c r="B32" s="1666" t="s">
        <v>1473</v>
      </c>
      <c r="C32" s="1682" t="str">
        <f>'NSP Detailed Budget'!B187</f>
        <v>No. of trainings at central level</v>
      </c>
      <c r="D32" s="1680">
        <f>'NSP Detailed Budget'!G187</f>
        <v>2</v>
      </c>
      <c r="E32" s="1680">
        <f>'NSP Detailed Budget'!H187</f>
        <v>2</v>
      </c>
      <c r="F32" s="1680">
        <f>'NSP Detailed Budget'!I187</f>
        <v>2</v>
      </c>
      <c r="G32" s="1680">
        <f>'NSP Detailed Budget'!J187</f>
        <v>2</v>
      </c>
      <c r="H32" s="1678" t="s">
        <v>754</v>
      </c>
      <c r="I32" s="1679">
        <f>'NSP Detailed Budget'!G189</f>
        <v>5600</v>
      </c>
      <c r="J32" s="1679">
        <f>'NSP Detailed Budget'!H189</f>
        <v>5600</v>
      </c>
      <c r="K32" s="1679">
        <f>'NSP Detailed Budget'!I189</f>
        <v>5600</v>
      </c>
      <c r="L32" s="1679">
        <f>'NSP Detailed Budget'!J189</f>
        <v>5600</v>
      </c>
      <c r="M32" s="1671">
        <f t="shared" si="37"/>
        <v>22400</v>
      </c>
      <c r="N32" s="1672"/>
      <c r="O32" s="1589"/>
      <c r="P32" s="1017"/>
      <c r="Q32" s="1017"/>
      <c r="R32" s="1115"/>
      <c r="S32" s="1017"/>
      <c r="T32" s="1018">
        <f t="shared" si="38"/>
        <v>0</v>
      </c>
      <c r="U32" s="1017"/>
      <c r="V32" s="1017"/>
      <c r="W32" s="1115"/>
      <c r="X32" s="1017"/>
      <c r="Y32" s="1018">
        <f t="shared" si="39"/>
        <v>0</v>
      </c>
      <c r="Z32" s="1017"/>
      <c r="AA32" s="1017"/>
      <c r="AB32" s="1115"/>
      <c r="AC32" s="1017"/>
      <c r="AD32" s="1018">
        <f t="shared" si="40"/>
        <v>0</v>
      </c>
      <c r="AE32" s="1017"/>
      <c r="AF32" s="1017"/>
      <c r="AG32" s="1115"/>
      <c r="AH32" s="1017"/>
      <c r="AI32" s="1018">
        <f t="shared" si="41"/>
        <v>0</v>
      </c>
      <c r="AJ32" s="1017"/>
      <c r="AK32" s="1017"/>
      <c r="AL32" s="1115"/>
      <c r="AM32" s="1017"/>
      <c r="AN32" s="1018">
        <f t="shared" si="42"/>
        <v>0</v>
      </c>
      <c r="AO32" s="330"/>
      <c r="AP32" s="330"/>
    </row>
    <row r="33" spans="1:42" ht="30">
      <c r="A33" s="1665" t="s">
        <v>1464</v>
      </c>
      <c r="B33" s="1666" t="s">
        <v>1474</v>
      </c>
      <c r="C33" s="1673" t="str">
        <f>'NSP Detailed Budget'!B260</f>
        <v>No. of person-events</v>
      </c>
      <c r="D33" s="1677">
        <v>2</v>
      </c>
      <c r="E33" s="1677">
        <v>2</v>
      </c>
      <c r="F33" s="1677">
        <v>2</v>
      </c>
      <c r="G33" s="1677">
        <v>2</v>
      </c>
      <c r="H33" s="1678" t="s">
        <v>1002</v>
      </c>
      <c r="I33" s="1679">
        <f>'NSP Detailed Budget'!G261</f>
        <v>9800</v>
      </c>
      <c r="J33" s="1679">
        <f>'NSP Detailed Budget'!H261</f>
        <v>9800</v>
      </c>
      <c r="K33" s="1679">
        <f>'NSP Detailed Budget'!I261</f>
        <v>9800</v>
      </c>
      <c r="L33" s="1679">
        <f>'NSP Detailed Budget'!J261</f>
        <v>9800</v>
      </c>
      <c r="M33" s="1671">
        <f t="shared" si="37"/>
        <v>39200</v>
      </c>
      <c r="N33" s="1672"/>
      <c r="O33" s="1589"/>
      <c r="P33" s="1017"/>
      <c r="Q33" s="1017"/>
      <c r="R33" s="1115"/>
      <c r="S33" s="1017"/>
      <c r="T33" s="1018">
        <f t="shared" si="38"/>
        <v>0</v>
      </c>
      <c r="U33" s="1017"/>
      <c r="V33" s="1017"/>
      <c r="W33" s="1115"/>
      <c r="X33" s="1017"/>
      <c r="Y33" s="1018">
        <f t="shared" si="39"/>
        <v>0</v>
      </c>
      <c r="Z33" s="1017"/>
      <c r="AA33" s="1017"/>
      <c r="AB33" s="1115"/>
      <c r="AC33" s="1017"/>
      <c r="AD33" s="1018">
        <f t="shared" si="40"/>
        <v>0</v>
      </c>
      <c r="AE33" s="1017"/>
      <c r="AF33" s="1017"/>
      <c r="AG33" s="1115"/>
      <c r="AH33" s="1017"/>
      <c r="AI33" s="1018">
        <f t="shared" si="41"/>
        <v>0</v>
      </c>
      <c r="AJ33" s="1017"/>
      <c r="AK33" s="1017"/>
      <c r="AL33" s="1115"/>
      <c r="AM33" s="1017"/>
      <c r="AN33" s="1018">
        <f t="shared" si="42"/>
        <v>0</v>
      </c>
      <c r="AO33" s="330"/>
      <c r="AP33" s="330"/>
    </row>
    <row r="34" spans="1:42" ht="30">
      <c r="A34" s="1665" t="s">
        <v>1465</v>
      </c>
      <c r="B34" s="1666" t="s">
        <v>1469</v>
      </c>
      <c r="C34" s="1673" t="s">
        <v>1444</v>
      </c>
      <c r="D34" s="1689">
        <f>'NSP Detailed Budget'!G230</f>
        <v>2</v>
      </c>
      <c r="E34" s="1689">
        <f>'NSP Detailed Budget'!H230</f>
        <v>1</v>
      </c>
      <c r="F34" s="1689">
        <f>'NSP Detailed Budget'!I230</f>
        <v>1</v>
      </c>
      <c r="G34" s="1689">
        <f>'NSP Detailed Budget'!J230</f>
        <v>1</v>
      </c>
      <c r="H34" s="1678" t="s">
        <v>998</v>
      </c>
      <c r="I34" s="1679">
        <f>'NSP Detailed Budget'!G231</f>
        <v>36400</v>
      </c>
      <c r="J34" s="1679">
        <f>'NSP Detailed Budget'!H231</f>
        <v>18200</v>
      </c>
      <c r="K34" s="1679">
        <f>'NSP Detailed Budget'!I231</f>
        <v>18200</v>
      </c>
      <c r="L34" s="1679">
        <f>'NSP Detailed Budget'!J231</f>
        <v>18200</v>
      </c>
      <c r="M34" s="1671">
        <f t="shared" si="31"/>
        <v>91000</v>
      </c>
      <c r="N34" s="1672"/>
      <c r="O34" s="1589"/>
      <c r="P34" s="1017"/>
      <c r="Q34" s="1017"/>
      <c r="R34" s="1115"/>
      <c r="S34" s="1017"/>
      <c r="T34" s="1018">
        <f t="shared" si="32"/>
        <v>0</v>
      </c>
      <c r="U34" s="1017"/>
      <c r="V34" s="1017"/>
      <c r="W34" s="1115"/>
      <c r="X34" s="1017"/>
      <c r="Y34" s="1018">
        <f t="shared" si="33"/>
        <v>0</v>
      </c>
      <c r="Z34" s="1017"/>
      <c r="AA34" s="1017"/>
      <c r="AB34" s="1115"/>
      <c r="AC34" s="1017"/>
      <c r="AD34" s="1018">
        <f t="shared" si="34"/>
        <v>0</v>
      </c>
      <c r="AE34" s="1017"/>
      <c r="AF34" s="1017"/>
      <c r="AG34" s="1115"/>
      <c r="AH34" s="1017"/>
      <c r="AI34" s="1018">
        <f t="shared" si="35"/>
        <v>0</v>
      </c>
      <c r="AJ34" s="1017"/>
      <c r="AK34" s="1017"/>
      <c r="AL34" s="1115"/>
      <c r="AM34" s="1017"/>
      <c r="AN34" s="1018">
        <f t="shared" si="36"/>
        <v>0</v>
      </c>
      <c r="AO34" s="330"/>
      <c r="AP34" s="330"/>
    </row>
    <row r="35" spans="1:42" ht="30">
      <c r="A35" s="1665" t="s">
        <v>1466</v>
      </c>
      <c r="B35" s="1666" t="s">
        <v>1470</v>
      </c>
      <c r="C35" s="1673" t="s">
        <v>2104</v>
      </c>
      <c r="D35" s="1677">
        <f>'NSP Detailed Budget'!G235</f>
        <v>2</v>
      </c>
      <c r="E35" s="1677">
        <f>'NSP Detailed Budget'!H235</f>
        <v>2</v>
      </c>
      <c r="F35" s="1677">
        <f>'NSP Detailed Budget'!I235</f>
        <v>2</v>
      </c>
      <c r="G35" s="1677">
        <f>'NSP Detailed Budget'!J235</f>
        <v>2</v>
      </c>
      <c r="H35" s="1678" t="s">
        <v>1002</v>
      </c>
      <c r="I35" s="1679">
        <f>'NSP Detailed Budget'!G236</f>
        <v>8200</v>
      </c>
      <c r="J35" s="1679">
        <f>'NSP Detailed Budget'!H236</f>
        <v>8200</v>
      </c>
      <c r="K35" s="1679">
        <f>'NSP Detailed Budget'!I236</f>
        <v>8200</v>
      </c>
      <c r="L35" s="1679">
        <f>'NSP Detailed Budget'!J236</f>
        <v>8200</v>
      </c>
      <c r="M35" s="1671">
        <f t="shared" si="31"/>
        <v>32800</v>
      </c>
      <c r="N35" s="1672"/>
      <c r="O35" s="1589"/>
      <c r="P35" s="1017"/>
      <c r="Q35" s="1017"/>
      <c r="R35" s="1115"/>
      <c r="S35" s="1017"/>
      <c r="T35" s="1018">
        <f t="shared" si="32"/>
        <v>0</v>
      </c>
      <c r="U35" s="1017"/>
      <c r="V35" s="1017"/>
      <c r="W35" s="1115"/>
      <c r="X35" s="1017"/>
      <c r="Y35" s="1018">
        <f t="shared" si="33"/>
        <v>0</v>
      </c>
      <c r="Z35" s="1017"/>
      <c r="AA35" s="1017"/>
      <c r="AB35" s="1115"/>
      <c r="AC35" s="1017"/>
      <c r="AD35" s="1018">
        <f t="shared" si="34"/>
        <v>0</v>
      </c>
      <c r="AE35" s="1017"/>
      <c r="AF35" s="1017"/>
      <c r="AG35" s="1115"/>
      <c r="AH35" s="1017"/>
      <c r="AI35" s="1018">
        <f t="shared" si="35"/>
        <v>0</v>
      </c>
      <c r="AJ35" s="1017"/>
      <c r="AK35" s="1017"/>
      <c r="AL35" s="1115"/>
      <c r="AM35" s="1017"/>
      <c r="AN35" s="1018">
        <f t="shared" si="36"/>
        <v>0</v>
      </c>
      <c r="AO35" s="330"/>
      <c r="AP35" s="330"/>
    </row>
    <row r="36" spans="1:42" ht="30">
      <c r="A36" s="1665" t="s">
        <v>1467</v>
      </c>
      <c r="B36" s="1666" t="s">
        <v>1471</v>
      </c>
      <c r="C36" s="1673" t="str">
        <f>'NSP Detailed Budget'!B240</f>
        <v>No. of trainings</v>
      </c>
      <c r="D36" s="1677">
        <v>1</v>
      </c>
      <c r="E36" s="1677">
        <v>1</v>
      </c>
      <c r="F36" s="1677">
        <v>1</v>
      </c>
      <c r="G36" s="1677"/>
      <c r="H36" s="1678" t="s">
        <v>754</v>
      </c>
      <c r="I36" s="1679">
        <f>'NSP Detailed Budget'!G241</f>
        <v>10100</v>
      </c>
      <c r="J36" s="1679">
        <f>'NSP Detailed Budget'!H241</f>
        <v>10100</v>
      </c>
      <c r="K36" s="1679">
        <f>'NSP Detailed Budget'!I241</f>
        <v>10100</v>
      </c>
      <c r="L36" s="1679">
        <f>'NSP Detailed Budget'!J241</f>
        <v>0</v>
      </c>
      <c r="M36" s="1671">
        <f t="shared" si="31"/>
        <v>30300</v>
      </c>
      <c r="N36" s="1672"/>
      <c r="O36" s="1589"/>
      <c r="P36" s="1017"/>
      <c r="Q36" s="1017"/>
      <c r="R36" s="1115"/>
      <c r="S36" s="1017"/>
      <c r="T36" s="1018">
        <f t="shared" si="32"/>
        <v>0</v>
      </c>
      <c r="U36" s="1017"/>
      <c r="V36" s="1017"/>
      <c r="W36" s="1115"/>
      <c r="X36" s="1017"/>
      <c r="Y36" s="1018">
        <f t="shared" si="33"/>
        <v>0</v>
      </c>
      <c r="Z36" s="1017"/>
      <c r="AA36" s="1017"/>
      <c r="AB36" s="1115"/>
      <c r="AC36" s="1017"/>
      <c r="AD36" s="1018">
        <f t="shared" si="34"/>
        <v>0</v>
      </c>
      <c r="AE36" s="1017"/>
      <c r="AF36" s="1017"/>
      <c r="AG36" s="1115"/>
      <c r="AH36" s="1017"/>
      <c r="AI36" s="1018">
        <f t="shared" si="35"/>
        <v>0</v>
      </c>
      <c r="AJ36" s="1017"/>
      <c r="AK36" s="1017"/>
      <c r="AL36" s="1115"/>
      <c r="AM36" s="1017"/>
      <c r="AN36" s="1018">
        <f t="shared" si="36"/>
        <v>0</v>
      </c>
      <c r="AO36" s="330"/>
      <c r="AP36" s="330"/>
    </row>
    <row r="37" spans="1:42" ht="30">
      <c r="A37" s="1665" t="s">
        <v>1468</v>
      </c>
      <c r="B37" s="1666" t="s">
        <v>1472</v>
      </c>
      <c r="C37" s="1673" t="str">
        <f>'NSP Detailed Budget'!B244</f>
        <v>No. of person-months</v>
      </c>
      <c r="D37" s="1677">
        <v>12</v>
      </c>
      <c r="E37" s="1677">
        <v>12</v>
      </c>
      <c r="F37" s="1677">
        <v>6</v>
      </c>
      <c r="G37" s="1677"/>
      <c r="H37" s="1678" t="s">
        <v>1000</v>
      </c>
      <c r="I37" s="1679">
        <f>'NSP Detailed Budget'!G246</f>
        <v>7200</v>
      </c>
      <c r="J37" s="1679">
        <f>'NSP Detailed Budget'!H246</f>
        <v>7200</v>
      </c>
      <c r="K37" s="1679">
        <f>'NSP Detailed Budget'!I246</f>
        <v>3600</v>
      </c>
      <c r="L37" s="1679">
        <f>'NSP Detailed Budget'!J246</f>
        <v>0</v>
      </c>
      <c r="M37" s="1671">
        <f t="shared" si="31"/>
        <v>18000</v>
      </c>
      <c r="N37" s="1672"/>
      <c r="O37" s="1589"/>
      <c r="P37" s="1017"/>
      <c r="Q37" s="1017"/>
      <c r="R37" s="1115"/>
      <c r="S37" s="1017"/>
      <c r="T37" s="1018">
        <f t="shared" si="32"/>
        <v>0</v>
      </c>
      <c r="U37" s="1017"/>
      <c r="V37" s="1017"/>
      <c r="W37" s="1115"/>
      <c r="X37" s="1017"/>
      <c r="Y37" s="1018">
        <f t="shared" si="33"/>
        <v>0</v>
      </c>
      <c r="Z37" s="1017"/>
      <c r="AA37" s="1017"/>
      <c r="AB37" s="1115"/>
      <c r="AC37" s="1017"/>
      <c r="AD37" s="1018">
        <f t="shared" si="34"/>
        <v>0</v>
      </c>
      <c r="AE37" s="1017"/>
      <c r="AF37" s="1017"/>
      <c r="AG37" s="1115"/>
      <c r="AH37" s="1017"/>
      <c r="AI37" s="1018">
        <f t="shared" si="35"/>
        <v>0</v>
      </c>
      <c r="AJ37" s="1017"/>
      <c r="AK37" s="1017"/>
      <c r="AL37" s="1115"/>
      <c r="AM37" s="1017"/>
      <c r="AN37" s="1018">
        <f t="shared" si="36"/>
        <v>0</v>
      </c>
      <c r="AO37" s="330"/>
      <c r="AP37" s="330"/>
    </row>
    <row r="38" spans="1:42" ht="30" hidden="1">
      <c r="A38" s="1665" t="s">
        <v>1465</v>
      </c>
      <c r="B38" s="1666" t="s">
        <v>1490</v>
      </c>
      <c r="C38" s="1673"/>
      <c r="D38" s="1681"/>
      <c r="E38" s="1681"/>
      <c r="F38" s="1681"/>
      <c r="G38" s="1681"/>
      <c r="H38" s="1678" t="s">
        <v>49</v>
      </c>
      <c r="I38" s="1679">
        <f>'NSP Detailed Budget'!G251</f>
        <v>0</v>
      </c>
      <c r="J38" s="1679">
        <f>'NSP Detailed Budget'!H251</f>
        <v>0</v>
      </c>
      <c r="K38" s="1679">
        <f>'NSP Detailed Budget'!I251</f>
        <v>0</v>
      </c>
      <c r="L38" s="1679">
        <f>'NSP Detailed Budget'!J251</f>
        <v>0</v>
      </c>
      <c r="M38" s="1671">
        <f t="shared" si="31"/>
        <v>0</v>
      </c>
      <c r="N38" s="1672"/>
      <c r="O38" s="1589"/>
      <c r="P38" s="1017"/>
      <c r="Q38" s="1017"/>
      <c r="R38" s="1115"/>
      <c r="S38" s="1017"/>
      <c r="T38" s="1018">
        <f t="shared" si="32"/>
        <v>0</v>
      </c>
      <c r="U38" s="1017"/>
      <c r="V38" s="1017"/>
      <c r="W38" s="1115"/>
      <c r="X38" s="1017"/>
      <c r="Y38" s="1018">
        <f t="shared" si="33"/>
        <v>0</v>
      </c>
      <c r="Z38" s="1017"/>
      <c r="AA38" s="1017"/>
      <c r="AB38" s="1115"/>
      <c r="AC38" s="1017"/>
      <c r="AD38" s="1018">
        <f t="shared" si="34"/>
        <v>0</v>
      </c>
      <c r="AE38" s="1017"/>
      <c r="AF38" s="1017"/>
      <c r="AG38" s="1115"/>
      <c r="AH38" s="1017"/>
      <c r="AI38" s="1018">
        <f t="shared" si="35"/>
        <v>0</v>
      </c>
      <c r="AJ38" s="1017"/>
      <c r="AK38" s="1017"/>
      <c r="AL38" s="1115"/>
      <c r="AM38" s="1017"/>
      <c r="AN38" s="1018">
        <f t="shared" si="36"/>
        <v>0</v>
      </c>
      <c r="AO38" s="330"/>
      <c r="AP38" s="330"/>
    </row>
    <row r="39" spans="1:42" hidden="1">
      <c r="A39" s="1690"/>
      <c r="B39" s="1691"/>
      <c r="C39" s="1691"/>
      <c r="D39" s="1692"/>
      <c r="E39" s="1692"/>
      <c r="F39" s="1692"/>
      <c r="G39" s="1692"/>
      <c r="H39" s="1691"/>
      <c r="I39" s="1691"/>
      <c r="J39" s="1691"/>
      <c r="K39" s="1691"/>
      <c r="L39" s="1691"/>
      <c r="M39" s="1693"/>
      <c r="N39" s="1693"/>
    </row>
    <row r="40" spans="1:42" hidden="1">
      <c r="A40" s="1665" t="s">
        <v>1467</v>
      </c>
      <c r="B40" s="1686" t="s">
        <v>1620</v>
      </c>
      <c r="C40" s="1687"/>
      <c r="D40" s="1694"/>
      <c r="E40" s="1694"/>
      <c r="F40" s="1694"/>
      <c r="G40" s="1694"/>
      <c r="H40" s="1678" t="s">
        <v>49</v>
      </c>
      <c r="I40" s="1679">
        <f>'NSP Detailed Budget'!G266</f>
        <v>0</v>
      </c>
      <c r="J40" s="1679">
        <f>'NSP Detailed Budget'!H266</f>
        <v>0</v>
      </c>
      <c r="K40" s="1679">
        <f>'NSP Detailed Budget'!I266</f>
        <v>0</v>
      </c>
      <c r="L40" s="1679">
        <f>'NSP Detailed Budget'!J266</f>
        <v>0</v>
      </c>
      <c r="M40" s="1671">
        <f t="shared" si="31"/>
        <v>0</v>
      </c>
      <c r="N40" s="1672"/>
      <c r="O40" s="1589"/>
      <c r="P40" s="1017"/>
      <c r="Q40" s="1017"/>
      <c r="R40" s="1115"/>
      <c r="S40" s="1017"/>
      <c r="T40" s="1018">
        <f t="shared" si="32"/>
        <v>0</v>
      </c>
      <c r="U40" s="1017"/>
      <c r="V40" s="1017"/>
      <c r="W40" s="1115"/>
      <c r="X40" s="1017"/>
      <c r="Y40" s="1018">
        <f t="shared" si="33"/>
        <v>0</v>
      </c>
      <c r="Z40" s="1017"/>
      <c r="AA40" s="1017"/>
      <c r="AB40" s="1115"/>
      <c r="AC40" s="1017"/>
      <c r="AD40" s="1018">
        <f t="shared" si="34"/>
        <v>0</v>
      </c>
      <c r="AE40" s="1017"/>
      <c r="AF40" s="1017"/>
      <c r="AG40" s="1115"/>
      <c r="AH40" s="1017"/>
      <c r="AI40" s="1018">
        <f t="shared" si="35"/>
        <v>0</v>
      </c>
      <c r="AJ40" s="1017"/>
      <c r="AK40" s="1017"/>
      <c r="AL40" s="1115"/>
      <c r="AM40" s="1017"/>
      <c r="AN40" s="1018">
        <f t="shared" si="36"/>
        <v>0</v>
      </c>
      <c r="AO40" s="330"/>
      <c r="AP40" s="330"/>
    </row>
    <row r="41" spans="1:42" hidden="1">
      <c r="A41" s="1690"/>
      <c r="B41" s="1691"/>
      <c r="C41" s="1691"/>
      <c r="D41" s="1692"/>
      <c r="E41" s="1692"/>
      <c r="F41" s="1692"/>
      <c r="G41" s="1692"/>
      <c r="H41" s="1691"/>
      <c r="I41" s="1691"/>
      <c r="J41" s="1691"/>
      <c r="K41" s="1691"/>
      <c r="L41" s="1691"/>
      <c r="M41" s="1693"/>
      <c r="N41" s="1693"/>
    </row>
    <row r="42" spans="1:42" ht="42.75">
      <c r="A42" s="1657">
        <v>1.3</v>
      </c>
      <c r="B42" s="1658" t="s">
        <v>1248</v>
      </c>
      <c r="C42" s="1659"/>
      <c r="D42" s="1660"/>
      <c r="E42" s="1660"/>
      <c r="F42" s="1660"/>
      <c r="G42" s="1660"/>
      <c r="H42" s="1661"/>
      <c r="I42" s="1662">
        <f t="shared" ref="I42:AN42" si="43">SUM(I43:I47)</f>
        <v>80000</v>
      </c>
      <c r="J42" s="1662">
        <f t="shared" si="43"/>
        <v>80000</v>
      </c>
      <c r="K42" s="1662">
        <f t="shared" si="43"/>
        <v>97200</v>
      </c>
      <c r="L42" s="1662">
        <f t="shared" si="43"/>
        <v>95000</v>
      </c>
      <c r="M42" s="1663">
        <f t="shared" si="43"/>
        <v>352200</v>
      </c>
      <c r="N42" s="1664"/>
      <c r="O42" s="1598"/>
      <c r="P42" s="1015">
        <f t="shared" si="43"/>
        <v>0</v>
      </c>
      <c r="Q42" s="1015">
        <f t="shared" si="43"/>
        <v>0</v>
      </c>
      <c r="R42" s="1015">
        <f t="shared" si="43"/>
        <v>0</v>
      </c>
      <c r="S42" s="1015">
        <f t="shared" si="43"/>
        <v>0</v>
      </c>
      <c r="T42" s="1016">
        <f t="shared" si="43"/>
        <v>0</v>
      </c>
      <c r="U42" s="1015">
        <f t="shared" si="43"/>
        <v>0</v>
      </c>
      <c r="V42" s="1015">
        <f t="shared" si="43"/>
        <v>0</v>
      </c>
      <c r="W42" s="1015">
        <f t="shared" si="43"/>
        <v>0</v>
      </c>
      <c r="X42" s="1015">
        <f t="shared" si="43"/>
        <v>0</v>
      </c>
      <c r="Y42" s="1016">
        <f t="shared" si="43"/>
        <v>0</v>
      </c>
      <c r="Z42" s="1015">
        <f t="shared" si="43"/>
        <v>0</v>
      </c>
      <c r="AA42" s="1015">
        <f t="shared" si="43"/>
        <v>0</v>
      </c>
      <c r="AB42" s="1114"/>
      <c r="AC42" s="1015">
        <f t="shared" si="43"/>
        <v>0</v>
      </c>
      <c r="AD42" s="1016">
        <f t="shared" si="43"/>
        <v>0</v>
      </c>
      <c r="AE42" s="1015">
        <f t="shared" si="43"/>
        <v>0</v>
      </c>
      <c r="AF42" s="1015">
        <f t="shared" si="43"/>
        <v>0</v>
      </c>
      <c r="AG42" s="1015">
        <f t="shared" si="43"/>
        <v>0</v>
      </c>
      <c r="AH42" s="1015">
        <f t="shared" si="43"/>
        <v>0</v>
      </c>
      <c r="AI42" s="1016">
        <f t="shared" si="43"/>
        <v>0</v>
      </c>
      <c r="AJ42" s="1015">
        <f t="shared" si="43"/>
        <v>0</v>
      </c>
      <c r="AK42" s="1015">
        <f t="shared" si="43"/>
        <v>0</v>
      </c>
      <c r="AL42" s="1015">
        <f t="shared" si="43"/>
        <v>0</v>
      </c>
      <c r="AM42" s="1015">
        <f t="shared" si="43"/>
        <v>0</v>
      </c>
      <c r="AN42" s="1016">
        <f t="shared" si="43"/>
        <v>0</v>
      </c>
      <c r="AO42" s="330"/>
      <c r="AP42" s="330"/>
    </row>
    <row r="43" spans="1:42" ht="30">
      <c r="A43" s="1665" t="s">
        <v>333</v>
      </c>
      <c r="B43" s="1666" t="s">
        <v>1492</v>
      </c>
      <c r="C43" s="1673" t="str">
        <f>'NSP Detailed Budget'!B283</f>
        <v>No. of person-months</v>
      </c>
      <c r="D43" s="1681">
        <f>'NSP Detailed Budget'!G283</f>
        <v>0</v>
      </c>
      <c r="E43" s="1681">
        <f>'NSP Detailed Budget'!H283</f>
        <v>0</v>
      </c>
      <c r="F43" s="1681">
        <f>'NSP Detailed Budget'!I283</f>
        <v>12</v>
      </c>
      <c r="G43" s="1681">
        <f>'NSP Detailed Budget'!J283</f>
        <v>0</v>
      </c>
      <c r="H43" s="1678" t="s">
        <v>1000</v>
      </c>
      <c r="I43" s="1679">
        <f>'NSP Detailed Budget'!G285</f>
        <v>0</v>
      </c>
      <c r="J43" s="1679">
        <f>'NSP Detailed Budget'!H285</f>
        <v>0</v>
      </c>
      <c r="K43" s="1679">
        <f>'NSP Detailed Budget'!I285</f>
        <v>7200</v>
      </c>
      <c r="L43" s="1679">
        <f>'NSP Detailed Budget'!J285</f>
        <v>0</v>
      </c>
      <c r="M43" s="1671">
        <f t="shared" ref="M43:M47" si="44">SUM(I43:L43)</f>
        <v>7200</v>
      </c>
      <c r="N43" s="1672"/>
      <c r="O43" s="1589"/>
      <c r="P43" s="1017"/>
      <c r="Q43" s="1017"/>
      <c r="R43" s="1115"/>
      <c r="S43" s="1017"/>
      <c r="T43" s="1018">
        <f t="shared" ref="T43:T47" si="45">SUM(P43:S43)</f>
        <v>0</v>
      </c>
      <c r="U43" s="1017"/>
      <c r="V43" s="1017"/>
      <c r="W43" s="1115"/>
      <c r="X43" s="1017"/>
      <c r="Y43" s="1018">
        <f t="shared" ref="Y43:Y47" si="46">SUM(U43:X43)</f>
        <v>0</v>
      </c>
      <c r="Z43" s="1017"/>
      <c r="AA43" s="1017"/>
      <c r="AB43" s="1115"/>
      <c r="AC43" s="1017"/>
      <c r="AD43" s="1018">
        <f t="shared" ref="AD43:AD47" si="47">SUM(Z43:AC43)</f>
        <v>0</v>
      </c>
      <c r="AE43" s="1017"/>
      <c r="AF43" s="1017"/>
      <c r="AG43" s="1115"/>
      <c r="AH43" s="1017"/>
      <c r="AI43" s="1018">
        <f t="shared" ref="AI43:AI47" si="48">SUM(AE43:AH43)</f>
        <v>0</v>
      </c>
      <c r="AJ43" s="1017"/>
      <c r="AK43" s="1017"/>
      <c r="AL43" s="1115"/>
      <c r="AM43" s="1017"/>
      <c r="AN43" s="1018">
        <f t="shared" ref="AN43:AN47" si="49">SUM(AJ43:AM43)</f>
        <v>0</v>
      </c>
      <c r="AO43" s="330"/>
      <c r="AP43" s="330"/>
    </row>
    <row r="44" spans="1:42" ht="45">
      <c r="A44" s="1695" t="s">
        <v>334</v>
      </c>
      <c r="B44" s="1673" t="s">
        <v>2106</v>
      </c>
      <c r="C44" s="1673" t="s">
        <v>2107</v>
      </c>
      <c r="D44" s="1681"/>
      <c r="E44" s="1681"/>
      <c r="F44" s="1681"/>
      <c r="G44" s="1681"/>
      <c r="H44" s="1696"/>
      <c r="I44" s="1697"/>
      <c r="J44" s="1697"/>
      <c r="K44" s="1697"/>
      <c r="L44" s="1697"/>
      <c r="M44" s="1672"/>
      <c r="N44" s="1672"/>
      <c r="O44" s="1589"/>
      <c r="P44" s="1590"/>
      <c r="Q44" s="1590"/>
      <c r="R44" s="1590"/>
      <c r="S44" s="1590"/>
      <c r="T44" s="1403"/>
      <c r="U44" s="1590"/>
      <c r="V44" s="1590"/>
      <c r="W44" s="1590"/>
      <c r="X44" s="1590"/>
      <c r="Y44" s="1403"/>
      <c r="Z44" s="1590"/>
      <c r="AA44" s="1590"/>
      <c r="AB44" s="1590"/>
      <c r="AC44" s="1590"/>
      <c r="AD44" s="1403"/>
      <c r="AE44" s="1590"/>
      <c r="AF44" s="1590"/>
      <c r="AG44" s="1590"/>
      <c r="AH44" s="1590"/>
      <c r="AI44" s="1403"/>
      <c r="AJ44" s="1590"/>
      <c r="AK44" s="1590"/>
      <c r="AL44" s="1590"/>
      <c r="AM44" s="1590"/>
      <c r="AN44" s="1403"/>
      <c r="AO44" s="330"/>
      <c r="AP44" s="330"/>
    </row>
    <row r="45" spans="1:42" ht="60">
      <c r="A45" s="1665" t="s">
        <v>335</v>
      </c>
      <c r="B45" s="1666" t="s">
        <v>1493</v>
      </c>
      <c r="C45" s="1673" t="s">
        <v>2105</v>
      </c>
      <c r="D45" s="1698">
        <f>'NSP Detailed Budget'!G299</f>
        <v>0.8</v>
      </c>
      <c r="E45" s="1698">
        <f>'NSP Detailed Budget'!H299</f>
        <v>0.8</v>
      </c>
      <c r="F45" s="1698">
        <f>'NSP Detailed Budget'!I299</f>
        <v>0.9</v>
      </c>
      <c r="G45" s="1698">
        <f>'NSP Detailed Budget'!J299</f>
        <v>0.95</v>
      </c>
      <c r="H45" s="1678" t="s">
        <v>156</v>
      </c>
      <c r="I45" s="1679">
        <f>'NSP Detailed Budget'!G290</f>
        <v>48000</v>
      </c>
      <c r="J45" s="1679">
        <f>'NSP Detailed Budget'!H290</f>
        <v>48000</v>
      </c>
      <c r="K45" s="1679">
        <f>'NSP Detailed Budget'!I290</f>
        <v>54000</v>
      </c>
      <c r="L45" s="1679">
        <f>'NSP Detailed Budget'!J290</f>
        <v>57000</v>
      </c>
      <c r="M45" s="1671">
        <f t="shared" si="44"/>
        <v>207000</v>
      </c>
      <c r="N45" s="1672"/>
      <c r="O45" s="1589"/>
      <c r="P45" s="1017"/>
      <c r="Q45" s="1017"/>
      <c r="R45" s="1115"/>
      <c r="S45" s="1017"/>
      <c r="T45" s="1018">
        <f t="shared" si="45"/>
        <v>0</v>
      </c>
      <c r="U45" s="1017"/>
      <c r="V45" s="1017"/>
      <c r="W45" s="1115"/>
      <c r="X45" s="1017"/>
      <c r="Y45" s="1018">
        <f t="shared" si="46"/>
        <v>0</v>
      </c>
      <c r="Z45" s="1017"/>
      <c r="AA45" s="1017"/>
      <c r="AB45" s="1115"/>
      <c r="AC45" s="1017"/>
      <c r="AD45" s="1018">
        <f t="shared" si="47"/>
        <v>0</v>
      </c>
      <c r="AE45" s="1017"/>
      <c r="AF45" s="1017"/>
      <c r="AG45" s="1115"/>
      <c r="AH45" s="1017"/>
      <c r="AI45" s="1018">
        <f t="shared" si="48"/>
        <v>0</v>
      </c>
      <c r="AJ45" s="1017"/>
      <c r="AK45" s="1017"/>
      <c r="AL45" s="1115"/>
      <c r="AM45" s="1017"/>
      <c r="AN45" s="1018">
        <f t="shared" si="49"/>
        <v>0</v>
      </c>
      <c r="AO45" s="330"/>
      <c r="AP45" s="330"/>
    </row>
    <row r="46" spans="1:42" hidden="1">
      <c r="A46" s="1665" t="s">
        <v>335</v>
      </c>
      <c r="B46" s="1666" t="s">
        <v>1818</v>
      </c>
      <c r="C46" s="1673"/>
      <c r="D46" s="1681"/>
      <c r="E46" s="1681"/>
      <c r="F46" s="1681"/>
      <c r="G46" s="1681"/>
      <c r="H46" s="1678" t="s">
        <v>156</v>
      </c>
      <c r="I46" s="1679">
        <f>'NSP Detailed Budget'!G295</f>
        <v>0</v>
      </c>
      <c r="J46" s="1679">
        <f>'NSP Detailed Budget'!H295</f>
        <v>0</v>
      </c>
      <c r="K46" s="1679">
        <f>'NSP Detailed Budget'!I295</f>
        <v>0</v>
      </c>
      <c r="L46" s="1679">
        <f>'NSP Detailed Budget'!J295</f>
        <v>0</v>
      </c>
      <c r="M46" s="1671">
        <f t="shared" si="44"/>
        <v>0</v>
      </c>
      <c r="N46" s="1672"/>
      <c r="O46" s="1589"/>
      <c r="P46" s="1017"/>
      <c r="Q46" s="1017"/>
      <c r="R46" s="1115"/>
      <c r="S46" s="1017"/>
      <c r="T46" s="1018">
        <f t="shared" si="45"/>
        <v>0</v>
      </c>
      <c r="U46" s="1017"/>
      <c r="V46" s="1017"/>
      <c r="W46" s="1115"/>
      <c r="X46" s="1017"/>
      <c r="Y46" s="1018">
        <f t="shared" si="46"/>
        <v>0</v>
      </c>
      <c r="Z46" s="1017"/>
      <c r="AA46" s="1017"/>
      <c r="AB46" s="1115"/>
      <c r="AC46" s="1017"/>
      <c r="AD46" s="1018">
        <f t="shared" si="47"/>
        <v>0</v>
      </c>
      <c r="AE46" s="1017"/>
      <c r="AF46" s="1017"/>
      <c r="AG46" s="1115"/>
      <c r="AH46" s="1017"/>
      <c r="AI46" s="1018">
        <f t="shared" si="48"/>
        <v>0</v>
      </c>
      <c r="AJ46" s="1017"/>
      <c r="AK46" s="1017"/>
      <c r="AL46" s="1115"/>
      <c r="AM46" s="1017"/>
      <c r="AN46" s="1018">
        <f t="shared" si="49"/>
        <v>0</v>
      </c>
      <c r="AO46" s="330"/>
      <c r="AP46" s="330"/>
    </row>
    <row r="47" spans="1:42" ht="30">
      <c r="A47" s="1665" t="s">
        <v>336</v>
      </c>
      <c r="B47" s="1666" t="s">
        <v>1494</v>
      </c>
      <c r="C47" s="1673" t="str">
        <f>'NSP Detailed Budget'!B299</f>
        <v>Coverage, %</v>
      </c>
      <c r="D47" s="1698">
        <f>'NSP Detailed Budget'!G289</f>
        <v>0.8</v>
      </c>
      <c r="E47" s="1698">
        <f>'NSP Detailed Budget'!H289</f>
        <v>0.8</v>
      </c>
      <c r="F47" s="1698">
        <f>'NSP Detailed Budget'!I289</f>
        <v>0.9</v>
      </c>
      <c r="G47" s="1698">
        <f>'NSP Detailed Budget'!J289</f>
        <v>0.95</v>
      </c>
      <c r="H47" s="1678" t="s">
        <v>770</v>
      </c>
      <c r="I47" s="1679">
        <f>'NSP Detailed Budget'!G300</f>
        <v>32000</v>
      </c>
      <c r="J47" s="1679">
        <f>'NSP Detailed Budget'!H300</f>
        <v>32000</v>
      </c>
      <c r="K47" s="1679">
        <f>'NSP Detailed Budget'!I300</f>
        <v>36000</v>
      </c>
      <c r="L47" s="1679">
        <f>'NSP Detailed Budget'!J300</f>
        <v>38000</v>
      </c>
      <c r="M47" s="1671">
        <f t="shared" si="44"/>
        <v>138000</v>
      </c>
      <c r="N47" s="1672"/>
      <c r="O47" s="1589"/>
      <c r="P47" s="1019"/>
      <c r="Q47" s="1019"/>
      <c r="R47" s="1118"/>
      <c r="S47" s="1017"/>
      <c r="T47" s="1018">
        <f t="shared" si="45"/>
        <v>0</v>
      </c>
      <c r="U47" s="1017"/>
      <c r="V47" s="1017"/>
      <c r="W47" s="1115"/>
      <c r="X47" s="1017"/>
      <c r="Y47" s="1018">
        <f t="shared" si="46"/>
        <v>0</v>
      </c>
      <c r="Z47" s="1017"/>
      <c r="AA47" s="1017"/>
      <c r="AB47" s="1115"/>
      <c r="AC47" s="1017"/>
      <c r="AD47" s="1018">
        <f t="shared" si="47"/>
        <v>0</v>
      </c>
      <c r="AE47" s="1017"/>
      <c r="AF47" s="1017"/>
      <c r="AG47" s="1115"/>
      <c r="AH47" s="1017"/>
      <c r="AI47" s="1018">
        <f t="shared" si="48"/>
        <v>0</v>
      </c>
      <c r="AJ47" s="1017"/>
      <c r="AK47" s="1017"/>
      <c r="AL47" s="1115"/>
      <c r="AM47" s="1017"/>
      <c r="AN47" s="1018">
        <f t="shared" si="49"/>
        <v>0</v>
      </c>
      <c r="AO47" s="330"/>
      <c r="AP47" s="330"/>
    </row>
    <row r="48" spans="1:42">
      <c r="A48" s="1657">
        <v>1.4</v>
      </c>
      <c r="B48" s="1658" t="s">
        <v>1249</v>
      </c>
      <c r="C48" s="1659"/>
      <c r="D48" s="1660"/>
      <c r="E48" s="1660"/>
      <c r="F48" s="1660"/>
      <c r="G48" s="1660"/>
      <c r="H48" s="1661"/>
      <c r="I48" s="1662">
        <f t="shared" ref="I48:AN48" si="50">SUM(I49:I50)</f>
        <v>1519614.2777148606</v>
      </c>
      <c r="J48" s="1662">
        <f t="shared" si="50"/>
        <v>1564925.5955077386</v>
      </c>
      <c r="K48" s="1662">
        <f t="shared" si="50"/>
        <v>1612502.4791902602</v>
      </c>
      <c r="L48" s="1662">
        <f t="shared" si="50"/>
        <v>1662458.2070569079</v>
      </c>
      <c r="M48" s="1663">
        <f t="shared" si="50"/>
        <v>6359500.5594697678</v>
      </c>
      <c r="N48" s="1664"/>
      <c r="O48" s="1598"/>
      <c r="P48" s="1015">
        <f t="shared" si="50"/>
        <v>0</v>
      </c>
      <c r="Q48" s="1015">
        <f t="shared" si="50"/>
        <v>0</v>
      </c>
      <c r="R48" s="1114"/>
      <c r="S48" s="1015">
        <f t="shared" si="50"/>
        <v>0</v>
      </c>
      <c r="T48" s="1016">
        <f t="shared" si="50"/>
        <v>0</v>
      </c>
      <c r="U48" s="1015">
        <f t="shared" si="50"/>
        <v>0</v>
      </c>
      <c r="V48" s="1015">
        <f t="shared" si="50"/>
        <v>0</v>
      </c>
      <c r="W48" s="1015">
        <f t="shared" si="50"/>
        <v>0</v>
      </c>
      <c r="X48" s="1015">
        <f t="shared" si="50"/>
        <v>0</v>
      </c>
      <c r="Y48" s="1016">
        <f t="shared" si="50"/>
        <v>0</v>
      </c>
      <c r="Z48" s="1015">
        <f t="shared" si="50"/>
        <v>0</v>
      </c>
      <c r="AA48" s="1015">
        <f t="shared" si="50"/>
        <v>0</v>
      </c>
      <c r="AB48" s="1114"/>
      <c r="AC48" s="1015">
        <f t="shared" si="50"/>
        <v>0</v>
      </c>
      <c r="AD48" s="1016">
        <f t="shared" si="50"/>
        <v>0</v>
      </c>
      <c r="AE48" s="1015">
        <f t="shared" si="50"/>
        <v>0</v>
      </c>
      <c r="AF48" s="1015">
        <f t="shared" si="50"/>
        <v>0</v>
      </c>
      <c r="AG48" s="1015">
        <f t="shared" si="50"/>
        <v>0</v>
      </c>
      <c r="AH48" s="1015">
        <f t="shared" si="50"/>
        <v>0</v>
      </c>
      <c r="AI48" s="1016">
        <f t="shared" si="50"/>
        <v>0</v>
      </c>
      <c r="AJ48" s="1015">
        <f t="shared" si="50"/>
        <v>0</v>
      </c>
      <c r="AK48" s="1015">
        <f t="shared" si="50"/>
        <v>0</v>
      </c>
      <c r="AL48" s="1015">
        <f t="shared" si="50"/>
        <v>0</v>
      </c>
      <c r="AM48" s="1015">
        <f t="shared" si="50"/>
        <v>0</v>
      </c>
      <c r="AN48" s="1016">
        <f t="shared" si="50"/>
        <v>0</v>
      </c>
      <c r="AO48" s="330"/>
      <c r="AP48" s="330"/>
    </row>
    <row r="49" spans="1:47" ht="30">
      <c r="A49" s="1665" t="s">
        <v>444</v>
      </c>
      <c r="B49" s="1686" t="s">
        <v>1498</v>
      </c>
      <c r="C49" s="1687" t="s">
        <v>2108</v>
      </c>
      <c r="D49" s="1699"/>
      <c r="E49" s="1699"/>
      <c r="F49" s="1699"/>
      <c r="G49" s="1699"/>
      <c r="H49" s="1678" t="s">
        <v>770</v>
      </c>
      <c r="I49" s="1679">
        <f>'NSP Detailed Budget'!G308</f>
        <v>613387.92185730452</v>
      </c>
      <c r="J49" s="1679">
        <f>'NSP Detailed Budget'!H308</f>
        <v>613387.92185730452</v>
      </c>
      <c r="K49" s="1679">
        <f>'NSP Detailed Budget'!I308</f>
        <v>613387.92185730452</v>
      </c>
      <c r="L49" s="1679">
        <f>'NSP Detailed Budget'!J308</f>
        <v>613387.92185730452</v>
      </c>
      <c r="M49" s="1671">
        <f>SUM(I49:L49)</f>
        <v>2453551.6874292181</v>
      </c>
      <c r="N49" s="1672"/>
      <c r="O49" s="1589"/>
      <c r="P49" s="1017"/>
      <c r="Q49" s="1017"/>
      <c r="R49" s="1115"/>
      <c r="S49" s="1017"/>
      <c r="T49" s="1018">
        <f>SUM(P49:S49)</f>
        <v>0</v>
      </c>
      <c r="U49" s="1017"/>
      <c r="V49" s="1017"/>
      <c r="W49" s="1115"/>
      <c r="X49" s="1017"/>
      <c r="Y49" s="1018">
        <f>SUM(U49:X49)</f>
        <v>0</v>
      </c>
      <c r="Z49" s="1017"/>
      <c r="AA49" s="1017"/>
      <c r="AB49" s="1115"/>
      <c r="AC49" s="1017"/>
      <c r="AD49" s="1018">
        <f>SUM(Z49:AC49)</f>
        <v>0</v>
      </c>
      <c r="AE49" s="1017"/>
      <c r="AF49" s="1017"/>
      <c r="AG49" s="1115"/>
      <c r="AH49" s="1017"/>
      <c r="AI49" s="1018">
        <f>SUM(AE49:AH49)</f>
        <v>0</v>
      </c>
      <c r="AJ49" s="1017"/>
      <c r="AK49" s="1017"/>
      <c r="AL49" s="1115"/>
      <c r="AM49" s="1017"/>
      <c r="AN49" s="1018">
        <f>SUM(AJ49:AM49)</f>
        <v>0</v>
      </c>
      <c r="AO49" s="330"/>
      <c r="AP49" s="330"/>
    </row>
    <row r="50" spans="1:47">
      <c r="A50" s="1665" t="s">
        <v>445</v>
      </c>
      <c r="B50" s="1686" t="s">
        <v>1499</v>
      </c>
      <c r="C50" s="1687" t="s">
        <v>2166</v>
      </c>
      <c r="D50" s="1699"/>
      <c r="E50" s="1699"/>
      <c r="F50" s="1699"/>
      <c r="G50" s="1699"/>
      <c r="H50" s="1678" t="s">
        <v>50</v>
      </c>
      <c r="I50" s="1679">
        <f>'NSP Detailed Budget'!G314</f>
        <v>906226.35585755622</v>
      </c>
      <c r="J50" s="1679">
        <f>'NSP Detailed Budget'!H314</f>
        <v>951537.67365043401</v>
      </c>
      <c r="K50" s="1679">
        <f>'NSP Detailed Budget'!I314</f>
        <v>999114.55733295577</v>
      </c>
      <c r="L50" s="1679">
        <f>'NSP Detailed Budget'!J314</f>
        <v>1049070.2851996035</v>
      </c>
      <c r="M50" s="1671">
        <f t="shared" ref="M50" si="51">SUM(I50:L50)</f>
        <v>3905948.8720405498</v>
      </c>
      <c r="N50" s="1672"/>
      <c r="O50" s="1589"/>
      <c r="P50" s="1017"/>
      <c r="Q50" s="1017"/>
      <c r="R50" s="1115"/>
      <c r="S50" s="1017"/>
      <c r="T50" s="1018">
        <f t="shared" ref="T50" si="52">SUM(P50:S50)</f>
        <v>0</v>
      </c>
      <c r="U50" s="1017"/>
      <c r="V50" s="1017"/>
      <c r="W50" s="1115"/>
      <c r="X50" s="1017"/>
      <c r="Y50" s="1018">
        <f t="shared" ref="Y50" si="53">SUM(U50:X50)</f>
        <v>0</v>
      </c>
      <c r="Z50" s="1017"/>
      <c r="AA50" s="1017"/>
      <c r="AB50" s="1115"/>
      <c r="AC50" s="1017"/>
      <c r="AD50" s="1018">
        <f t="shared" ref="AD50" si="54">SUM(Z50:AC50)</f>
        <v>0</v>
      </c>
      <c r="AE50" s="1017"/>
      <c r="AF50" s="1017"/>
      <c r="AG50" s="1115"/>
      <c r="AH50" s="1017"/>
      <c r="AI50" s="1018">
        <f t="shared" ref="AI50" si="55">SUM(AE50:AH50)</f>
        <v>0</v>
      </c>
      <c r="AJ50" s="1017"/>
      <c r="AK50" s="1017"/>
      <c r="AL50" s="1115"/>
      <c r="AM50" s="1017"/>
      <c r="AN50" s="1018">
        <f t="shared" ref="AN50" si="56">SUM(AJ50:AM50)</f>
        <v>0</v>
      </c>
      <c r="AO50" s="330"/>
      <c r="AP50" s="330"/>
    </row>
    <row r="51" spans="1:47" ht="47.25">
      <c r="A51" s="336">
        <v>2</v>
      </c>
      <c r="B51" s="1547" t="s">
        <v>1673</v>
      </c>
      <c r="C51" s="1526"/>
      <c r="D51" s="1538"/>
      <c r="E51" s="1538"/>
      <c r="F51" s="1538"/>
      <c r="G51" s="1538"/>
      <c r="H51" s="1548"/>
      <c r="I51" s="1549">
        <f>SUM(I52,I65,I73,I82,I86,I92)</f>
        <v>7211343.9588493779</v>
      </c>
      <c r="J51" s="1549">
        <f>SUM(J52,J65,J73,J82,J86,J92)</f>
        <v>6669293.0258493777</v>
      </c>
      <c r="K51" s="1549">
        <f>SUM(K52,K65,K73,K82,K86,K92)</f>
        <v>6652436.1338493768</v>
      </c>
      <c r="L51" s="1549">
        <f>SUM(L52,L65,L73,L82,L86,L92)</f>
        <v>6587102.4968493776</v>
      </c>
      <c r="M51" s="1700">
        <f>SUM(M52,M65,M73,M82,M86,M92)</f>
        <v>27120175.615397513</v>
      </c>
      <c r="N51" s="1701" t="s">
        <v>2162</v>
      </c>
      <c r="O51" s="1599"/>
      <c r="P51" s="1013">
        <f>'Govt &amp; External'!J110</f>
        <v>5539320</v>
      </c>
      <c r="Q51" s="1013">
        <f>'Govt &amp; External'!K110</f>
        <v>5415470</v>
      </c>
      <c r="R51" s="1013">
        <f>'Govt &amp; External'!L110</f>
        <v>5456580</v>
      </c>
      <c r="S51" s="1013">
        <f>'Govt &amp; External'!M110</f>
        <v>5455190</v>
      </c>
      <c r="T51" s="1014">
        <f>SUM(P51:S51)</f>
        <v>21866560</v>
      </c>
      <c r="U51" s="1219">
        <f>'NSP Detailed Budget'!Q111</f>
        <v>516137.13359999988</v>
      </c>
      <c r="V51" s="1219">
        <f>'NSP Detailed Budget'!R111</f>
        <v>384243.46</v>
      </c>
      <c r="W51" s="1219">
        <f>'NSP Detailed Budget'!S111</f>
        <v>384346.76</v>
      </c>
      <c r="X51" s="1219">
        <f>'NSP Detailed Budget'!T111</f>
        <v>298956.0959999999</v>
      </c>
      <c r="Y51" s="1014">
        <f>SUM(U51:X51)</f>
        <v>1583683.4495999999</v>
      </c>
      <c r="Z51" s="1013">
        <f>'Govt &amp; External'!J123</f>
        <v>256849.31506849316</v>
      </c>
      <c r="AA51" s="1013"/>
      <c r="AB51" s="1013"/>
      <c r="AC51" s="1013"/>
      <c r="AD51" s="1014">
        <f>SUM(Z51:AC51)</f>
        <v>256849.31506849316</v>
      </c>
      <c r="AE51" s="1013">
        <f>U51+Z51</f>
        <v>772986.44866849307</v>
      </c>
      <c r="AF51" s="1013">
        <f t="shared" ref="AF51:AH51" si="57">V51+AA51</f>
        <v>384243.46</v>
      </c>
      <c r="AG51" s="1013">
        <f t="shared" si="57"/>
        <v>384346.76</v>
      </c>
      <c r="AH51" s="1013">
        <f t="shared" si="57"/>
        <v>298956.0959999999</v>
      </c>
      <c r="AI51" s="1014">
        <f>SUM(AE51:AH51)</f>
        <v>1840532.7646684931</v>
      </c>
      <c r="AJ51" s="1013">
        <f>I51-SUM(P51,AE51)</f>
        <v>899037.51018088497</v>
      </c>
      <c r="AK51" s="1013">
        <f>J51-SUM(Q51,AF51)</f>
        <v>869579.56584937777</v>
      </c>
      <c r="AL51" s="1013">
        <f>K51-SUM(R51,AG51)</f>
        <v>811509.37384937704</v>
      </c>
      <c r="AM51" s="1013">
        <f>L51-SUM(S51,AH51)</f>
        <v>832956.40084937774</v>
      </c>
      <c r="AN51" s="1014">
        <f>SUM(AJ51:AM51)</f>
        <v>3413082.8507290175</v>
      </c>
      <c r="AO51" s="822"/>
      <c r="AP51" s="330"/>
      <c r="AQ51" s="995"/>
      <c r="AR51" s="995"/>
      <c r="AS51" s="995"/>
      <c r="AT51" s="995"/>
      <c r="AU51" s="995"/>
    </row>
    <row r="52" spans="1:47">
      <c r="A52" s="1657">
        <v>2.1</v>
      </c>
      <c r="B52" s="1658" t="s">
        <v>1250</v>
      </c>
      <c r="C52" s="1659"/>
      <c r="D52" s="1660"/>
      <c r="E52" s="1660"/>
      <c r="F52" s="1660"/>
      <c r="G52" s="1660"/>
      <c r="H52" s="1661"/>
      <c r="I52" s="1662">
        <f>SUM(I53:I64)</f>
        <v>1157423.6000000001</v>
      </c>
      <c r="J52" s="1662">
        <f t="shared" ref="J52:L52" si="58">SUM(J53:J64)</f>
        <v>1140783.2</v>
      </c>
      <c r="K52" s="1662">
        <f t="shared" si="58"/>
        <v>1117825.2</v>
      </c>
      <c r="L52" s="1662">
        <f t="shared" si="58"/>
        <v>1095583.3999999999</v>
      </c>
      <c r="M52" s="1663">
        <f>SUM(M53:M64)</f>
        <v>4511615.4000000004</v>
      </c>
      <c r="N52" s="1664"/>
      <c r="O52" s="1598"/>
      <c r="P52" s="1015">
        <f>SUM(P53:P64)</f>
        <v>0</v>
      </c>
      <c r="Q52" s="1015">
        <f t="shared" ref="Q52:S52" si="59">SUM(Q53:Q64)</f>
        <v>0</v>
      </c>
      <c r="R52" s="1114"/>
      <c r="S52" s="1015">
        <f t="shared" si="59"/>
        <v>0</v>
      </c>
      <c r="T52" s="1016">
        <f>SUM(T53:T64)</f>
        <v>0</v>
      </c>
      <c r="U52" s="1015">
        <f t="shared" ref="U52:AN52" si="60">SUM(U53:U63)</f>
        <v>0</v>
      </c>
      <c r="V52" s="1015">
        <f t="shared" si="60"/>
        <v>0</v>
      </c>
      <c r="W52" s="1015">
        <f t="shared" si="60"/>
        <v>0</v>
      </c>
      <c r="X52" s="1015">
        <f t="shared" si="60"/>
        <v>0</v>
      </c>
      <c r="Y52" s="1016">
        <f t="shared" si="60"/>
        <v>0</v>
      </c>
      <c r="Z52" s="1015">
        <f t="shared" si="60"/>
        <v>0</v>
      </c>
      <c r="AA52" s="1015">
        <f t="shared" si="60"/>
        <v>0</v>
      </c>
      <c r="AB52" s="1114"/>
      <c r="AC52" s="1015">
        <f t="shared" si="60"/>
        <v>0</v>
      </c>
      <c r="AD52" s="1016">
        <f t="shared" si="60"/>
        <v>0</v>
      </c>
      <c r="AE52" s="1015">
        <f t="shared" si="60"/>
        <v>0</v>
      </c>
      <c r="AF52" s="1015">
        <f t="shared" si="60"/>
        <v>0</v>
      </c>
      <c r="AG52" s="1015">
        <f t="shared" si="60"/>
        <v>0</v>
      </c>
      <c r="AH52" s="1015">
        <f t="shared" si="60"/>
        <v>0</v>
      </c>
      <c r="AI52" s="1016">
        <f t="shared" si="60"/>
        <v>0</v>
      </c>
      <c r="AJ52" s="1015">
        <f t="shared" si="60"/>
        <v>0</v>
      </c>
      <c r="AK52" s="1015">
        <f t="shared" si="60"/>
        <v>0</v>
      </c>
      <c r="AL52" s="1015">
        <f t="shared" si="60"/>
        <v>0</v>
      </c>
      <c r="AM52" s="1015">
        <f t="shared" si="60"/>
        <v>0</v>
      </c>
      <c r="AN52" s="1016">
        <f t="shared" si="60"/>
        <v>0</v>
      </c>
      <c r="AO52" s="330"/>
      <c r="AP52" s="330"/>
    </row>
    <row r="53" spans="1:47" ht="12.75" customHeight="1">
      <c r="A53" s="1665" t="s">
        <v>342</v>
      </c>
      <c r="B53" s="1666" t="s">
        <v>1369</v>
      </c>
      <c r="C53" s="1682" t="s">
        <v>2109</v>
      </c>
      <c r="D53" s="1685">
        <f>'NSP Detailed Budget'!G320</f>
        <v>2296</v>
      </c>
      <c r="E53" s="1685">
        <f>'NSP Detailed Budget'!H320</f>
        <v>2212</v>
      </c>
      <c r="F53" s="1685">
        <f>'NSP Detailed Budget'!I320</f>
        <v>2142</v>
      </c>
      <c r="G53" s="1685">
        <f>'NSP Detailed Budget'!J320</f>
        <v>2084</v>
      </c>
      <c r="H53" s="1678" t="s">
        <v>1005</v>
      </c>
      <c r="I53" s="1679">
        <f>'NSP Detailed Budget'!G321</f>
        <v>81737.600000000006</v>
      </c>
      <c r="J53" s="1679">
        <f>'NSP Detailed Budget'!H321</f>
        <v>78747.199999999997</v>
      </c>
      <c r="K53" s="1679">
        <f>'NSP Detailed Budget'!I321</f>
        <v>76255.199999999997</v>
      </c>
      <c r="L53" s="1679">
        <f>'NSP Detailed Budget'!J321</f>
        <v>74190.400000000009</v>
      </c>
      <c r="M53" s="1671">
        <f>SUM(I53:L53)</f>
        <v>310930.40000000002</v>
      </c>
      <c r="N53" s="1672"/>
      <c r="O53" s="1589"/>
      <c r="P53" s="1017"/>
      <c r="Q53" s="1017"/>
      <c r="R53" s="1115"/>
      <c r="S53" s="1017"/>
      <c r="T53" s="1018">
        <f>SUM(P53:S53)</f>
        <v>0</v>
      </c>
      <c r="U53" s="1017"/>
      <c r="V53" s="1017"/>
      <c r="W53" s="1115"/>
      <c r="X53" s="1017"/>
      <c r="Y53" s="1018">
        <f>SUM(U53:X53)</f>
        <v>0</v>
      </c>
      <c r="Z53" s="1017"/>
      <c r="AA53" s="1017"/>
      <c r="AB53" s="1115"/>
      <c r="AC53" s="1017"/>
      <c r="AD53" s="1018">
        <f>SUM(Z53:AC53)</f>
        <v>0</v>
      </c>
      <c r="AE53" s="1017"/>
      <c r="AF53" s="1017"/>
      <c r="AG53" s="1115"/>
      <c r="AH53" s="1017"/>
      <c r="AI53" s="1018">
        <f>SUM(AE53:AH53)</f>
        <v>0</v>
      </c>
      <c r="AJ53" s="1017"/>
      <c r="AK53" s="1017"/>
      <c r="AL53" s="1115"/>
      <c r="AM53" s="1017"/>
      <c r="AN53" s="1018">
        <f>SUM(AJ53:AM53)</f>
        <v>0</v>
      </c>
      <c r="AO53" s="330"/>
      <c r="AP53" s="330"/>
    </row>
    <row r="54" spans="1:47" ht="30">
      <c r="A54" s="1665" t="s">
        <v>343</v>
      </c>
      <c r="B54" s="1666" t="s">
        <v>1370</v>
      </c>
      <c r="C54" s="1682" t="s">
        <v>2109</v>
      </c>
      <c r="D54" s="1685">
        <f>'NSP Detailed Budget'!G325</f>
        <v>94</v>
      </c>
      <c r="E54" s="1685">
        <f>'NSP Detailed Budget'!H325</f>
        <v>84</v>
      </c>
      <c r="F54" s="1685">
        <f>'NSP Detailed Budget'!I325</f>
        <v>80</v>
      </c>
      <c r="G54" s="1685">
        <f>'NSP Detailed Budget'!J325</f>
        <v>77</v>
      </c>
      <c r="H54" s="1678" t="s">
        <v>1005</v>
      </c>
      <c r="I54" s="1679">
        <f>'NSP Detailed Budget'!G326</f>
        <v>27166</v>
      </c>
      <c r="J54" s="1679">
        <f>'NSP Detailed Budget'!H326</f>
        <v>24276</v>
      </c>
      <c r="K54" s="1679">
        <f>'NSP Detailed Budget'!I326</f>
        <v>23120</v>
      </c>
      <c r="L54" s="1679">
        <f>'NSP Detailed Budget'!J326</f>
        <v>22253</v>
      </c>
      <c r="M54" s="1671">
        <f t="shared" ref="M54" si="61">SUM(I54:L54)</f>
        <v>96815</v>
      </c>
      <c r="N54" s="1672"/>
      <c r="O54" s="1589"/>
      <c r="P54" s="1017"/>
      <c r="Q54" s="1017"/>
      <c r="R54" s="1115"/>
      <c r="S54" s="1017"/>
      <c r="T54" s="1018">
        <f t="shared" ref="T54" si="62">SUM(P54:S54)</f>
        <v>0</v>
      </c>
      <c r="U54" s="1017"/>
      <c r="V54" s="1017"/>
      <c r="W54" s="1115"/>
      <c r="X54" s="1017"/>
      <c r="Y54" s="1018">
        <f t="shared" ref="Y54" si="63">SUM(U54:X54)</f>
        <v>0</v>
      </c>
      <c r="Z54" s="1017"/>
      <c r="AA54" s="1017"/>
      <c r="AB54" s="1115"/>
      <c r="AC54" s="1017"/>
      <c r="AD54" s="1018">
        <f t="shared" ref="AD54" si="64">SUM(Z54:AC54)</f>
        <v>0</v>
      </c>
      <c r="AE54" s="1017"/>
      <c r="AF54" s="1017"/>
      <c r="AG54" s="1115"/>
      <c r="AH54" s="1017"/>
      <c r="AI54" s="1018">
        <f t="shared" ref="AI54" si="65">SUM(AE54:AH54)</f>
        <v>0</v>
      </c>
      <c r="AJ54" s="1017"/>
      <c r="AK54" s="1017"/>
      <c r="AL54" s="1115"/>
      <c r="AM54" s="1017"/>
      <c r="AN54" s="1018">
        <f t="shared" ref="AN54" si="66">SUM(AJ54:AM54)</f>
        <v>0</v>
      </c>
      <c r="AO54" s="330"/>
      <c r="AP54" s="330"/>
    </row>
    <row r="55" spans="1:47" ht="30">
      <c r="A55" s="1665" t="s">
        <v>344</v>
      </c>
      <c r="B55" s="1666" t="s">
        <v>1371</v>
      </c>
      <c r="C55" s="1682" t="s">
        <v>2109</v>
      </c>
      <c r="D55" s="1685">
        <f>'NSP Detailed Budget'!G330</f>
        <v>233</v>
      </c>
      <c r="E55" s="1685">
        <f>'NSP Detailed Budget'!H330</f>
        <v>228</v>
      </c>
      <c r="F55" s="1685">
        <f>'NSP Detailed Budget'!I330</f>
        <v>224</v>
      </c>
      <c r="G55" s="1685">
        <f>'NSP Detailed Budget'!J330</f>
        <v>220</v>
      </c>
      <c r="H55" s="1678" t="s">
        <v>1005</v>
      </c>
      <c r="I55" s="1679">
        <f>'NSP Detailed Budget'!G331</f>
        <v>445030</v>
      </c>
      <c r="J55" s="1679">
        <f>'NSP Detailed Budget'!H331</f>
        <v>435480</v>
      </c>
      <c r="K55" s="1679">
        <f>'NSP Detailed Budget'!I331</f>
        <v>427840</v>
      </c>
      <c r="L55" s="1679">
        <f>'NSP Detailed Budget'!J331</f>
        <v>420200</v>
      </c>
      <c r="M55" s="1671">
        <f>SUM(I55:L55)</f>
        <v>1728550</v>
      </c>
      <c r="N55" s="1672"/>
      <c r="O55" s="1589"/>
      <c r="P55" s="1017"/>
      <c r="Q55" s="1017"/>
      <c r="R55" s="1115"/>
      <c r="S55" s="1017"/>
      <c r="T55" s="1018">
        <f>SUM(P55:S55)</f>
        <v>0</v>
      </c>
      <c r="U55" s="1017"/>
      <c r="V55" s="1017"/>
      <c r="W55" s="1115"/>
      <c r="X55" s="1017"/>
      <c r="Y55" s="1018">
        <f>SUM(U55:X55)</f>
        <v>0</v>
      </c>
      <c r="Z55" s="1017"/>
      <c r="AA55" s="1017"/>
      <c r="AB55" s="1115"/>
      <c r="AC55" s="1017"/>
      <c r="AD55" s="1018">
        <f>SUM(Z55:AC55)</f>
        <v>0</v>
      </c>
      <c r="AE55" s="1017"/>
      <c r="AF55" s="1017"/>
      <c r="AG55" s="1115"/>
      <c r="AH55" s="1017"/>
      <c r="AI55" s="1018">
        <f>SUM(AE55:AH55)</f>
        <v>0</v>
      </c>
      <c r="AJ55" s="1017"/>
      <c r="AK55" s="1017"/>
      <c r="AL55" s="1115"/>
      <c r="AM55" s="1017"/>
      <c r="AN55" s="1018">
        <f>SUM(AJ55:AM55)</f>
        <v>0</v>
      </c>
      <c r="AO55" s="330"/>
      <c r="AP55" s="330"/>
    </row>
    <row r="56" spans="1:47" ht="30">
      <c r="A56" s="1665" t="s">
        <v>345</v>
      </c>
      <c r="B56" s="1666" t="s">
        <v>1372</v>
      </c>
      <c r="C56" s="1682" t="s">
        <v>2109</v>
      </c>
      <c r="D56" s="1685">
        <f>'NSP Detailed Budget'!G335</f>
        <v>26</v>
      </c>
      <c r="E56" s="1685">
        <f>'NSP Detailed Budget'!H335</f>
        <v>25</v>
      </c>
      <c r="F56" s="1685">
        <f>'NSP Detailed Budget'!I335</f>
        <v>25</v>
      </c>
      <c r="G56" s="1685">
        <f>'NSP Detailed Budget'!J335</f>
        <v>25</v>
      </c>
      <c r="H56" s="1678" t="s">
        <v>1005</v>
      </c>
      <c r="I56" s="1679">
        <f>'NSP Detailed Budget'!G336</f>
        <v>31460</v>
      </c>
      <c r="J56" s="1679">
        <f>'NSP Detailed Budget'!H336</f>
        <v>30250</v>
      </c>
      <c r="K56" s="1679">
        <f>'NSP Detailed Budget'!I336</f>
        <v>30250</v>
      </c>
      <c r="L56" s="1679">
        <f>'NSP Detailed Budget'!J336</f>
        <v>30250</v>
      </c>
      <c r="M56" s="1671">
        <f t="shared" ref="M56:M57" si="67">SUM(I56:L56)</f>
        <v>122210</v>
      </c>
      <c r="N56" s="1672"/>
      <c r="O56" s="1589"/>
      <c r="P56" s="1017"/>
      <c r="Q56" s="1017"/>
      <c r="R56" s="1115"/>
      <c r="S56" s="1017"/>
      <c r="T56" s="1018">
        <f t="shared" ref="T56:T57" si="68">SUM(P56:S56)</f>
        <v>0</v>
      </c>
      <c r="U56" s="1017"/>
      <c r="V56" s="1017"/>
      <c r="W56" s="1115"/>
      <c r="X56" s="1017"/>
      <c r="Y56" s="1018">
        <f t="shared" ref="Y56:Y57" si="69">SUM(U56:X56)</f>
        <v>0</v>
      </c>
      <c r="Z56" s="1017"/>
      <c r="AA56" s="1017"/>
      <c r="AB56" s="1115"/>
      <c r="AC56" s="1017"/>
      <c r="AD56" s="1018">
        <f t="shared" ref="AD56:AD57" si="70">SUM(Z56:AC56)</f>
        <v>0</v>
      </c>
      <c r="AE56" s="1017"/>
      <c r="AF56" s="1017"/>
      <c r="AG56" s="1115"/>
      <c r="AH56" s="1017"/>
      <c r="AI56" s="1018">
        <f t="shared" ref="AI56:AI57" si="71">SUM(AE56:AH56)</f>
        <v>0</v>
      </c>
      <c r="AJ56" s="1017"/>
      <c r="AK56" s="1017"/>
      <c r="AL56" s="1115"/>
      <c r="AM56" s="1017"/>
      <c r="AN56" s="1018">
        <f t="shared" ref="AN56:AN57" si="72">SUM(AJ56:AM56)</f>
        <v>0</v>
      </c>
      <c r="AO56" s="330"/>
      <c r="AP56" s="330"/>
    </row>
    <row r="57" spans="1:47" ht="30">
      <c r="A57" s="1665" t="s">
        <v>346</v>
      </c>
      <c r="B57" s="1666" t="s">
        <v>1373</v>
      </c>
      <c r="C57" s="1682" t="s">
        <v>2109</v>
      </c>
      <c r="D57" s="1685">
        <f>'NSP Detailed Budget'!G340</f>
        <v>127</v>
      </c>
      <c r="E57" s="1685">
        <f>'NSP Detailed Budget'!H340</f>
        <v>127</v>
      </c>
      <c r="F57" s="1685">
        <f>'NSP Detailed Budget'!I340</f>
        <v>124</v>
      </c>
      <c r="G57" s="1685">
        <f>'NSP Detailed Budget'!J340</f>
        <v>121</v>
      </c>
      <c r="H57" s="1678" t="s">
        <v>1005</v>
      </c>
      <c r="I57" s="1679">
        <f>'NSP Detailed Budget'!G341</f>
        <v>494030</v>
      </c>
      <c r="J57" s="1679">
        <f>'NSP Detailed Budget'!H341</f>
        <v>494030</v>
      </c>
      <c r="K57" s="1679">
        <f>'NSP Detailed Budget'!I341</f>
        <v>482360</v>
      </c>
      <c r="L57" s="1679">
        <f>'NSP Detailed Budget'!J341</f>
        <v>470690</v>
      </c>
      <c r="M57" s="1671">
        <f t="shared" si="67"/>
        <v>1941110</v>
      </c>
      <c r="N57" s="1672"/>
      <c r="O57" s="1589"/>
      <c r="P57" s="1017"/>
      <c r="Q57" s="1017"/>
      <c r="R57" s="1115"/>
      <c r="S57" s="1017"/>
      <c r="T57" s="1018">
        <f t="shared" si="68"/>
        <v>0</v>
      </c>
      <c r="U57" s="1017"/>
      <c r="V57" s="1017"/>
      <c r="W57" s="1115"/>
      <c r="X57" s="1017"/>
      <c r="Y57" s="1018">
        <f t="shared" si="69"/>
        <v>0</v>
      </c>
      <c r="Z57" s="1017"/>
      <c r="AA57" s="1017"/>
      <c r="AB57" s="1115"/>
      <c r="AC57" s="1017"/>
      <c r="AD57" s="1018">
        <f t="shared" si="70"/>
        <v>0</v>
      </c>
      <c r="AE57" s="1017"/>
      <c r="AF57" s="1017"/>
      <c r="AG57" s="1115"/>
      <c r="AH57" s="1017"/>
      <c r="AI57" s="1018">
        <f t="shared" si="71"/>
        <v>0</v>
      </c>
      <c r="AJ57" s="1017"/>
      <c r="AK57" s="1017"/>
      <c r="AL57" s="1115"/>
      <c r="AM57" s="1017"/>
      <c r="AN57" s="1018">
        <f t="shared" si="72"/>
        <v>0</v>
      </c>
      <c r="AO57" s="330"/>
      <c r="AP57" s="330"/>
    </row>
    <row r="58" spans="1:47" ht="30">
      <c r="A58" s="1665" t="s">
        <v>347</v>
      </c>
      <c r="B58" s="1666" t="s">
        <v>1382</v>
      </c>
      <c r="C58" s="1682" t="s">
        <v>2110</v>
      </c>
      <c r="D58" s="1677">
        <v>1</v>
      </c>
      <c r="E58" s="1677">
        <v>1</v>
      </c>
      <c r="F58" s="1677">
        <v>1</v>
      </c>
      <c r="G58" s="1677">
        <v>1</v>
      </c>
      <c r="H58" s="1678" t="s">
        <v>1631</v>
      </c>
      <c r="I58" s="1679">
        <f>'NSP Detailed Budget'!G345</f>
        <v>6000</v>
      </c>
      <c r="J58" s="1679">
        <f>'NSP Detailed Budget'!H345</f>
        <v>6000</v>
      </c>
      <c r="K58" s="1679">
        <f>'NSP Detailed Budget'!I345</f>
        <v>6000</v>
      </c>
      <c r="L58" s="1679">
        <f>'NSP Detailed Budget'!J345</f>
        <v>6000</v>
      </c>
      <c r="M58" s="1671">
        <f>SUM(I58:L58)</f>
        <v>24000</v>
      </c>
      <c r="N58" s="1672"/>
      <c r="O58" s="1589"/>
      <c r="P58" s="1017"/>
      <c r="Q58" s="1017"/>
      <c r="R58" s="1115"/>
      <c r="S58" s="1017"/>
      <c r="T58" s="1018">
        <f>SUM(P58:S58)</f>
        <v>0</v>
      </c>
      <c r="U58" s="1017"/>
      <c r="V58" s="1017"/>
      <c r="W58" s="1115"/>
      <c r="X58" s="1017"/>
      <c r="Y58" s="1018">
        <f>SUM(U58:X58)</f>
        <v>0</v>
      </c>
      <c r="Z58" s="1017"/>
      <c r="AA58" s="1017"/>
      <c r="AB58" s="1115"/>
      <c r="AC58" s="1017"/>
      <c r="AD58" s="1018">
        <f>SUM(Z58:AC58)</f>
        <v>0</v>
      </c>
      <c r="AE58" s="1017"/>
      <c r="AF58" s="1017"/>
      <c r="AG58" s="1115"/>
      <c r="AH58" s="1017"/>
      <c r="AI58" s="1018">
        <f>SUM(AE58:AH58)</f>
        <v>0</v>
      </c>
      <c r="AJ58" s="1017"/>
      <c r="AK58" s="1017"/>
      <c r="AL58" s="1115"/>
      <c r="AM58" s="1017"/>
      <c r="AN58" s="1018">
        <f>SUM(AJ58:AM58)</f>
        <v>0</v>
      </c>
      <c r="AO58" s="330"/>
      <c r="AP58" s="330"/>
    </row>
    <row r="59" spans="1:47" ht="30">
      <c r="A59" s="1665" t="s">
        <v>348</v>
      </c>
      <c r="B59" s="1666" t="s">
        <v>2163</v>
      </c>
      <c r="C59" s="1682" t="str">
        <f>'NSP Detailed Budget'!B349</f>
        <v>Number of TA units</v>
      </c>
      <c r="D59" s="1677">
        <v>1</v>
      </c>
      <c r="E59" s="1677">
        <v>1</v>
      </c>
      <c r="F59" s="1677">
        <v>1</v>
      </c>
      <c r="G59" s="1677">
        <v>1</v>
      </c>
      <c r="H59" s="1678" t="s">
        <v>998</v>
      </c>
      <c r="I59" s="1679">
        <f>'NSP Detailed Budget'!G350</f>
        <v>15000</v>
      </c>
      <c r="J59" s="1679">
        <f>'NSP Detailed Budget'!H350</f>
        <v>15000</v>
      </c>
      <c r="K59" s="1679">
        <f>'NSP Detailed Budget'!I350</f>
        <v>15000</v>
      </c>
      <c r="L59" s="1679">
        <f>'NSP Detailed Budget'!J350</f>
        <v>15000</v>
      </c>
      <c r="M59" s="1671">
        <f t="shared" ref="M59:M60" si="73">SUM(I59:L59)</f>
        <v>60000</v>
      </c>
      <c r="N59" s="1672"/>
      <c r="O59" s="1589"/>
      <c r="P59" s="1017"/>
      <c r="Q59" s="1017"/>
      <c r="R59" s="1115"/>
      <c r="S59" s="1017"/>
      <c r="T59" s="1018">
        <f t="shared" ref="T59:T60" si="74">SUM(P59:S59)</f>
        <v>0</v>
      </c>
      <c r="U59" s="1017"/>
      <c r="V59" s="1017"/>
      <c r="W59" s="1115"/>
      <c r="X59" s="1017"/>
      <c r="Y59" s="1018">
        <f t="shared" ref="Y59:Y60" si="75">SUM(U59:X59)</f>
        <v>0</v>
      </c>
      <c r="Z59" s="1017"/>
      <c r="AA59" s="1017"/>
      <c r="AB59" s="1115"/>
      <c r="AC59" s="1017"/>
      <c r="AD59" s="1018">
        <f t="shared" ref="AD59:AD60" si="76">SUM(Z59:AC59)</f>
        <v>0</v>
      </c>
      <c r="AE59" s="1017"/>
      <c r="AF59" s="1017"/>
      <c r="AG59" s="1115"/>
      <c r="AH59" s="1017"/>
      <c r="AI59" s="1018">
        <f t="shared" ref="AI59:AI60" si="77">SUM(AE59:AH59)</f>
        <v>0</v>
      </c>
      <c r="AJ59" s="1017"/>
      <c r="AK59" s="1017"/>
      <c r="AL59" s="1115"/>
      <c r="AM59" s="1017"/>
      <c r="AN59" s="1018">
        <f t="shared" ref="AN59:AN60" si="78">SUM(AJ59:AM59)</f>
        <v>0</v>
      </c>
      <c r="AO59" s="330"/>
      <c r="AP59" s="330"/>
    </row>
    <row r="60" spans="1:47" ht="30">
      <c r="A60" s="1665" t="s">
        <v>349</v>
      </c>
      <c r="B60" s="1666" t="s">
        <v>1446</v>
      </c>
      <c r="C60" s="1682" t="str">
        <f>'NSP Detailed Budget'!B353</f>
        <v>No. of person-months</v>
      </c>
      <c r="D60" s="1677">
        <v>12</v>
      </c>
      <c r="E60" s="1677">
        <v>12</v>
      </c>
      <c r="F60" s="1677">
        <v>12</v>
      </c>
      <c r="G60" s="1677">
        <v>12</v>
      </c>
      <c r="H60" s="1678" t="s">
        <v>1000</v>
      </c>
      <c r="I60" s="1679">
        <f>'NSP Detailed Budget'!G355</f>
        <v>7200</v>
      </c>
      <c r="J60" s="1679">
        <f>'NSP Detailed Budget'!H355</f>
        <v>7200</v>
      </c>
      <c r="K60" s="1679">
        <f>'NSP Detailed Budget'!I355</f>
        <v>7200</v>
      </c>
      <c r="L60" s="1679">
        <f>'NSP Detailed Budget'!J355</f>
        <v>7200</v>
      </c>
      <c r="M60" s="1671">
        <f t="shared" si="73"/>
        <v>28800</v>
      </c>
      <c r="N60" s="1672"/>
      <c r="O60" s="1589"/>
      <c r="P60" s="1017"/>
      <c r="Q60" s="1017"/>
      <c r="R60" s="1115"/>
      <c r="S60" s="1017"/>
      <c r="T60" s="1018">
        <f t="shared" si="74"/>
        <v>0</v>
      </c>
      <c r="U60" s="1017"/>
      <c r="V60" s="1017"/>
      <c r="W60" s="1115"/>
      <c r="X60" s="1017"/>
      <c r="Y60" s="1018">
        <f t="shared" si="75"/>
        <v>0</v>
      </c>
      <c r="Z60" s="1017"/>
      <c r="AA60" s="1017"/>
      <c r="AB60" s="1115"/>
      <c r="AC60" s="1017"/>
      <c r="AD60" s="1018">
        <f t="shared" si="76"/>
        <v>0</v>
      </c>
      <c r="AE60" s="1017"/>
      <c r="AF60" s="1017"/>
      <c r="AG60" s="1115"/>
      <c r="AH60" s="1017"/>
      <c r="AI60" s="1018">
        <f t="shared" si="77"/>
        <v>0</v>
      </c>
      <c r="AJ60" s="1017"/>
      <c r="AK60" s="1017"/>
      <c r="AL60" s="1115"/>
      <c r="AM60" s="1017"/>
      <c r="AN60" s="1018">
        <f t="shared" si="78"/>
        <v>0</v>
      </c>
      <c r="AO60" s="330"/>
      <c r="AP60" s="330"/>
    </row>
    <row r="61" spans="1:47" ht="30">
      <c r="A61" s="1665" t="s">
        <v>1367</v>
      </c>
      <c r="B61" s="1666" t="s">
        <v>1447</v>
      </c>
      <c r="C61" s="1682" t="str">
        <f>'NSP Detailed Budget'!B359</f>
        <v>No. of person-events</v>
      </c>
      <c r="D61" s="1677">
        <v>2</v>
      </c>
      <c r="E61" s="1677">
        <v>2</v>
      </c>
      <c r="F61" s="1677">
        <v>2</v>
      </c>
      <c r="G61" s="1677">
        <v>2</v>
      </c>
      <c r="H61" s="1678" t="s">
        <v>1002</v>
      </c>
      <c r="I61" s="1679">
        <f>'NSP Detailed Budget'!G360</f>
        <v>7200</v>
      </c>
      <c r="J61" s="1679">
        <f>'NSP Detailed Budget'!H360</f>
        <v>7200</v>
      </c>
      <c r="K61" s="1679">
        <f>'NSP Detailed Budget'!I360</f>
        <v>7200</v>
      </c>
      <c r="L61" s="1679">
        <f>'NSP Detailed Budget'!J360</f>
        <v>7200</v>
      </c>
      <c r="M61" s="1671">
        <f>SUM(I61:L61)</f>
        <v>28800</v>
      </c>
      <c r="N61" s="1672"/>
      <c r="O61" s="1589"/>
      <c r="P61" s="1017"/>
      <c r="Q61" s="1017"/>
      <c r="R61" s="1115"/>
      <c r="S61" s="1017"/>
      <c r="T61" s="1018">
        <f>SUM(P61:S61)</f>
        <v>0</v>
      </c>
      <c r="U61" s="1017"/>
      <c r="V61" s="1017"/>
      <c r="W61" s="1115"/>
      <c r="X61" s="1017"/>
      <c r="Y61" s="1018">
        <f>SUM(U61:X61)</f>
        <v>0</v>
      </c>
      <c r="Z61" s="1017"/>
      <c r="AA61" s="1017"/>
      <c r="AB61" s="1115"/>
      <c r="AC61" s="1017"/>
      <c r="AD61" s="1018">
        <f>SUM(Z61:AC61)</f>
        <v>0</v>
      </c>
      <c r="AE61" s="1017"/>
      <c r="AF61" s="1017"/>
      <c r="AG61" s="1115"/>
      <c r="AH61" s="1017"/>
      <c r="AI61" s="1018">
        <f>SUM(AE61:AH61)</f>
        <v>0</v>
      </c>
      <c r="AJ61" s="1017"/>
      <c r="AK61" s="1017"/>
      <c r="AL61" s="1115"/>
      <c r="AM61" s="1017"/>
      <c r="AN61" s="1018">
        <f>SUM(AJ61:AM61)</f>
        <v>0</v>
      </c>
      <c r="AO61" s="330"/>
      <c r="AP61" s="330"/>
    </row>
    <row r="62" spans="1:47" ht="45">
      <c r="A62" s="1665" t="s">
        <v>1256</v>
      </c>
      <c r="B62" s="1666" t="s">
        <v>1448</v>
      </c>
      <c r="C62" s="1682" t="str">
        <f>'NSP Detailed Budget'!B365</f>
        <v>No. of trainings at central level</v>
      </c>
      <c r="D62" s="1677">
        <v>2</v>
      </c>
      <c r="E62" s="1677">
        <v>2</v>
      </c>
      <c r="F62" s="1677">
        <v>2</v>
      </c>
      <c r="G62" s="1677">
        <v>2</v>
      </c>
      <c r="H62" s="1678" t="s">
        <v>754</v>
      </c>
      <c r="I62" s="1679">
        <f>'NSP Detailed Budget'!G367</f>
        <v>7000</v>
      </c>
      <c r="J62" s="1679">
        <f>'NSP Detailed Budget'!H367</f>
        <v>7000</v>
      </c>
      <c r="K62" s="1679">
        <f>'NSP Detailed Budget'!I367</f>
        <v>7000</v>
      </c>
      <c r="L62" s="1679">
        <f>'NSP Detailed Budget'!J367</f>
        <v>7000</v>
      </c>
      <c r="M62" s="1671">
        <f t="shared" ref="M62:M64" si="79">SUM(I62:L62)</f>
        <v>28000</v>
      </c>
      <c r="N62" s="1672"/>
      <c r="O62" s="1589"/>
      <c r="P62" s="1017"/>
      <c r="Q62" s="1017"/>
      <c r="R62" s="1115"/>
      <c r="S62" s="1017"/>
      <c r="T62" s="1018">
        <f t="shared" ref="T62:T64" si="80">SUM(P62:S62)</f>
        <v>0</v>
      </c>
      <c r="U62" s="1017"/>
      <c r="V62" s="1017"/>
      <c r="W62" s="1115"/>
      <c r="X62" s="1017"/>
      <c r="Y62" s="1018">
        <f t="shared" ref="Y62:Y64" si="81">SUM(U62:X62)</f>
        <v>0</v>
      </c>
      <c r="Z62" s="1017"/>
      <c r="AA62" s="1017"/>
      <c r="AB62" s="1115"/>
      <c r="AC62" s="1017"/>
      <c r="AD62" s="1018">
        <f t="shared" ref="AD62:AD64" si="82">SUM(Z62:AC62)</f>
        <v>0</v>
      </c>
      <c r="AE62" s="1017"/>
      <c r="AF62" s="1017"/>
      <c r="AG62" s="1115"/>
      <c r="AH62" s="1017"/>
      <c r="AI62" s="1018">
        <f t="shared" ref="AI62:AI64" si="83">SUM(AE62:AH62)</f>
        <v>0</v>
      </c>
      <c r="AJ62" s="1017"/>
      <c r="AK62" s="1017"/>
      <c r="AL62" s="1115"/>
      <c r="AM62" s="1017"/>
      <c r="AN62" s="1018">
        <f t="shared" ref="AN62:AN64" si="84">SUM(AJ62:AM62)</f>
        <v>0</v>
      </c>
      <c r="AO62" s="330"/>
      <c r="AP62" s="330"/>
    </row>
    <row r="63" spans="1:47">
      <c r="A63" s="1665" t="s">
        <v>1368</v>
      </c>
      <c r="B63" s="1666" t="s">
        <v>1452</v>
      </c>
      <c r="C63" s="1682" t="s">
        <v>2103</v>
      </c>
      <c r="D63" s="1677">
        <v>1</v>
      </c>
      <c r="E63" s="1677">
        <v>1</v>
      </c>
      <c r="F63" s="1677">
        <v>1</v>
      </c>
      <c r="G63" s="1677">
        <v>1</v>
      </c>
      <c r="H63" s="1678" t="s">
        <v>1001</v>
      </c>
      <c r="I63" s="1679">
        <f>'NSP Detailed Budget'!G371</f>
        <v>20000</v>
      </c>
      <c r="J63" s="1679">
        <f>'NSP Detailed Budget'!H371</f>
        <v>20000</v>
      </c>
      <c r="K63" s="1679">
        <f>'NSP Detailed Budget'!I371</f>
        <v>20000</v>
      </c>
      <c r="L63" s="1679">
        <f>'NSP Detailed Budget'!J371</f>
        <v>20000</v>
      </c>
      <c r="M63" s="1671">
        <f t="shared" si="79"/>
        <v>80000</v>
      </c>
      <c r="N63" s="1672"/>
      <c r="O63" s="1589"/>
      <c r="P63" s="1017"/>
      <c r="Q63" s="1017"/>
      <c r="R63" s="1115"/>
      <c r="S63" s="1017"/>
      <c r="T63" s="1018">
        <f t="shared" si="80"/>
        <v>0</v>
      </c>
      <c r="U63" s="1017"/>
      <c r="V63" s="1017"/>
      <c r="W63" s="1115"/>
      <c r="X63" s="1017"/>
      <c r="Y63" s="1018">
        <f t="shared" si="81"/>
        <v>0</v>
      </c>
      <c r="Z63" s="1017"/>
      <c r="AA63" s="1017"/>
      <c r="AB63" s="1115"/>
      <c r="AC63" s="1017"/>
      <c r="AD63" s="1018">
        <f t="shared" si="82"/>
        <v>0</v>
      </c>
      <c r="AE63" s="1017"/>
      <c r="AF63" s="1017"/>
      <c r="AG63" s="1115"/>
      <c r="AH63" s="1017"/>
      <c r="AI63" s="1018">
        <f t="shared" si="83"/>
        <v>0</v>
      </c>
      <c r="AJ63" s="1017"/>
      <c r="AK63" s="1017"/>
      <c r="AL63" s="1115"/>
      <c r="AM63" s="1017"/>
      <c r="AN63" s="1018">
        <f t="shared" si="84"/>
        <v>0</v>
      </c>
      <c r="AO63" s="330"/>
      <c r="AP63" s="330"/>
    </row>
    <row r="64" spans="1:47" ht="30">
      <c r="A64" s="1665" t="s">
        <v>1805</v>
      </c>
      <c r="B64" s="1666" t="s">
        <v>1806</v>
      </c>
      <c r="C64" s="1682" t="s">
        <v>2103</v>
      </c>
      <c r="D64" s="1677">
        <v>1</v>
      </c>
      <c r="E64" s="1677">
        <v>1</v>
      </c>
      <c r="F64" s="1677">
        <v>1</v>
      </c>
      <c r="G64" s="1677">
        <v>1</v>
      </c>
      <c r="H64" s="1678" t="s">
        <v>1001</v>
      </c>
      <c r="I64" s="1679">
        <f>'NSP Detailed Budget'!G375</f>
        <v>15600</v>
      </c>
      <c r="J64" s="1679">
        <f>'NSP Detailed Budget'!H375</f>
        <v>15600</v>
      </c>
      <c r="K64" s="1679">
        <f>'NSP Detailed Budget'!I375</f>
        <v>15600</v>
      </c>
      <c r="L64" s="1679">
        <f>'NSP Detailed Budget'!J375</f>
        <v>15600</v>
      </c>
      <c r="M64" s="1671">
        <f t="shared" si="79"/>
        <v>62400</v>
      </c>
      <c r="N64" s="1672"/>
      <c r="O64" s="1589"/>
      <c r="P64" s="1017"/>
      <c r="Q64" s="1017"/>
      <c r="R64" s="1115"/>
      <c r="S64" s="1017"/>
      <c r="T64" s="1018">
        <f t="shared" si="80"/>
        <v>0</v>
      </c>
      <c r="U64" s="1017"/>
      <c r="V64" s="1017"/>
      <c r="W64" s="1115"/>
      <c r="X64" s="1017"/>
      <c r="Y64" s="1018">
        <f t="shared" si="81"/>
        <v>0</v>
      </c>
      <c r="Z64" s="1017"/>
      <c r="AA64" s="1017"/>
      <c r="AB64" s="1115"/>
      <c r="AC64" s="1017"/>
      <c r="AD64" s="1018">
        <f t="shared" si="82"/>
        <v>0</v>
      </c>
      <c r="AE64" s="1017"/>
      <c r="AF64" s="1017"/>
      <c r="AG64" s="1115"/>
      <c r="AH64" s="1017"/>
      <c r="AI64" s="1018">
        <f t="shared" si="83"/>
        <v>0</v>
      </c>
      <c r="AJ64" s="1017"/>
      <c r="AK64" s="1017"/>
      <c r="AL64" s="1115"/>
      <c r="AM64" s="1017"/>
      <c r="AN64" s="1018">
        <f t="shared" si="84"/>
        <v>0</v>
      </c>
      <c r="AO64" s="330"/>
      <c r="AP64" s="330"/>
    </row>
    <row r="65" spans="1:42" ht="28.5">
      <c r="A65" s="1657">
        <v>2.2000000000000002</v>
      </c>
      <c r="B65" s="1658" t="s">
        <v>1251</v>
      </c>
      <c r="C65" s="1702"/>
      <c r="D65" s="1703"/>
      <c r="E65" s="1703"/>
      <c r="F65" s="1703"/>
      <c r="G65" s="1703"/>
      <c r="H65" s="1661"/>
      <c r="I65" s="1662">
        <f>SUM(I66:I72)</f>
        <v>967405.12</v>
      </c>
      <c r="J65" s="1662">
        <f>SUM(J66:J72)</f>
        <v>952763.44</v>
      </c>
      <c r="K65" s="1662">
        <f>SUM(K66:K72)</f>
        <v>938982.64</v>
      </c>
      <c r="L65" s="1662">
        <f>SUM(L66:L72)</f>
        <v>926447.68</v>
      </c>
      <c r="M65" s="1663">
        <f>SUM(M66:M72)</f>
        <v>3785598.88</v>
      </c>
      <c r="N65" s="1664"/>
      <c r="O65" s="1598"/>
      <c r="P65" s="1015">
        <f t="shared" ref="P65:AN65" si="85">SUM(P66:P72)</f>
        <v>0</v>
      </c>
      <c r="Q65" s="1015">
        <f t="shared" si="85"/>
        <v>0</v>
      </c>
      <c r="R65" s="1015">
        <f t="shared" si="85"/>
        <v>0</v>
      </c>
      <c r="S65" s="1015">
        <f t="shared" si="85"/>
        <v>0</v>
      </c>
      <c r="T65" s="1016">
        <f t="shared" si="85"/>
        <v>0</v>
      </c>
      <c r="U65" s="1015">
        <f t="shared" si="85"/>
        <v>0</v>
      </c>
      <c r="V65" s="1015">
        <f t="shared" si="85"/>
        <v>0</v>
      </c>
      <c r="W65" s="1015">
        <f t="shared" si="85"/>
        <v>0</v>
      </c>
      <c r="X65" s="1015">
        <f t="shared" si="85"/>
        <v>0</v>
      </c>
      <c r="Y65" s="1016">
        <f t="shared" si="85"/>
        <v>0</v>
      </c>
      <c r="Z65" s="1015">
        <f t="shared" si="85"/>
        <v>0</v>
      </c>
      <c r="AA65" s="1015">
        <f t="shared" si="85"/>
        <v>0</v>
      </c>
      <c r="AB65" s="1015">
        <f t="shared" si="85"/>
        <v>0</v>
      </c>
      <c r="AC65" s="1015">
        <f t="shared" si="85"/>
        <v>0</v>
      </c>
      <c r="AD65" s="1016">
        <f t="shared" si="85"/>
        <v>0</v>
      </c>
      <c r="AE65" s="1015">
        <f t="shared" si="85"/>
        <v>0</v>
      </c>
      <c r="AF65" s="1015">
        <f t="shared" si="85"/>
        <v>0</v>
      </c>
      <c r="AG65" s="1015">
        <f t="shared" si="85"/>
        <v>0</v>
      </c>
      <c r="AH65" s="1015">
        <f t="shared" si="85"/>
        <v>0</v>
      </c>
      <c r="AI65" s="1016">
        <f t="shared" si="85"/>
        <v>0</v>
      </c>
      <c r="AJ65" s="1015">
        <f t="shared" si="85"/>
        <v>0</v>
      </c>
      <c r="AK65" s="1015">
        <f t="shared" si="85"/>
        <v>0</v>
      </c>
      <c r="AL65" s="1015">
        <f t="shared" si="85"/>
        <v>0</v>
      </c>
      <c r="AM65" s="1015">
        <f t="shared" si="85"/>
        <v>0</v>
      </c>
      <c r="AN65" s="1016">
        <f t="shared" si="85"/>
        <v>0</v>
      </c>
      <c r="AO65" s="330"/>
      <c r="AP65" s="330"/>
    </row>
    <row r="66" spans="1:42" ht="40.5" customHeight="1">
      <c r="A66" s="1665" t="s">
        <v>350</v>
      </c>
      <c r="B66" s="1666" t="s">
        <v>1500</v>
      </c>
      <c r="C66" s="1740" t="s">
        <v>2111</v>
      </c>
      <c r="D66" s="1741"/>
      <c r="E66" s="1741"/>
      <c r="F66" s="1741"/>
      <c r="G66" s="1742"/>
      <c r="H66" s="1678" t="s">
        <v>1632</v>
      </c>
      <c r="I66" s="1679">
        <f>'NSP Detailed Budget'!G425</f>
        <v>500473.2</v>
      </c>
      <c r="J66" s="1679">
        <f>'NSP Detailed Budget'!H425</f>
        <v>487749.6</v>
      </c>
      <c r="K66" s="1679">
        <f>'NSP Detailed Budget'!I425</f>
        <v>475845.6</v>
      </c>
      <c r="L66" s="1679">
        <f>'NSP Detailed Budget'!J425</f>
        <v>465007.2</v>
      </c>
      <c r="M66" s="1671">
        <f t="shared" ref="M66:M72" si="86">SUM(I66:L66)</f>
        <v>1929075.5999999999</v>
      </c>
      <c r="N66" s="1672"/>
      <c r="O66" s="1589"/>
      <c r="P66" s="1017"/>
      <c r="Q66" s="1017"/>
      <c r="R66" s="1115"/>
      <c r="S66" s="1017"/>
      <c r="T66" s="1018">
        <f t="shared" ref="T66:T72" si="87">SUM(P66:S66)</f>
        <v>0</v>
      </c>
      <c r="U66" s="1017"/>
      <c r="V66" s="1017"/>
      <c r="W66" s="1115"/>
      <c r="X66" s="1017"/>
      <c r="Y66" s="1018">
        <f t="shared" ref="Y66:Y72" si="88">SUM(U66:X66)</f>
        <v>0</v>
      </c>
      <c r="Z66" s="1017"/>
      <c r="AA66" s="1017"/>
      <c r="AB66" s="1115"/>
      <c r="AC66" s="1017"/>
      <c r="AD66" s="1018">
        <f t="shared" ref="AD66:AD73" si="89">SUM(Z66:AC66)</f>
        <v>0</v>
      </c>
      <c r="AE66" s="1017"/>
      <c r="AF66" s="1017"/>
      <c r="AG66" s="1115"/>
      <c r="AH66" s="1017"/>
      <c r="AI66" s="1018">
        <f t="shared" ref="AI66:AI72" si="90">SUM(AE66:AH66)</f>
        <v>0</v>
      </c>
      <c r="AJ66" s="1017"/>
      <c r="AK66" s="1017"/>
      <c r="AL66" s="1115"/>
      <c r="AM66" s="1017"/>
      <c r="AN66" s="1018">
        <f t="shared" ref="AN66:AN72" si="91">SUM(AJ66:AM66)</f>
        <v>0</v>
      </c>
      <c r="AO66" s="330"/>
      <c r="AP66" s="330"/>
    </row>
    <row r="67" spans="1:42">
      <c r="A67" s="1665" t="s">
        <v>351</v>
      </c>
      <c r="B67" s="1666" t="s">
        <v>1501</v>
      </c>
      <c r="C67" s="1682"/>
      <c r="D67" s="1677"/>
      <c r="E67" s="1677"/>
      <c r="F67" s="1677"/>
      <c r="G67" s="1677"/>
      <c r="H67" s="1678" t="s">
        <v>1632</v>
      </c>
      <c r="I67" s="1679">
        <f>'NSP Detailed Budget'!G473</f>
        <v>76021.919999999998</v>
      </c>
      <c r="J67" s="1679">
        <f>'NSP Detailed Budget'!H473</f>
        <v>74103.839999999997</v>
      </c>
      <c r="K67" s="1679">
        <f>'NSP Detailed Budget'!I473</f>
        <v>72227.040000000008</v>
      </c>
      <c r="L67" s="1679">
        <f>'NSP Detailed Budget'!J473</f>
        <v>70530.48000000001</v>
      </c>
      <c r="M67" s="1671">
        <f t="shared" si="86"/>
        <v>292883.28000000003</v>
      </c>
      <c r="N67" s="1672"/>
      <c r="O67" s="1589"/>
      <c r="P67" s="1017"/>
      <c r="Q67" s="1017"/>
      <c r="R67" s="1115"/>
      <c r="S67" s="1017"/>
      <c r="T67" s="1018">
        <f t="shared" si="87"/>
        <v>0</v>
      </c>
      <c r="U67" s="1017"/>
      <c r="V67" s="1017"/>
      <c r="W67" s="1115"/>
      <c r="X67" s="1017"/>
      <c r="Y67" s="1018">
        <f t="shared" si="88"/>
        <v>0</v>
      </c>
      <c r="Z67" s="1017"/>
      <c r="AA67" s="1017"/>
      <c r="AB67" s="1115"/>
      <c r="AC67" s="1017"/>
      <c r="AD67" s="1018">
        <f t="shared" si="89"/>
        <v>0</v>
      </c>
      <c r="AE67" s="1017"/>
      <c r="AF67" s="1017"/>
      <c r="AG67" s="1115"/>
      <c r="AH67" s="1017"/>
      <c r="AI67" s="1018">
        <f t="shared" si="90"/>
        <v>0</v>
      </c>
      <c r="AJ67" s="1017"/>
      <c r="AK67" s="1017"/>
      <c r="AL67" s="1115"/>
      <c r="AM67" s="1017"/>
      <c r="AN67" s="1018">
        <f t="shared" si="91"/>
        <v>0</v>
      </c>
      <c r="AO67" s="330"/>
      <c r="AP67" s="330"/>
    </row>
    <row r="68" spans="1:42">
      <c r="A68" s="1665" t="s">
        <v>352</v>
      </c>
      <c r="B68" s="1666" t="s">
        <v>1819</v>
      </c>
      <c r="C68" s="1682" t="s">
        <v>2112</v>
      </c>
      <c r="D68" s="1677">
        <v>1</v>
      </c>
      <c r="E68" s="1677">
        <v>1</v>
      </c>
      <c r="F68" s="1677">
        <v>1</v>
      </c>
      <c r="G68" s="1677">
        <v>1</v>
      </c>
      <c r="H68" s="1678" t="s">
        <v>1632</v>
      </c>
      <c r="I68" s="1679">
        <f>'NSP Detailed Budget'!G478</f>
        <v>80500</v>
      </c>
      <c r="J68" s="1679">
        <f>'NSP Detailed Budget'!H478</f>
        <v>80500</v>
      </c>
      <c r="K68" s="1679">
        <f>'NSP Detailed Budget'!I478</f>
        <v>80500</v>
      </c>
      <c r="L68" s="1679">
        <f>'NSP Detailed Budget'!J478</f>
        <v>80500</v>
      </c>
      <c r="M68" s="1671">
        <f t="shared" si="86"/>
        <v>322000</v>
      </c>
      <c r="N68" s="1672"/>
      <c r="O68" s="1589"/>
      <c r="P68" s="1017"/>
      <c r="Q68" s="1017"/>
      <c r="R68" s="1115"/>
      <c r="S68" s="1017"/>
      <c r="T68" s="1018">
        <f t="shared" si="87"/>
        <v>0</v>
      </c>
      <c r="U68" s="1017"/>
      <c r="V68" s="1017"/>
      <c r="W68" s="1115"/>
      <c r="X68" s="1017"/>
      <c r="Y68" s="1018">
        <f t="shared" si="88"/>
        <v>0</v>
      </c>
      <c r="Z68" s="1017"/>
      <c r="AA68" s="1017"/>
      <c r="AB68" s="1115"/>
      <c r="AC68" s="1017"/>
      <c r="AD68" s="1018">
        <f t="shared" si="89"/>
        <v>0</v>
      </c>
      <c r="AE68" s="1017"/>
      <c r="AF68" s="1017"/>
      <c r="AG68" s="1115"/>
      <c r="AH68" s="1017"/>
      <c r="AI68" s="1018">
        <f t="shared" si="90"/>
        <v>0</v>
      </c>
      <c r="AJ68" s="1017"/>
      <c r="AK68" s="1017"/>
      <c r="AL68" s="1115"/>
      <c r="AM68" s="1017"/>
      <c r="AN68" s="1018">
        <f t="shared" si="91"/>
        <v>0</v>
      </c>
      <c r="AO68" s="330"/>
      <c r="AP68" s="330"/>
    </row>
    <row r="69" spans="1:42">
      <c r="A69" s="1665" t="s">
        <v>353</v>
      </c>
      <c r="B69" s="1666" t="s">
        <v>1821</v>
      </c>
      <c r="C69" s="1682" t="s">
        <v>2112</v>
      </c>
      <c r="D69" s="1677">
        <v>1</v>
      </c>
      <c r="E69" s="1677">
        <v>1</v>
      </c>
      <c r="F69" s="1677">
        <v>1</v>
      </c>
      <c r="G69" s="1677">
        <v>1</v>
      </c>
      <c r="H69" s="1678" t="s">
        <v>770</v>
      </c>
      <c r="I69" s="1679">
        <f>'NSP Detailed Budget'!G483</f>
        <v>26410</v>
      </c>
      <c r="J69" s="1679">
        <f>'NSP Detailed Budget'!H483</f>
        <v>26410</v>
      </c>
      <c r="K69" s="1679">
        <f>'NSP Detailed Budget'!I483</f>
        <v>26410</v>
      </c>
      <c r="L69" s="1679">
        <f>'NSP Detailed Budget'!J483</f>
        <v>26410</v>
      </c>
      <c r="M69" s="1671">
        <f t="shared" si="86"/>
        <v>105640</v>
      </c>
      <c r="N69" s="1672"/>
      <c r="O69" s="1589"/>
      <c r="P69" s="1017"/>
      <c r="Q69" s="1017"/>
      <c r="R69" s="1115"/>
      <c r="S69" s="1017"/>
      <c r="T69" s="1018">
        <f t="shared" si="87"/>
        <v>0</v>
      </c>
      <c r="U69" s="1017"/>
      <c r="V69" s="1017"/>
      <c r="W69" s="1115"/>
      <c r="X69" s="1017"/>
      <c r="Y69" s="1018">
        <f t="shared" si="88"/>
        <v>0</v>
      </c>
      <c r="Z69" s="1017"/>
      <c r="AA69" s="1017"/>
      <c r="AB69" s="1115"/>
      <c r="AC69" s="1017"/>
      <c r="AD69" s="1018">
        <f t="shared" si="89"/>
        <v>0</v>
      </c>
      <c r="AE69" s="1017"/>
      <c r="AF69" s="1017"/>
      <c r="AG69" s="1115"/>
      <c r="AH69" s="1017"/>
      <c r="AI69" s="1018">
        <f t="shared" si="90"/>
        <v>0</v>
      </c>
      <c r="AJ69" s="1017"/>
      <c r="AK69" s="1017"/>
      <c r="AL69" s="1115"/>
      <c r="AM69" s="1017"/>
      <c r="AN69" s="1018">
        <f t="shared" si="91"/>
        <v>0</v>
      </c>
      <c r="AO69" s="330"/>
      <c r="AP69" s="330"/>
    </row>
    <row r="70" spans="1:42" ht="30">
      <c r="A70" s="1665" t="s">
        <v>354</v>
      </c>
      <c r="B70" s="1666" t="s">
        <v>1518</v>
      </c>
      <c r="C70" s="1682" t="s">
        <v>2112</v>
      </c>
      <c r="D70" s="1677">
        <v>1</v>
      </c>
      <c r="E70" s="1677">
        <v>1</v>
      </c>
      <c r="F70" s="1677">
        <v>1</v>
      </c>
      <c r="G70" s="1677">
        <v>1</v>
      </c>
      <c r="H70" s="1678" t="s">
        <v>770</v>
      </c>
      <c r="I70" s="1679">
        <f>'NSP Detailed Budget'!G498</f>
        <v>64000</v>
      </c>
      <c r="J70" s="1679">
        <f>'NSP Detailed Budget'!H498</f>
        <v>64000</v>
      </c>
      <c r="K70" s="1679">
        <f>'NSP Detailed Budget'!I498</f>
        <v>64000</v>
      </c>
      <c r="L70" s="1679">
        <f>'NSP Detailed Budget'!J498</f>
        <v>64000</v>
      </c>
      <c r="M70" s="1671">
        <f>SUM(I70:L70)</f>
        <v>256000</v>
      </c>
      <c r="N70" s="1672"/>
      <c r="O70" s="1589"/>
      <c r="P70" s="1017"/>
      <c r="Q70" s="1017"/>
      <c r="R70" s="1115"/>
      <c r="S70" s="1017"/>
      <c r="T70" s="1018">
        <f>SUM(P70:S70)</f>
        <v>0</v>
      </c>
      <c r="U70" s="1017"/>
      <c r="V70" s="1017"/>
      <c r="W70" s="1115"/>
      <c r="X70" s="1017"/>
      <c r="Y70" s="1018">
        <f>SUM(U70:X70)</f>
        <v>0</v>
      </c>
      <c r="Z70" s="1017"/>
      <c r="AA70" s="1017"/>
      <c r="AB70" s="1115"/>
      <c r="AC70" s="1017"/>
      <c r="AD70" s="1018">
        <f>SUM(Z70:AC70)</f>
        <v>0</v>
      </c>
      <c r="AE70" s="1017"/>
      <c r="AF70" s="1017"/>
      <c r="AG70" s="1115"/>
      <c r="AH70" s="1017"/>
      <c r="AI70" s="1018">
        <f>SUM(AE70:AH70)</f>
        <v>0</v>
      </c>
      <c r="AJ70" s="1017"/>
      <c r="AK70" s="1017"/>
      <c r="AL70" s="1115"/>
      <c r="AM70" s="1017"/>
      <c r="AN70" s="1018">
        <f>SUM(AJ70:AM70)</f>
        <v>0</v>
      </c>
      <c r="AO70" s="330"/>
      <c r="AP70" s="330"/>
    </row>
    <row r="71" spans="1:42">
      <c r="A71" s="1665" t="s">
        <v>355</v>
      </c>
      <c r="B71" s="1666" t="s">
        <v>1787</v>
      </c>
      <c r="C71" s="1682" t="s">
        <v>2112</v>
      </c>
      <c r="D71" s="1677">
        <v>1</v>
      </c>
      <c r="E71" s="1677">
        <v>1</v>
      </c>
      <c r="F71" s="1677">
        <v>1</v>
      </c>
      <c r="G71" s="1677">
        <v>1</v>
      </c>
      <c r="H71" s="1678" t="s">
        <v>1632</v>
      </c>
      <c r="I71" s="1679">
        <f>'NSP Detailed Budget'!G488</f>
        <v>160000</v>
      </c>
      <c r="J71" s="1679">
        <f>'NSP Detailed Budget'!H488</f>
        <v>160000</v>
      </c>
      <c r="K71" s="1679">
        <f>'NSP Detailed Budget'!I488</f>
        <v>160000</v>
      </c>
      <c r="L71" s="1679">
        <f>'NSP Detailed Budget'!J488</f>
        <v>160000</v>
      </c>
      <c r="M71" s="1671">
        <f t="shared" si="86"/>
        <v>640000</v>
      </c>
      <c r="N71" s="1672"/>
      <c r="O71" s="1589"/>
      <c r="P71" s="1017"/>
      <c r="Q71" s="1017"/>
      <c r="R71" s="1115"/>
      <c r="S71" s="1017"/>
      <c r="T71" s="1018">
        <f t="shared" si="87"/>
        <v>0</v>
      </c>
      <c r="U71" s="1017"/>
      <c r="V71" s="1017"/>
      <c r="W71" s="1115"/>
      <c r="X71" s="1017"/>
      <c r="Y71" s="1018">
        <f t="shared" si="88"/>
        <v>0</v>
      </c>
      <c r="Z71" s="1017"/>
      <c r="AA71" s="1017"/>
      <c r="AB71" s="1115"/>
      <c r="AC71" s="1017"/>
      <c r="AD71" s="1018">
        <f t="shared" si="89"/>
        <v>0</v>
      </c>
      <c r="AE71" s="1017"/>
      <c r="AF71" s="1017"/>
      <c r="AG71" s="1115"/>
      <c r="AH71" s="1017"/>
      <c r="AI71" s="1018">
        <f t="shared" si="90"/>
        <v>0</v>
      </c>
      <c r="AJ71" s="1017"/>
      <c r="AK71" s="1017"/>
      <c r="AL71" s="1115"/>
      <c r="AM71" s="1017"/>
      <c r="AN71" s="1018">
        <f t="shared" si="91"/>
        <v>0</v>
      </c>
      <c r="AO71" s="330"/>
      <c r="AP71" s="330"/>
    </row>
    <row r="72" spans="1:42" ht="30">
      <c r="A72" s="1665" t="s">
        <v>356</v>
      </c>
      <c r="B72" s="1666" t="s">
        <v>1502</v>
      </c>
      <c r="C72" s="1682" t="s">
        <v>2112</v>
      </c>
      <c r="D72" s="1677">
        <v>1</v>
      </c>
      <c r="E72" s="1677">
        <v>1</v>
      </c>
      <c r="F72" s="1677">
        <v>1</v>
      </c>
      <c r="G72" s="1677">
        <v>1</v>
      </c>
      <c r="H72" s="1678" t="s">
        <v>1632</v>
      </c>
      <c r="I72" s="1679">
        <f>'NSP Detailed Budget'!G493</f>
        <v>60000</v>
      </c>
      <c r="J72" s="1679">
        <f>'NSP Detailed Budget'!H493</f>
        <v>60000</v>
      </c>
      <c r="K72" s="1679">
        <f>'NSP Detailed Budget'!I493</f>
        <v>60000</v>
      </c>
      <c r="L72" s="1679">
        <f>'NSP Detailed Budget'!J493</f>
        <v>60000</v>
      </c>
      <c r="M72" s="1671">
        <f t="shared" si="86"/>
        <v>240000</v>
      </c>
      <c r="N72" s="1672"/>
      <c r="O72" s="1589"/>
      <c r="P72" s="1017"/>
      <c r="Q72" s="1017"/>
      <c r="R72" s="1115"/>
      <c r="S72" s="1017"/>
      <c r="T72" s="1018">
        <f t="shared" si="87"/>
        <v>0</v>
      </c>
      <c r="U72" s="1017"/>
      <c r="V72" s="1017"/>
      <c r="W72" s="1115"/>
      <c r="X72" s="1017"/>
      <c r="Y72" s="1018">
        <f t="shared" si="88"/>
        <v>0</v>
      </c>
      <c r="Z72" s="1017"/>
      <c r="AA72" s="1017"/>
      <c r="AB72" s="1115"/>
      <c r="AC72" s="1017"/>
      <c r="AD72" s="1018">
        <f t="shared" si="89"/>
        <v>0</v>
      </c>
      <c r="AE72" s="1017"/>
      <c r="AF72" s="1017"/>
      <c r="AG72" s="1115"/>
      <c r="AH72" s="1017"/>
      <c r="AI72" s="1018">
        <f t="shared" si="90"/>
        <v>0</v>
      </c>
      <c r="AJ72" s="1017"/>
      <c r="AK72" s="1017"/>
      <c r="AL72" s="1115"/>
      <c r="AM72" s="1017"/>
      <c r="AN72" s="1018">
        <f t="shared" si="91"/>
        <v>0</v>
      </c>
      <c r="AO72" s="330"/>
      <c r="AP72" s="330"/>
    </row>
    <row r="73" spans="1:42" ht="28.5">
      <c r="A73" s="1657">
        <v>2.2999999999999998</v>
      </c>
      <c r="B73" s="1658" t="s">
        <v>1252</v>
      </c>
      <c r="C73" s="1702"/>
      <c r="D73" s="1703"/>
      <c r="E73" s="1703"/>
      <c r="F73" s="1703"/>
      <c r="G73" s="1703"/>
      <c r="H73" s="1661"/>
      <c r="I73" s="1662">
        <f t="shared" ref="I73:AN73" si="92">SUM(I74:I81)</f>
        <v>219621.08799999999</v>
      </c>
      <c r="J73" s="1662">
        <f t="shared" si="92"/>
        <v>209580.48499999999</v>
      </c>
      <c r="K73" s="1662">
        <f t="shared" si="92"/>
        <v>208036.24300000002</v>
      </c>
      <c r="L73" s="1662">
        <f t="shared" si="92"/>
        <v>199310.21600000001</v>
      </c>
      <c r="M73" s="1663">
        <f t="shared" si="92"/>
        <v>836548.03200000001</v>
      </c>
      <c r="N73" s="1664"/>
      <c r="O73" s="1598"/>
      <c r="P73" s="1015">
        <f t="shared" si="92"/>
        <v>0</v>
      </c>
      <c r="Q73" s="1015">
        <f t="shared" si="92"/>
        <v>0</v>
      </c>
      <c r="R73" s="1015">
        <f t="shared" si="92"/>
        <v>0</v>
      </c>
      <c r="S73" s="1015">
        <f t="shared" si="92"/>
        <v>0</v>
      </c>
      <c r="T73" s="1016">
        <f t="shared" si="92"/>
        <v>0</v>
      </c>
      <c r="U73" s="1015">
        <f t="shared" si="92"/>
        <v>0</v>
      </c>
      <c r="V73" s="1015">
        <f t="shared" si="92"/>
        <v>0</v>
      </c>
      <c r="W73" s="1015">
        <f t="shared" si="92"/>
        <v>0</v>
      </c>
      <c r="X73" s="1015">
        <f t="shared" si="92"/>
        <v>0</v>
      </c>
      <c r="Y73" s="1016">
        <f t="shared" si="92"/>
        <v>0</v>
      </c>
      <c r="Z73" s="1015">
        <f t="shared" si="92"/>
        <v>0</v>
      </c>
      <c r="AA73" s="1015">
        <f t="shared" si="92"/>
        <v>0</v>
      </c>
      <c r="AB73" s="1015">
        <f t="shared" si="92"/>
        <v>0</v>
      </c>
      <c r="AC73" s="1015">
        <f t="shared" si="92"/>
        <v>0</v>
      </c>
      <c r="AD73" s="1018">
        <f t="shared" si="89"/>
        <v>0</v>
      </c>
      <c r="AE73" s="1015">
        <f t="shared" si="92"/>
        <v>0</v>
      </c>
      <c r="AF73" s="1015">
        <f t="shared" si="92"/>
        <v>0</v>
      </c>
      <c r="AG73" s="1015">
        <f t="shared" si="92"/>
        <v>0</v>
      </c>
      <c r="AH73" s="1015">
        <f t="shared" si="92"/>
        <v>0</v>
      </c>
      <c r="AI73" s="1016">
        <f t="shared" si="92"/>
        <v>0</v>
      </c>
      <c r="AJ73" s="1015">
        <f t="shared" si="92"/>
        <v>0</v>
      </c>
      <c r="AK73" s="1015">
        <f t="shared" si="92"/>
        <v>0</v>
      </c>
      <c r="AL73" s="1015">
        <f t="shared" si="92"/>
        <v>0</v>
      </c>
      <c r="AM73" s="1015">
        <f t="shared" si="92"/>
        <v>0</v>
      </c>
      <c r="AN73" s="1016">
        <f t="shared" si="92"/>
        <v>0</v>
      </c>
      <c r="AO73" s="330"/>
      <c r="AP73" s="330"/>
    </row>
    <row r="74" spans="1:42" ht="29.25">
      <c r="A74" s="1665" t="s">
        <v>358</v>
      </c>
      <c r="B74" s="1666" t="s">
        <v>2168</v>
      </c>
      <c r="C74" s="1682"/>
      <c r="D74" s="1677"/>
      <c r="E74" s="1677"/>
      <c r="F74" s="1677"/>
      <c r="G74" s="1677"/>
      <c r="H74" s="1678" t="s">
        <v>156</v>
      </c>
      <c r="I74" s="1679">
        <v>0</v>
      </c>
      <c r="J74" s="1679">
        <v>0</v>
      </c>
      <c r="K74" s="1704"/>
      <c r="L74" s="1679">
        <v>0</v>
      </c>
      <c r="M74" s="1671">
        <f>SUM(I74:L74)</f>
        <v>0</v>
      </c>
      <c r="N74" s="1672"/>
      <c r="O74" s="1589"/>
      <c r="P74" s="1017"/>
      <c r="Q74" s="1017"/>
      <c r="R74" s="1115"/>
      <c r="S74" s="1017"/>
      <c r="T74" s="1018">
        <f>SUM(P74:S74)</f>
        <v>0</v>
      </c>
      <c r="U74" s="1017"/>
      <c r="V74" s="1017"/>
      <c r="W74" s="1115"/>
      <c r="X74" s="1017"/>
      <c r="Y74" s="1018">
        <f>SUM(U74:X74)</f>
        <v>0</v>
      </c>
      <c r="Z74" s="1017"/>
      <c r="AA74" s="1017"/>
      <c r="AB74" s="1115"/>
      <c r="AC74" s="1017"/>
      <c r="AD74" s="1018">
        <f>SUM(Z74:AC74)</f>
        <v>0</v>
      </c>
      <c r="AE74" s="1017"/>
      <c r="AF74" s="1017"/>
      <c r="AG74" s="1115"/>
      <c r="AH74" s="1017"/>
      <c r="AI74" s="1018">
        <f>SUM(AE74:AH74)</f>
        <v>0</v>
      </c>
      <c r="AJ74" s="1017"/>
      <c r="AK74" s="1017"/>
      <c r="AL74" s="1115"/>
      <c r="AM74" s="1017"/>
      <c r="AN74" s="1018">
        <f>SUM(AJ74:AM74)</f>
        <v>0</v>
      </c>
      <c r="AO74" s="330"/>
      <c r="AP74" s="330"/>
    </row>
    <row r="75" spans="1:42" ht="38.25" customHeight="1">
      <c r="A75" s="1665" t="s">
        <v>359</v>
      </c>
      <c r="B75" s="1666" t="s">
        <v>1528</v>
      </c>
      <c r="C75" s="1740" t="s">
        <v>2113</v>
      </c>
      <c r="D75" s="1741"/>
      <c r="E75" s="1741"/>
      <c r="F75" s="1741"/>
      <c r="G75" s="1742"/>
      <c r="H75" s="1678" t="s">
        <v>156</v>
      </c>
      <c r="I75" s="1679">
        <f>'NSP Detailed Budget'!G513</f>
        <v>113540</v>
      </c>
      <c r="J75" s="1679">
        <f>'NSP Detailed Budget'!H513</f>
        <v>110380</v>
      </c>
      <c r="K75" s="1679">
        <f>'NSP Detailed Budget'!I513</f>
        <v>107450</v>
      </c>
      <c r="L75" s="1679">
        <f>'NSP Detailed Budget'!J513</f>
        <v>104860</v>
      </c>
      <c r="M75" s="1671">
        <f t="shared" ref="M75" si="93">SUM(I75:L75)</f>
        <v>436230</v>
      </c>
      <c r="N75" s="1672"/>
      <c r="O75" s="1589"/>
      <c r="P75" s="1017"/>
      <c r="Q75" s="1017"/>
      <c r="R75" s="1115"/>
      <c r="S75" s="1017"/>
      <c r="T75" s="1018">
        <f t="shared" ref="T75" si="94">SUM(P75:S75)</f>
        <v>0</v>
      </c>
      <c r="U75" s="1017"/>
      <c r="V75" s="1017"/>
      <c r="W75" s="1115"/>
      <c r="X75" s="1017"/>
      <c r="Y75" s="1018">
        <f t="shared" ref="Y75" si="95">SUM(U75:X75)</f>
        <v>0</v>
      </c>
      <c r="Z75" s="1017"/>
      <c r="AA75" s="1017"/>
      <c r="AB75" s="1115"/>
      <c r="AC75" s="1017"/>
      <c r="AD75" s="1018">
        <f t="shared" ref="AD75" si="96">SUM(Z75:AC75)</f>
        <v>0</v>
      </c>
      <c r="AE75" s="1017"/>
      <c r="AF75" s="1017"/>
      <c r="AG75" s="1115"/>
      <c r="AH75" s="1017"/>
      <c r="AI75" s="1018">
        <f t="shared" ref="AI75" si="97">SUM(AE75:AH75)</f>
        <v>0</v>
      </c>
      <c r="AJ75" s="1017"/>
      <c r="AK75" s="1017"/>
      <c r="AL75" s="1115"/>
      <c r="AM75" s="1017"/>
      <c r="AN75" s="1018">
        <f t="shared" ref="AN75" si="98">SUM(AJ75:AM75)</f>
        <v>0</v>
      </c>
      <c r="AO75" s="330"/>
      <c r="AP75" s="330"/>
    </row>
    <row r="76" spans="1:42" ht="60">
      <c r="A76" s="1665" t="s">
        <v>360</v>
      </c>
      <c r="B76" s="1666" t="s">
        <v>1544</v>
      </c>
      <c r="C76" s="1682" t="s">
        <v>2116</v>
      </c>
      <c r="D76" s="1677">
        <f>'NSP Detailed Budget'!G518+'NSP Detailed Budget'!G519</f>
        <v>6</v>
      </c>
      <c r="E76" s="1677">
        <f>'NSP Detailed Budget'!H518+'NSP Detailed Budget'!H519</f>
        <v>3</v>
      </c>
      <c r="F76" s="1677">
        <f>'NSP Detailed Budget'!I518+'NSP Detailed Budget'!I519</f>
        <v>6</v>
      </c>
      <c r="G76" s="1677">
        <f>'NSP Detailed Budget'!J518+'NSP Detailed Budget'!J519</f>
        <v>3</v>
      </c>
      <c r="H76" s="1678" t="s">
        <v>754</v>
      </c>
      <c r="I76" s="1679">
        <f>'NSP Detailed Budget'!G520</f>
        <v>14400</v>
      </c>
      <c r="J76" s="1679">
        <f>'NSP Detailed Budget'!H520</f>
        <v>7200</v>
      </c>
      <c r="K76" s="1679">
        <f>'NSP Detailed Budget'!I520</f>
        <v>14400</v>
      </c>
      <c r="L76" s="1679">
        <f>'NSP Detailed Budget'!J520</f>
        <v>7200</v>
      </c>
      <c r="M76" s="1671">
        <f>SUM(I76:L76)</f>
        <v>43200</v>
      </c>
      <c r="N76" s="1672"/>
      <c r="O76" s="1589"/>
      <c r="P76" s="1017"/>
      <c r="Q76" s="1017"/>
      <c r="R76" s="1115"/>
      <c r="S76" s="1017"/>
      <c r="T76" s="1018">
        <f>SUM(P76:S76)</f>
        <v>0</v>
      </c>
      <c r="U76" s="1017"/>
      <c r="V76" s="1017"/>
      <c r="W76" s="1115"/>
      <c r="X76" s="1017"/>
      <c r="Y76" s="1018">
        <f>SUM(U76:X76)</f>
        <v>0</v>
      </c>
      <c r="Z76" s="1017"/>
      <c r="AA76" s="1017"/>
      <c r="AB76" s="1115"/>
      <c r="AC76" s="1017"/>
      <c r="AD76" s="1018">
        <f>SUM(Z76:AC76)</f>
        <v>0</v>
      </c>
      <c r="AE76" s="1017"/>
      <c r="AF76" s="1017"/>
      <c r="AG76" s="1115"/>
      <c r="AH76" s="1017"/>
      <c r="AI76" s="1018">
        <f>SUM(AE76:AH76)</f>
        <v>0</v>
      </c>
      <c r="AJ76" s="1017"/>
      <c r="AK76" s="1017"/>
      <c r="AL76" s="1115"/>
      <c r="AM76" s="1017"/>
      <c r="AN76" s="1018">
        <f>SUM(AJ76:AM76)</f>
        <v>0</v>
      </c>
      <c r="AO76" s="330"/>
      <c r="AP76" s="330"/>
    </row>
    <row r="77" spans="1:42" ht="30">
      <c r="A77" s="1665" t="s">
        <v>361</v>
      </c>
      <c r="B77" s="1666" t="s">
        <v>1529</v>
      </c>
      <c r="C77" s="1682" t="s">
        <v>1784</v>
      </c>
      <c r="D77" s="1685">
        <f>'NSP Detailed Budget'!G525</f>
        <v>2756.1600000000008</v>
      </c>
      <c r="E77" s="1685">
        <f>'NSP Detailed Budget'!H525</f>
        <v>2805.8250000000003</v>
      </c>
      <c r="F77" s="1685">
        <f>'NSP Detailed Budget'!I525</f>
        <v>2720.1350000000002</v>
      </c>
      <c r="G77" s="1685">
        <f>'NSP Detailed Budget'!J525</f>
        <v>2650.12</v>
      </c>
      <c r="H77" s="1678" t="s">
        <v>156</v>
      </c>
      <c r="I77" s="1679">
        <f>'NSP Detailed Budget'!G527</f>
        <v>4961.0880000000016</v>
      </c>
      <c r="J77" s="1679">
        <f>'NSP Detailed Budget'!H527</f>
        <v>5050.4850000000006</v>
      </c>
      <c r="K77" s="1679">
        <f>'NSP Detailed Budget'!I527</f>
        <v>4896.2430000000004</v>
      </c>
      <c r="L77" s="1679">
        <f>'NSP Detailed Budget'!J527</f>
        <v>4770.2160000000003</v>
      </c>
      <c r="M77" s="1671">
        <f t="shared" ref="M77:M81" si="99">SUM(I77:L77)</f>
        <v>19678.032000000003</v>
      </c>
      <c r="N77" s="1672"/>
      <c r="O77" s="1589"/>
      <c r="P77" s="1017"/>
      <c r="Q77" s="1017"/>
      <c r="R77" s="1115"/>
      <c r="S77" s="1017"/>
      <c r="T77" s="1018">
        <f t="shared" ref="T77:T81" si="100">SUM(P77:S77)</f>
        <v>0</v>
      </c>
      <c r="U77" s="1017"/>
      <c r="V77" s="1017"/>
      <c r="W77" s="1115"/>
      <c r="X77" s="1017"/>
      <c r="Y77" s="1018">
        <f t="shared" ref="Y77:Y81" si="101">SUM(U77:X77)</f>
        <v>0</v>
      </c>
      <c r="Z77" s="1017"/>
      <c r="AA77" s="1017"/>
      <c r="AB77" s="1115"/>
      <c r="AC77" s="1017"/>
      <c r="AD77" s="1018">
        <f t="shared" ref="AD77:AD81" si="102">SUM(Z77:AC77)</f>
        <v>0</v>
      </c>
      <c r="AE77" s="1017"/>
      <c r="AF77" s="1017"/>
      <c r="AG77" s="1115"/>
      <c r="AH77" s="1017"/>
      <c r="AI77" s="1018">
        <f t="shared" ref="AI77:AI81" si="103">SUM(AE77:AH77)</f>
        <v>0</v>
      </c>
      <c r="AJ77" s="1017"/>
      <c r="AK77" s="1017"/>
      <c r="AL77" s="1115"/>
      <c r="AM77" s="1017"/>
      <c r="AN77" s="1018">
        <f t="shared" ref="AN77:AN81" si="104">SUM(AJ77:AM77)</f>
        <v>0</v>
      </c>
      <c r="AO77" s="330"/>
      <c r="AP77" s="330"/>
    </row>
    <row r="78" spans="1:42" ht="43.5">
      <c r="A78" s="1665" t="s">
        <v>362</v>
      </c>
      <c r="B78" s="1666" t="s">
        <v>2169</v>
      </c>
      <c r="C78" s="1682"/>
      <c r="D78" s="1677"/>
      <c r="E78" s="1677"/>
      <c r="F78" s="1677"/>
      <c r="G78" s="1677"/>
      <c r="H78" s="1678" t="s">
        <v>1020</v>
      </c>
      <c r="I78" s="1679">
        <v>0</v>
      </c>
      <c r="J78" s="1679">
        <v>0</v>
      </c>
      <c r="K78" s="1679">
        <v>0</v>
      </c>
      <c r="L78" s="1679">
        <v>0</v>
      </c>
      <c r="M78" s="1671">
        <f>SUM(I78:L78)</f>
        <v>0</v>
      </c>
      <c r="N78" s="1672"/>
      <c r="O78" s="1589"/>
      <c r="P78" s="1017"/>
      <c r="Q78" s="1017"/>
      <c r="R78" s="1115"/>
      <c r="S78" s="1017"/>
      <c r="T78" s="1018">
        <f>SUM(P78:S78)</f>
        <v>0</v>
      </c>
      <c r="U78" s="1017"/>
      <c r="V78" s="1017"/>
      <c r="W78" s="1115"/>
      <c r="X78" s="1017"/>
      <c r="Y78" s="1018">
        <f>SUM(U78:X78)</f>
        <v>0</v>
      </c>
      <c r="Z78" s="1017"/>
      <c r="AA78" s="1017"/>
      <c r="AB78" s="1115"/>
      <c r="AC78" s="1017"/>
      <c r="AD78" s="1018">
        <f>SUM(Z78:AC78)</f>
        <v>0</v>
      </c>
      <c r="AE78" s="1017"/>
      <c r="AF78" s="1017"/>
      <c r="AG78" s="1115"/>
      <c r="AH78" s="1017"/>
      <c r="AI78" s="1018">
        <f>SUM(AE78:AH78)</f>
        <v>0</v>
      </c>
      <c r="AJ78" s="1017"/>
      <c r="AK78" s="1017"/>
      <c r="AL78" s="1115"/>
      <c r="AM78" s="1017"/>
      <c r="AN78" s="1018">
        <f>SUM(AJ78:AM78)</f>
        <v>0</v>
      </c>
      <c r="AO78" s="330"/>
      <c r="AP78" s="330"/>
    </row>
    <row r="79" spans="1:42" ht="29.25">
      <c r="A79" s="1665" t="s">
        <v>363</v>
      </c>
      <c r="B79" s="1666" t="s">
        <v>2170</v>
      </c>
      <c r="C79" s="1682"/>
      <c r="D79" s="1677"/>
      <c r="E79" s="1677"/>
      <c r="F79" s="1677"/>
      <c r="G79" s="1677"/>
      <c r="H79" s="1678" t="s">
        <v>156</v>
      </c>
      <c r="I79" s="1679">
        <v>0</v>
      </c>
      <c r="J79" s="1679">
        <v>0</v>
      </c>
      <c r="K79" s="1679">
        <v>0</v>
      </c>
      <c r="L79" s="1679">
        <v>0</v>
      </c>
      <c r="M79" s="1671">
        <f>SUM(I79:L79)</f>
        <v>0</v>
      </c>
      <c r="N79" s="1672"/>
      <c r="O79" s="1589"/>
      <c r="P79" s="1017"/>
      <c r="Q79" s="1017"/>
      <c r="R79" s="1115"/>
      <c r="S79" s="1017"/>
      <c r="T79" s="1018">
        <f>SUM(P79:S79)</f>
        <v>0</v>
      </c>
      <c r="U79" s="1017"/>
      <c r="V79" s="1017"/>
      <c r="W79" s="1115"/>
      <c r="X79" s="1017"/>
      <c r="Y79" s="1018">
        <f>SUM(U79:X79)</f>
        <v>0</v>
      </c>
      <c r="Z79" s="1017"/>
      <c r="AA79" s="1017"/>
      <c r="AB79" s="1115"/>
      <c r="AC79" s="1017"/>
      <c r="AD79" s="1018">
        <f>SUM(Z79:AC79)</f>
        <v>0</v>
      </c>
      <c r="AE79" s="1017"/>
      <c r="AF79" s="1017"/>
      <c r="AG79" s="1115"/>
      <c r="AH79" s="1017"/>
      <c r="AI79" s="1018">
        <f>SUM(AE79:AH79)</f>
        <v>0</v>
      </c>
      <c r="AJ79" s="1017"/>
      <c r="AK79" s="1017"/>
      <c r="AL79" s="1115"/>
      <c r="AM79" s="1017"/>
      <c r="AN79" s="1018">
        <f>SUM(AJ79:AM79)</f>
        <v>0</v>
      </c>
      <c r="AO79" s="330"/>
      <c r="AP79" s="330"/>
    </row>
    <row r="80" spans="1:42" ht="45">
      <c r="A80" s="1665" t="s">
        <v>364</v>
      </c>
      <c r="B80" s="1666" t="s">
        <v>1794</v>
      </c>
      <c r="C80" s="1682" t="s">
        <v>2117</v>
      </c>
      <c r="D80" s="1680">
        <f>'NSP Detailed Budget'!G533</f>
        <v>2</v>
      </c>
      <c r="E80" s="1680">
        <f>'NSP Detailed Budget'!H533</f>
        <v>4</v>
      </c>
      <c r="F80" s="1680">
        <f>'NSP Detailed Budget'!I533</f>
        <v>2</v>
      </c>
      <c r="G80" s="1680">
        <f>'NSP Detailed Budget'!J533</f>
        <v>4</v>
      </c>
      <c r="H80" s="1678" t="s">
        <v>754</v>
      </c>
      <c r="I80" s="1679">
        <f>'NSP Detailed Budget'!G534</f>
        <v>3200</v>
      </c>
      <c r="J80" s="1679">
        <f>'NSP Detailed Budget'!H534</f>
        <v>6400</v>
      </c>
      <c r="K80" s="1679">
        <f>'NSP Detailed Budget'!I534</f>
        <v>3200</v>
      </c>
      <c r="L80" s="1679">
        <f>'NSP Detailed Budget'!J534</f>
        <v>6400</v>
      </c>
      <c r="M80" s="1671">
        <f>SUM(I80:L80)</f>
        <v>19200</v>
      </c>
      <c r="N80" s="1672"/>
      <c r="O80" s="1589"/>
      <c r="P80" s="1017"/>
      <c r="Q80" s="1017"/>
      <c r="R80" s="1115"/>
      <c r="S80" s="1017"/>
      <c r="T80" s="1018">
        <f>SUM(P80:S80)</f>
        <v>0</v>
      </c>
      <c r="U80" s="1017"/>
      <c r="V80" s="1017"/>
      <c r="W80" s="1115"/>
      <c r="X80" s="1017"/>
      <c r="Y80" s="1018">
        <f>SUM(U80:X80)</f>
        <v>0</v>
      </c>
      <c r="Z80" s="1017"/>
      <c r="AA80" s="1017"/>
      <c r="AB80" s="1115"/>
      <c r="AC80" s="1017"/>
      <c r="AD80" s="1018">
        <f>SUM(Z80:AC80)</f>
        <v>0</v>
      </c>
      <c r="AE80" s="1017"/>
      <c r="AF80" s="1017"/>
      <c r="AG80" s="1115"/>
      <c r="AH80" s="1017"/>
      <c r="AI80" s="1018">
        <f>SUM(AE80:AH80)</f>
        <v>0</v>
      </c>
      <c r="AJ80" s="1017"/>
      <c r="AK80" s="1017"/>
      <c r="AL80" s="1115"/>
      <c r="AM80" s="1017"/>
      <c r="AN80" s="1018">
        <f>SUM(AJ80:AM80)</f>
        <v>0</v>
      </c>
      <c r="AO80" s="330"/>
      <c r="AP80" s="330"/>
    </row>
    <row r="81" spans="1:47" ht="30">
      <c r="A81" s="1665" t="s">
        <v>365</v>
      </c>
      <c r="B81" s="1666" t="s">
        <v>1793</v>
      </c>
      <c r="C81" s="1682" t="s">
        <v>2109</v>
      </c>
      <c r="D81" s="1685">
        <f>'NSP Detailed Budget'!G538</f>
        <v>2784.0000000000005</v>
      </c>
      <c r="E81" s="1685">
        <f>'NSP Detailed Budget'!H538</f>
        <v>2685</v>
      </c>
      <c r="F81" s="1685">
        <f>'NSP Detailed Budget'!I538</f>
        <v>2603</v>
      </c>
      <c r="G81" s="1685">
        <f>'NSP Detailed Budget'!J538</f>
        <v>2536</v>
      </c>
      <c r="H81" s="1678" t="s">
        <v>1020</v>
      </c>
      <c r="I81" s="1679">
        <f>'NSP Detailed Budget'!G539</f>
        <v>83520.000000000015</v>
      </c>
      <c r="J81" s="1679">
        <f>'NSP Detailed Budget'!H539</f>
        <v>80550</v>
      </c>
      <c r="K81" s="1679">
        <f>'NSP Detailed Budget'!I539</f>
        <v>78090</v>
      </c>
      <c r="L81" s="1679">
        <f>'NSP Detailed Budget'!J539</f>
        <v>76080</v>
      </c>
      <c r="M81" s="1671">
        <f t="shared" si="99"/>
        <v>318240</v>
      </c>
      <c r="N81" s="1672"/>
      <c r="O81" s="1589"/>
      <c r="P81" s="1017"/>
      <c r="Q81" s="1017"/>
      <c r="R81" s="1115"/>
      <c r="S81" s="1017"/>
      <c r="T81" s="1018">
        <f t="shared" si="100"/>
        <v>0</v>
      </c>
      <c r="U81" s="1017"/>
      <c r="V81" s="1017"/>
      <c r="W81" s="1115"/>
      <c r="X81" s="1017"/>
      <c r="Y81" s="1018">
        <f t="shared" si="101"/>
        <v>0</v>
      </c>
      <c r="Z81" s="1017"/>
      <c r="AA81" s="1017"/>
      <c r="AB81" s="1115"/>
      <c r="AC81" s="1017"/>
      <c r="AD81" s="1018">
        <f t="shared" si="102"/>
        <v>0</v>
      </c>
      <c r="AE81" s="1017"/>
      <c r="AF81" s="1017"/>
      <c r="AG81" s="1115"/>
      <c r="AH81" s="1017"/>
      <c r="AI81" s="1018">
        <f t="shared" si="103"/>
        <v>0</v>
      </c>
      <c r="AJ81" s="1017"/>
      <c r="AK81" s="1017"/>
      <c r="AL81" s="1115"/>
      <c r="AM81" s="1017"/>
      <c r="AN81" s="1018">
        <f t="shared" si="104"/>
        <v>0</v>
      </c>
      <c r="AO81" s="330"/>
      <c r="AP81" s="330"/>
    </row>
    <row r="82" spans="1:47">
      <c r="A82" s="1657">
        <v>2.4</v>
      </c>
      <c r="B82" s="1658" t="s">
        <v>1253</v>
      </c>
      <c r="C82" s="1702"/>
      <c r="D82" s="1703"/>
      <c r="E82" s="1703"/>
      <c r="F82" s="1703"/>
      <c r="G82" s="1703"/>
      <c r="H82" s="1661"/>
      <c r="I82" s="1662">
        <f t="shared" ref="I82:AN82" si="105">SUM(I83:I85)</f>
        <v>24672</v>
      </c>
      <c r="J82" s="1662">
        <f t="shared" si="105"/>
        <v>24672</v>
      </c>
      <c r="K82" s="1662">
        <f t="shared" si="105"/>
        <v>24672</v>
      </c>
      <c r="L82" s="1662">
        <f t="shared" si="105"/>
        <v>24672</v>
      </c>
      <c r="M82" s="1663">
        <f t="shared" si="105"/>
        <v>98688</v>
      </c>
      <c r="N82" s="1664"/>
      <c r="O82" s="1598"/>
      <c r="P82" s="1015">
        <f t="shared" si="105"/>
        <v>0</v>
      </c>
      <c r="Q82" s="1015">
        <f t="shared" si="105"/>
        <v>0</v>
      </c>
      <c r="R82" s="1015">
        <f t="shared" si="105"/>
        <v>0</v>
      </c>
      <c r="S82" s="1015">
        <f t="shared" si="105"/>
        <v>0</v>
      </c>
      <c r="T82" s="1016">
        <f t="shared" si="105"/>
        <v>0</v>
      </c>
      <c r="U82" s="1015">
        <f t="shared" si="105"/>
        <v>0</v>
      </c>
      <c r="V82" s="1015">
        <f t="shared" si="105"/>
        <v>0</v>
      </c>
      <c r="W82" s="1015">
        <f t="shared" si="105"/>
        <v>0</v>
      </c>
      <c r="X82" s="1015">
        <f t="shared" si="105"/>
        <v>0</v>
      </c>
      <c r="Y82" s="1016">
        <f t="shared" si="105"/>
        <v>0</v>
      </c>
      <c r="Z82" s="1015">
        <f t="shared" si="105"/>
        <v>0</v>
      </c>
      <c r="AA82" s="1015">
        <f t="shared" si="105"/>
        <v>0</v>
      </c>
      <c r="AB82" s="1015">
        <f t="shared" si="105"/>
        <v>0</v>
      </c>
      <c r="AC82" s="1015">
        <f t="shared" si="105"/>
        <v>0</v>
      </c>
      <c r="AD82" s="1016">
        <f t="shared" si="105"/>
        <v>0</v>
      </c>
      <c r="AE82" s="1015">
        <f t="shared" si="105"/>
        <v>0</v>
      </c>
      <c r="AF82" s="1015">
        <f t="shared" si="105"/>
        <v>0</v>
      </c>
      <c r="AG82" s="1015">
        <f t="shared" si="105"/>
        <v>0</v>
      </c>
      <c r="AH82" s="1015">
        <f t="shared" si="105"/>
        <v>0</v>
      </c>
      <c r="AI82" s="1016">
        <f t="shared" si="105"/>
        <v>0</v>
      </c>
      <c r="AJ82" s="1015">
        <f t="shared" si="105"/>
        <v>0</v>
      </c>
      <c r="AK82" s="1015">
        <f t="shared" si="105"/>
        <v>0</v>
      </c>
      <c r="AL82" s="1015">
        <f t="shared" si="105"/>
        <v>0</v>
      </c>
      <c r="AM82" s="1015">
        <f t="shared" si="105"/>
        <v>0</v>
      </c>
      <c r="AN82" s="1016">
        <f t="shared" si="105"/>
        <v>0</v>
      </c>
      <c r="AO82" s="330"/>
      <c r="AP82" s="330"/>
    </row>
    <row r="83" spans="1:47" ht="30">
      <c r="A83" s="1665" t="s">
        <v>519</v>
      </c>
      <c r="B83" s="1666" t="s">
        <v>1545</v>
      </c>
      <c r="C83" s="1682" t="str">
        <f>'NSP Detailed Budget'!B544</f>
        <v>No. of person-months</v>
      </c>
      <c r="D83" s="1677">
        <f>'NSP Detailed Budget'!G544</f>
        <v>12</v>
      </c>
      <c r="E83" s="1677">
        <f>'NSP Detailed Budget'!H544</f>
        <v>12</v>
      </c>
      <c r="F83" s="1677">
        <f>'NSP Detailed Budget'!I544</f>
        <v>12</v>
      </c>
      <c r="G83" s="1677">
        <f>'NSP Detailed Budget'!J544</f>
        <v>12</v>
      </c>
      <c r="H83" s="1678" t="s">
        <v>1000</v>
      </c>
      <c r="I83" s="1679">
        <f>'NSP Detailed Budget'!G546</f>
        <v>7200</v>
      </c>
      <c r="J83" s="1679">
        <f>'NSP Detailed Budget'!H546</f>
        <v>7200</v>
      </c>
      <c r="K83" s="1679">
        <f>'NSP Detailed Budget'!I546</f>
        <v>7200</v>
      </c>
      <c r="L83" s="1679">
        <f>'NSP Detailed Budget'!J546</f>
        <v>7200</v>
      </c>
      <c r="M83" s="1671">
        <f>SUM(I83:L83)</f>
        <v>28800</v>
      </c>
      <c r="N83" s="1672"/>
      <c r="O83" s="1589"/>
      <c r="P83" s="1017"/>
      <c r="Q83" s="1017"/>
      <c r="R83" s="1115"/>
      <c r="S83" s="1017"/>
      <c r="T83" s="1018">
        <f>SUM(P83:S83)</f>
        <v>0</v>
      </c>
      <c r="U83" s="1017"/>
      <c r="V83" s="1017"/>
      <c r="W83" s="1115"/>
      <c r="X83" s="1017"/>
      <c r="Y83" s="1018">
        <f>SUM(U83:X83)</f>
        <v>0</v>
      </c>
      <c r="Z83" s="1017"/>
      <c r="AA83" s="1017"/>
      <c r="AB83" s="1115"/>
      <c r="AC83" s="1017"/>
      <c r="AD83" s="1018">
        <f>SUM(Z83:AC83)</f>
        <v>0</v>
      </c>
      <c r="AE83" s="1017"/>
      <c r="AF83" s="1017"/>
      <c r="AG83" s="1115"/>
      <c r="AH83" s="1017"/>
      <c r="AI83" s="1018">
        <f>SUM(AE83:AH83)</f>
        <v>0</v>
      </c>
      <c r="AJ83" s="1017"/>
      <c r="AK83" s="1017"/>
      <c r="AL83" s="1115"/>
      <c r="AM83" s="1017"/>
      <c r="AN83" s="1018">
        <f>SUM(AJ83:AM83)</f>
        <v>0</v>
      </c>
      <c r="AO83" s="330"/>
      <c r="AP83" s="330"/>
    </row>
    <row r="84" spans="1:47" ht="60">
      <c r="A84" s="1665" t="s">
        <v>520</v>
      </c>
      <c r="B84" s="1666" t="s">
        <v>1546</v>
      </c>
      <c r="C84" s="1682" t="s">
        <v>2118</v>
      </c>
      <c r="D84" s="1677"/>
      <c r="E84" s="1677"/>
      <c r="F84" s="1677"/>
      <c r="G84" s="1677"/>
      <c r="H84" s="1678" t="s">
        <v>49</v>
      </c>
      <c r="I84" s="1679">
        <f>'NSP Detailed Budget'!G551</f>
        <v>0</v>
      </c>
      <c r="J84" s="1679">
        <f>'NSP Detailed Budget'!H551</f>
        <v>0</v>
      </c>
      <c r="K84" s="1679">
        <f>'NSP Detailed Budget'!I551</f>
        <v>0</v>
      </c>
      <c r="L84" s="1679">
        <f>'NSP Detailed Budget'!J551</f>
        <v>0</v>
      </c>
      <c r="M84" s="1671">
        <f t="shared" ref="M84:M85" si="106">SUM(I84:L84)</f>
        <v>0</v>
      </c>
      <c r="N84" s="1672"/>
      <c r="O84" s="1589"/>
      <c r="P84" s="1017"/>
      <c r="Q84" s="1017"/>
      <c r="R84" s="1115"/>
      <c r="S84" s="1017"/>
      <c r="T84" s="1018">
        <f t="shared" ref="T84:T85" si="107">SUM(P84:S84)</f>
        <v>0</v>
      </c>
      <c r="U84" s="1017"/>
      <c r="V84" s="1017"/>
      <c r="W84" s="1115"/>
      <c r="X84" s="1017"/>
      <c r="Y84" s="1018">
        <f t="shared" ref="Y84:Y85" si="108">SUM(U84:X84)</f>
        <v>0</v>
      </c>
      <c r="Z84" s="1017"/>
      <c r="AA84" s="1017"/>
      <c r="AB84" s="1115"/>
      <c r="AC84" s="1017"/>
      <c r="AD84" s="1018">
        <f t="shared" ref="AD84:AD85" si="109">SUM(Z84:AC84)</f>
        <v>0</v>
      </c>
      <c r="AE84" s="1017"/>
      <c r="AF84" s="1017"/>
      <c r="AG84" s="1115"/>
      <c r="AH84" s="1017"/>
      <c r="AI84" s="1018">
        <f t="shared" ref="AI84:AI85" si="110">SUM(AE84:AH84)</f>
        <v>0</v>
      </c>
      <c r="AJ84" s="1017"/>
      <c r="AK84" s="1017"/>
      <c r="AL84" s="1115"/>
      <c r="AM84" s="1017"/>
      <c r="AN84" s="1018">
        <f t="shared" ref="AN84:AN85" si="111">SUM(AJ84:AM84)</f>
        <v>0</v>
      </c>
      <c r="AO84" s="330"/>
      <c r="AP84" s="330"/>
    </row>
    <row r="85" spans="1:47" ht="30">
      <c r="A85" s="1665" t="s">
        <v>521</v>
      </c>
      <c r="B85" s="1666" t="s">
        <v>1547</v>
      </c>
      <c r="C85" s="1682" t="str">
        <f>'NSP Detailed Budget'!B555</f>
        <v>No. of respirators</v>
      </c>
      <c r="D85" s="1685">
        <f>'NSP Detailed Budget'!G555</f>
        <v>8736</v>
      </c>
      <c r="E85" s="1685">
        <f>'NSP Detailed Budget'!H555</f>
        <v>8736</v>
      </c>
      <c r="F85" s="1685">
        <f>'NSP Detailed Budget'!I555</f>
        <v>8736</v>
      </c>
      <c r="G85" s="1685">
        <f>'NSP Detailed Budget'!J555</f>
        <v>8736</v>
      </c>
      <c r="H85" s="1678" t="s">
        <v>156</v>
      </c>
      <c r="I85" s="1679">
        <f>'NSP Detailed Budget'!G556</f>
        <v>17472</v>
      </c>
      <c r="J85" s="1679">
        <f>'NSP Detailed Budget'!H556</f>
        <v>17472</v>
      </c>
      <c r="K85" s="1679">
        <f>'NSP Detailed Budget'!I556</f>
        <v>17472</v>
      </c>
      <c r="L85" s="1679">
        <f>'NSP Detailed Budget'!J556</f>
        <v>17472</v>
      </c>
      <c r="M85" s="1671">
        <f t="shared" si="106"/>
        <v>69888</v>
      </c>
      <c r="N85" s="1672"/>
      <c r="O85" s="1589"/>
      <c r="P85" s="1017"/>
      <c r="Q85" s="1017"/>
      <c r="R85" s="1115"/>
      <c r="S85" s="1017"/>
      <c r="T85" s="1018">
        <f t="shared" si="107"/>
        <v>0</v>
      </c>
      <c r="U85" s="1017"/>
      <c r="V85" s="1017"/>
      <c r="W85" s="1115"/>
      <c r="X85" s="1017"/>
      <c r="Y85" s="1018">
        <f t="shared" si="108"/>
        <v>0</v>
      </c>
      <c r="Z85" s="1017"/>
      <c r="AA85" s="1017"/>
      <c r="AB85" s="1115"/>
      <c r="AC85" s="1017"/>
      <c r="AD85" s="1018">
        <f t="shared" si="109"/>
        <v>0</v>
      </c>
      <c r="AE85" s="1017"/>
      <c r="AF85" s="1017"/>
      <c r="AG85" s="1115"/>
      <c r="AH85" s="1017"/>
      <c r="AI85" s="1018">
        <f t="shared" si="110"/>
        <v>0</v>
      </c>
      <c r="AJ85" s="1017"/>
      <c r="AK85" s="1017"/>
      <c r="AL85" s="1115"/>
      <c r="AM85" s="1017"/>
      <c r="AN85" s="1018">
        <f t="shared" si="111"/>
        <v>0</v>
      </c>
      <c r="AO85" s="330"/>
      <c r="AP85" s="330"/>
    </row>
    <row r="86" spans="1:47">
      <c r="A86" s="1657">
        <v>2.5</v>
      </c>
      <c r="B86" s="1658" t="s">
        <v>1254</v>
      </c>
      <c r="C86" s="1702"/>
      <c r="D86" s="1703"/>
      <c r="E86" s="1703"/>
      <c r="F86" s="1703"/>
      <c r="G86" s="1703"/>
      <c r="H86" s="1661"/>
      <c r="I86" s="1662">
        <f t="shared" ref="I86:AN86" si="112">SUM(I87:I91)</f>
        <v>142983.65</v>
      </c>
      <c r="J86" s="1662">
        <f>SUM(J87:J91)</f>
        <v>128455.4</v>
      </c>
      <c r="K86" s="1662">
        <f>SUM(K87:K91)</f>
        <v>149881.54999999999</v>
      </c>
      <c r="L86" s="1662">
        <f t="shared" si="112"/>
        <v>128050.7</v>
      </c>
      <c r="M86" s="1663">
        <f t="shared" si="112"/>
        <v>549371.30000000005</v>
      </c>
      <c r="N86" s="1664"/>
      <c r="O86" s="1598"/>
      <c r="P86" s="1015">
        <f t="shared" si="112"/>
        <v>0</v>
      </c>
      <c r="Q86" s="1015">
        <f t="shared" si="112"/>
        <v>0</v>
      </c>
      <c r="R86" s="1015">
        <f t="shared" si="112"/>
        <v>0</v>
      </c>
      <c r="S86" s="1015">
        <f t="shared" si="112"/>
        <v>0</v>
      </c>
      <c r="T86" s="1016">
        <f t="shared" si="112"/>
        <v>0</v>
      </c>
      <c r="U86" s="1015">
        <f t="shared" si="112"/>
        <v>0</v>
      </c>
      <c r="V86" s="1015">
        <f t="shared" si="112"/>
        <v>0</v>
      </c>
      <c r="W86" s="1015">
        <f t="shared" si="112"/>
        <v>0</v>
      </c>
      <c r="X86" s="1015">
        <f t="shared" si="112"/>
        <v>0</v>
      </c>
      <c r="Y86" s="1016">
        <f t="shared" si="112"/>
        <v>0</v>
      </c>
      <c r="Z86" s="1015">
        <f t="shared" si="112"/>
        <v>0</v>
      </c>
      <c r="AA86" s="1015">
        <f t="shared" si="112"/>
        <v>0</v>
      </c>
      <c r="AB86" s="1114"/>
      <c r="AC86" s="1015">
        <f t="shared" si="112"/>
        <v>0</v>
      </c>
      <c r="AD86" s="1016">
        <f t="shared" si="112"/>
        <v>0</v>
      </c>
      <c r="AE86" s="1015">
        <f t="shared" si="112"/>
        <v>0</v>
      </c>
      <c r="AF86" s="1015">
        <f t="shared" si="112"/>
        <v>0</v>
      </c>
      <c r="AG86" s="1015">
        <f t="shared" si="112"/>
        <v>0</v>
      </c>
      <c r="AH86" s="1015">
        <f t="shared" si="112"/>
        <v>0</v>
      </c>
      <c r="AI86" s="1016">
        <f t="shared" si="112"/>
        <v>0</v>
      </c>
      <c r="AJ86" s="1015">
        <f t="shared" si="112"/>
        <v>0</v>
      </c>
      <c r="AK86" s="1015">
        <f t="shared" si="112"/>
        <v>0</v>
      </c>
      <c r="AL86" s="1015">
        <f t="shared" si="112"/>
        <v>0</v>
      </c>
      <c r="AM86" s="1015">
        <f t="shared" si="112"/>
        <v>0</v>
      </c>
      <c r="AN86" s="1016">
        <f t="shared" si="112"/>
        <v>0</v>
      </c>
      <c r="AO86" s="330"/>
      <c r="AP86" s="330"/>
    </row>
    <row r="87" spans="1:47" ht="30">
      <c r="A87" s="1665" t="s">
        <v>528</v>
      </c>
      <c r="B87" s="1686" t="s">
        <v>1554</v>
      </c>
      <c r="C87" s="1705" t="str">
        <f>'NSP Detailed Budget'!B561</f>
        <v>No. of person-months</v>
      </c>
      <c r="D87" s="1694">
        <f>'NSP Detailed Budget'!G561</f>
        <v>0</v>
      </c>
      <c r="E87" s="1694">
        <f>'NSP Detailed Budget'!H561</f>
        <v>0</v>
      </c>
      <c r="F87" s="1694">
        <f>'NSP Detailed Budget'!I561</f>
        <v>12</v>
      </c>
      <c r="G87" s="1694">
        <f>'NSP Detailed Budget'!J561</f>
        <v>0</v>
      </c>
      <c r="H87" s="1678" t="s">
        <v>1000</v>
      </c>
      <c r="I87" s="1679">
        <f>'NSP Detailed Budget'!G563</f>
        <v>0</v>
      </c>
      <c r="J87" s="1679">
        <f>'NSP Detailed Budget'!H563</f>
        <v>0</v>
      </c>
      <c r="K87" s="1679">
        <f>'NSP Detailed Budget'!I563</f>
        <v>7200</v>
      </c>
      <c r="L87" s="1679">
        <f>'NSP Detailed Budget'!J563</f>
        <v>0</v>
      </c>
      <c r="M87" s="1671">
        <f>SUM(I87:L87)</f>
        <v>7200</v>
      </c>
      <c r="N87" s="1672"/>
      <c r="O87" s="1589"/>
      <c r="P87" s="1017"/>
      <c r="Q87" s="1017"/>
      <c r="R87" s="1115"/>
      <c r="S87" s="1017"/>
      <c r="T87" s="1018">
        <f>SUM(P87:S87)</f>
        <v>0</v>
      </c>
      <c r="U87" s="1017"/>
      <c r="V87" s="1017"/>
      <c r="W87" s="1115"/>
      <c r="X87" s="1017"/>
      <c r="Y87" s="1018">
        <f>SUM(U87:X87)</f>
        <v>0</v>
      </c>
      <c r="Z87" s="1017"/>
      <c r="AA87" s="1017"/>
      <c r="AB87" s="1115"/>
      <c r="AC87" s="1017"/>
      <c r="AD87" s="1018">
        <f>SUM(Z87:AC87)</f>
        <v>0</v>
      </c>
      <c r="AE87" s="1017"/>
      <c r="AF87" s="1017"/>
      <c r="AG87" s="1115"/>
      <c r="AH87" s="1017"/>
      <c r="AI87" s="1018">
        <f>SUM(AE87:AH87)</f>
        <v>0</v>
      </c>
      <c r="AJ87" s="1017"/>
      <c r="AK87" s="1017"/>
      <c r="AL87" s="1115"/>
      <c r="AM87" s="1017"/>
      <c r="AN87" s="1018">
        <f>SUM(AJ87:AM87)</f>
        <v>0</v>
      </c>
      <c r="AO87" s="330"/>
      <c r="AP87" s="330"/>
    </row>
    <row r="88" spans="1:47" ht="60">
      <c r="A88" s="1665" t="s">
        <v>529</v>
      </c>
      <c r="B88" s="1686" t="s">
        <v>1548</v>
      </c>
      <c r="C88" s="1705" t="s">
        <v>2116</v>
      </c>
      <c r="D88" s="1694">
        <f>'NSP Detailed Budget'!G568+'NSP Detailed Budget'!G569</f>
        <v>6</v>
      </c>
      <c r="E88" s="1694">
        <f>'NSP Detailed Budget'!H568+'NSP Detailed Budget'!H569</f>
        <v>0</v>
      </c>
      <c r="F88" s="1694">
        <f>'NSP Detailed Budget'!I568+'NSP Detailed Budget'!I569</f>
        <v>6</v>
      </c>
      <c r="G88" s="1694">
        <f>'NSP Detailed Budget'!J568+'NSP Detailed Budget'!J569</f>
        <v>0</v>
      </c>
      <c r="H88" s="1678" t="s">
        <v>754</v>
      </c>
      <c r="I88" s="1679">
        <f>'NSP Detailed Budget'!G570</f>
        <v>14400</v>
      </c>
      <c r="J88" s="1679">
        <f>'NSP Detailed Budget'!H570</f>
        <v>0</v>
      </c>
      <c r="K88" s="1679">
        <f>'NSP Detailed Budget'!I570</f>
        <v>14400</v>
      </c>
      <c r="L88" s="1679">
        <f>'NSP Detailed Budget'!J570</f>
        <v>0</v>
      </c>
      <c r="M88" s="1671">
        <f t="shared" ref="M88:M91" si="113">SUM(I88:L88)</f>
        <v>28800</v>
      </c>
      <c r="N88" s="1672"/>
      <c r="O88" s="1589"/>
      <c r="P88" s="1017"/>
      <c r="Q88" s="1017"/>
      <c r="R88" s="1115"/>
      <c r="S88" s="1017"/>
      <c r="T88" s="1018">
        <f t="shared" ref="T88:T91" si="114">SUM(P88:S88)</f>
        <v>0</v>
      </c>
      <c r="U88" s="1017"/>
      <c r="V88" s="1017"/>
      <c r="W88" s="1115"/>
      <c r="X88" s="1017"/>
      <c r="Y88" s="1018">
        <f t="shared" ref="Y88:Y91" si="115">SUM(U88:X88)</f>
        <v>0</v>
      </c>
      <c r="Z88" s="1017"/>
      <c r="AA88" s="1017"/>
      <c r="AB88" s="1115"/>
      <c r="AC88" s="1017"/>
      <c r="AD88" s="1018">
        <f t="shared" ref="AD88:AD91" si="116">SUM(Z88:AC88)</f>
        <v>0</v>
      </c>
      <c r="AE88" s="1017"/>
      <c r="AF88" s="1017"/>
      <c r="AG88" s="1115"/>
      <c r="AH88" s="1017"/>
      <c r="AI88" s="1018">
        <f t="shared" ref="AI88:AI91" si="117">SUM(AE88:AH88)</f>
        <v>0</v>
      </c>
      <c r="AJ88" s="1017"/>
      <c r="AK88" s="1017"/>
      <c r="AL88" s="1115"/>
      <c r="AM88" s="1017"/>
      <c r="AN88" s="1018">
        <f t="shared" ref="AN88:AN91" si="118">SUM(AJ88:AM88)</f>
        <v>0</v>
      </c>
      <c r="AO88" s="330"/>
      <c r="AP88" s="330"/>
    </row>
    <row r="89" spans="1:47" ht="30">
      <c r="A89" s="1665" t="s">
        <v>530</v>
      </c>
      <c r="B89" s="1686" t="s">
        <v>1549</v>
      </c>
      <c r="C89" s="1705" t="str">
        <f>'NSP Detailed Budget'!B573</f>
        <v>Total No. of LTBI tests</v>
      </c>
      <c r="D89" s="1688">
        <f>'NSP Detailed Budget'!G573</f>
        <v>18000</v>
      </c>
      <c r="E89" s="1688">
        <f>'NSP Detailed Budget'!H573</f>
        <v>18000</v>
      </c>
      <c r="F89" s="1688">
        <f>'NSP Detailed Budget'!I573</f>
        <v>18000</v>
      </c>
      <c r="G89" s="1688">
        <f>'NSP Detailed Budget'!J573</f>
        <v>18000</v>
      </c>
      <c r="H89" s="1678" t="s">
        <v>156</v>
      </c>
      <c r="I89" s="1679">
        <f>'NSP Detailed Budget'!G582</f>
        <v>34200</v>
      </c>
      <c r="J89" s="1679">
        <f>'NSP Detailed Budget'!H582</f>
        <v>34200</v>
      </c>
      <c r="K89" s="1679">
        <f>'NSP Detailed Budget'!I582</f>
        <v>34200</v>
      </c>
      <c r="L89" s="1679">
        <f>'NSP Detailed Budget'!J582</f>
        <v>34200</v>
      </c>
      <c r="M89" s="1671">
        <f t="shared" si="113"/>
        <v>136800</v>
      </c>
      <c r="N89" s="1672"/>
      <c r="O89" s="1589"/>
      <c r="P89" s="1017"/>
      <c r="Q89" s="1017"/>
      <c r="R89" s="1115"/>
      <c r="S89" s="1017"/>
      <c r="T89" s="1018">
        <f t="shared" si="114"/>
        <v>0</v>
      </c>
      <c r="U89" s="1017"/>
      <c r="V89" s="1017"/>
      <c r="W89" s="1115"/>
      <c r="X89" s="1017"/>
      <c r="Y89" s="1018">
        <f t="shared" si="115"/>
        <v>0</v>
      </c>
      <c r="Z89" s="1017"/>
      <c r="AA89" s="1017"/>
      <c r="AB89" s="1115"/>
      <c r="AC89" s="1017"/>
      <c r="AD89" s="1018">
        <f t="shared" si="116"/>
        <v>0</v>
      </c>
      <c r="AE89" s="1017"/>
      <c r="AF89" s="1017"/>
      <c r="AG89" s="1115"/>
      <c r="AH89" s="1017"/>
      <c r="AI89" s="1018">
        <f t="shared" si="117"/>
        <v>0</v>
      </c>
      <c r="AJ89" s="1017"/>
      <c r="AK89" s="1017"/>
      <c r="AL89" s="1115"/>
      <c r="AM89" s="1017"/>
      <c r="AN89" s="1018">
        <f t="shared" si="118"/>
        <v>0</v>
      </c>
      <c r="AO89" s="330"/>
      <c r="AP89" s="330"/>
    </row>
    <row r="90" spans="1:47" ht="45">
      <c r="A90" s="1665" t="s">
        <v>531</v>
      </c>
      <c r="B90" s="1686" t="s">
        <v>1550</v>
      </c>
      <c r="C90" s="1705" t="str">
        <f>'NSP Detailed Budget'!B585</f>
        <v>Total No. of LTBI treatments</v>
      </c>
      <c r="D90" s="1688">
        <f>'NSP Detailed Budget'!G585</f>
        <v>4000</v>
      </c>
      <c r="E90" s="1688">
        <f>'NSP Detailed Budget'!H585</f>
        <v>4000</v>
      </c>
      <c r="F90" s="1688">
        <f>'NSP Detailed Budget'!I585</f>
        <v>4000</v>
      </c>
      <c r="G90" s="1688">
        <f>'NSP Detailed Budget'!J585</f>
        <v>4000</v>
      </c>
      <c r="H90" s="1678" t="s">
        <v>1005</v>
      </c>
      <c r="I90" s="1679">
        <f>'NSP Detailed Budget'!G594</f>
        <v>77600</v>
      </c>
      <c r="J90" s="1679">
        <f>'NSP Detailed Budget'!H594</f>
        <v>77600</v>
      </c>
      <c r="K90" s="1679">
        <f>'NSP Detailed Budget'!I594</f>
        <v>77600</v>
      </c>
      <c r="L90" s="1679">
        <f>'NSP Detailed Budget'!J594</f>
        <v>77600</v>
      </c>
      <c r="M90" s="1671">
        <f t="shared" si="113"/>
        <v>310400</v>
      </c>
      <c r="N90" s="1672"/>
      <c r="O90" s="1589"/>
      <c r="P90" s="1017"/>
      <c r="Q90" s="1017"/>
      <c r="R90" s="1115"/>
      <c r="S90" s="1017"/>
      <c r="T90" s="1018">
        <f t="shared" si="114"/>
        <v>0</v>
      </c>
      <c r="U90" s="1017"/>
      <c r="V90" s="1017"/>
      <c r="W90" s="1115"/>
      <c r="X90" s="1017"/>
      <c r="Y90" s="1018">
        <f t="shared" si="115"/>
        <v>0</v>
      </c>
      <c r="Z90" s="1017"/>
      <c r="AA90" s="1017"/>
      <c r="AB90" s="1115"/>
      <c r="AC90" s="1017"/>
      <c r="AD90" s="1018">
        <f t="shared" si="116"/>
        <v>0</v>
      </c>
      <c r="AE90" s="1017"/>
      <c r="AF90" s="1017"/>
      <c r="AG90" s="1115"/>
      <c r="AH90" s="1017"/>
      <c r="AI90" s="1018">
        <f t="shared" si="117"/>
        <v>0</v>
      </c>
      <c r="AJ90" s="1017"/>
      <c r="AK90" s="1017"/>
      <c r="AL90" s="1115"/>
      <c r="AM90" s="1017"/>
      <c r="AN90" s="1018">
        <f t="shared" si="118"/>
        <v>0</v>
      </c>
      <c r="AO90" s="330"/>
      <c r="AP90" s="330"/>
    </row>
    <row r="91" spans="1:47" ht="45">
      <c r="A91" s="1665" t="s">
        <v>532</v>
      </c>
      <c r="B91" s="1686" t="s">
        <v>1551</v>
      </c>
      <c r="C91" s="1705" t="str">
        <f>'NSP Detailed Budget'!B599</f>
        <v>Estimated No. of newborns to be vaccinated</v>
      </c>
      <c r="D91" s="1688">
        <f>'NSP Detailed Budget'!G601</f>
        <v>16783.650000000001</v>
      </c>
      <c r="E91" s="1688">
        <f>'NSP Detailed Budget'!H601</f>
        <v>16655.400000000001</v>
      </c>
      <c r="F91" s="1688">
        <f>'NSP Detailed Budget'!I601</f>
        <v>16481.550000000003</v>
      </c>
      <c r="G91" s="1688">
        <f>'NSP Detailed Budget'!J601</f>
        <v>16250.700000000003</v>
      </c>
      <c r="H91" s="1678" t="s">
        <v>1020</v>
      </c>
      <c r="I91" s="1679">
        <f>'NSP Detailed Budget'!G601</f>
        <v>16783.650000000001</v>
      </c>
      <c r="J91" s="1679">
        <f>'NSP Detailed Budget'!H601</f>
        <v>16655.400000000001</v>
      </c>
      <c r="K91" s="1679">
        <f>'NSP Detailed Budget'!I601</f>
        <v>16481.550000000003</v>
      </c>
      <c r="L91" s="1679">
        <f>'NSP Detailed Budget'!J601</f>
        <v>16250.700000000003</v>
      </c>
      <c r="M91" s="1671">
        <f t="shared" si="113"/>
        <v>66171.3</v>
      </c>
      <c r="N91" s="1672"/>
      <c r="O91" s="1589"/>
      <c r="P91" s="1017"/>
      <c r="Q91" s="1017"/>
      <c r="R91" s="1115"/>
      <c r="S91" s="1017"/>
      <c r="T91" s="1018">
        <f t="shared" si="114"/>
        <v>0</v>
      </c>
      <c r="U91" s="1017"/>
      <c r="V91" s="1017"/>
      <c r="W91" s="1115"/>
      <c r="X91" s="1017"/>
      <c r="Y91" s="1018">
        <f t="shared" si="115"/>
        <v>0</v>
      </c>
      <c r="Z91" s="1017"/>
      <c r="AA91" s="1017"/>
      <c r="AB91" s="1115"/>
      <c r="AC91" s="1017"/>
      <c r="AD91" s="1018">
        <f t="shared" si="116"/>
        <v>0</v>
      </c>
      <c r="AE91" s="1017"/>
      <c r="AF91" s="1017"/>
      <c r="AG91" s="1115"/>
      <c r="AH91" s="1017"/>
      <c r="AI91" s="1018">
        <f t="shared" si="117"/>
        <v>0</v>
      </c>
      <c r="AJ91" s="1017"/>
      <c r="AK91" s="1017"/>
      <c r="AL91" s="1115"/>
      <c r="AM91" s="1017"/>
      <c r="AN91" s="1018">
        <f t="shared" si="118"/>
        <v>0</v>
      </c>
      <c r="AO91" s="330"/>
      <c r="AP91" s="330"/>
    </row>
    <row r="92" spans="1:47">
      <c r="A92" s="1657">
        <v>2.6</v>
      </c>
      <c r="B92" s="1658" t="s">
        <v>1255</v>
      </c>
      <c r="C92" s="1702"/>
      <c r="D92" s="1703"/>
      <c r="E92" s="1703"/>
      <c r="F92" s="1703"/>
      <c r="G92" s="1703"/>
      <c r="H92" s="1661"/>
      <c r="I92" s="1662">
        <f>SUM(I93:I95)</f>
        <v>4699238.5008493774</v>
      </c>
      <c r="J92" s="1662">
        <f t="shared" ref="J92:AN92" si="119">SUM(J93:J95)</f>
        <v>4213038.5008493774</v>
      </c>
      <c r="K92" s="1662">
        <f t="shared" si="119"/>
        <v>4213038.5008493774</v>
      </c>
      <c r="L92" s="1662">
        <f t="shared" si="119"/>
        <v>4213038.5008493774</v>
      </c>
      <c r="M92" s="1663">
        <f t="shared" si="119"/>
        <v>17338354.003397509</v>
      </c>
      <c r="N92" s="1664"/>
      <c r="O92" s="1598"/>
      <c r="P92" s="1015">
        <f t="shared" si="119"/>
        <v>0</v>
      </c>
      <c r="Q92" s="1015">
        <f t="shared" si="119"/>
        <v>0</v>
      </c>
      <c r="R92" s="1015">
        <f t="shared" si="119"/>
        <v>0</v>
      </c>
      <c r="S92" s="1015">
        <f t="shared" si="119"/>
        <v>0</v>
      </c>
      <c r="T92" s="1016">
        <f t="shared" si="119"/>
        <v>0</v>
      </c>
      <c r="U92" s="1015">
        <f t="shared" si="119"/>
        <v>0</v>
      </c>
      <c r="V92" s="1015">
        <f t="shared" si="119"/>
        <v>0</v>
      </c>
      <c r="W92" s="1015">
        <f t="shared" si="119"/>
        <v>0</v>
      </c>
      <c r="X92" s="1015">
        <f t="shared" si="119"/>
        <v>0</v>
      </c>
      <c r="Y92" s="1016">
        <f t="shared" si="119"/>
        <v>0</v>
      </c>
      <c r="Z92" s="1015">
        <f t="shared" si="119"/>
        <v>0</v>
      </c>
      <c r="AA92" s="1015">
        <f t="shared" si="119"/>
        <v>0</v>
      </c>
      <c r="AB92" s="1114"/>
      <c r="AC92" s="1015">
        <f t="shared" si="119"/>
        <v>0</v>
      </c>
      <c r="AD92" s="1016">
        <f t="shared" si="119"/>
        <v>0</v>
      </c>
      <c r="AE92" s="1015">
        <f t="shared" si="119"/>
        <v>0</v>
      </c>
      <c r="AF92" s="1015">
        <f t="shared" si="119"/>
        <v>0</v>
      </c>
      <c r="AG92" s="1015">
        <f t="shared" si="119"/>
        <v>0</v>
      </c>
      <c r="AH92" s="1015">
        <f t="shared" si="119"/>
        <v>0</v>
      </c>
      <c r="AI92" s="1016">
        <f t="shared" si="119"/>
        <v>0</v>
      </c>
      <c r="AJ92" s="1015">
        <f t="shared" si="119"/>
        <v>0</v>
      </c>
      <c r="AK92" s="1015">
        <f t="shared" si="119"/>
        <v>0</v>
      </c>
      <c r="AL92" s="1015">
        <f t="shared" si="119"/>
        <v>0</v>
      </c>
      <c r="AM92" s="1015">
        <f t="shared" si="119"/>
        <v>0</v>
      </c>
      <c r="AN92" s="1016">
        <f t="shared" si="119"/>
        <v>0</v>
      </c>
      <c r="AO92" s="330"/>
      <c r="AP92" s="330"/>
    </row>
    <row r="93" spans="1:47" ht="30">
      <c r="A93" s="1665" t="s">
        <v>537</v>
      </c>
      <c r="B93" s="1686" t="s">
        <v>2120</v>
      </c>
      <c r="C93" s="1705" t="s">
        <v>2119</v>
      </c>
      <c r="D93" s="1694">
        <v>1</v>
      </c>
      <c r="E93" s="1694">
        <v>1</v>
      </c>
      <c r="F93" s="1694">
        <v>1</v>
      </c>
      <c r="G93" s="1694">
        <v>1</v>
      </c>
      <c r="H93" s="1678" t="s">
        <v>770</v>
      </c>
      <c r="I93" s="1679">
        <f>'NSP Detailed Budget'!G609</f>
        <v>1898439.1024915059</v>
      </c>
      <c r="J93" s="1679">
        <f>'NSP Detailed Budget'!H609</f>
        <v>1898439.1024915059</v>
      </c>
      <c r="K93" s="1679">
        <f>'NSP Detailed Budget'!I609</f>
        <v>1898439.1024915059</v>
      </c>
      <c r="L93" s="1679">
        <f>'NSP Detailed Budget'!J609</f>
        <v>1898439.1024915059</v>
      </c>
      <c r="M93" s="1671">
        <f>SUM(I93:L93)</f>
        <v>7593756.4099660236</v>
      </c>
      <c r="N93" s="1672"/>
      <c r="O93" s="1589"/>
      <c r="P93" s="1017"/>
      <c r="Q93" s="1017"/>
      <c r="R93" s="1115"/>
      <c r="S93" s="1017"/>
      <c r="T93" s="1018">
        <f>SUM(P93:S93)</f>
        <v>0</v>
      </c>
      <c r="U93" s="1017"/>
      <c r="V93" s="1017"/>
      <c r="W93" s="1115"/>
      <c r="X93" s="1017"/>
      <c r="Y93" s="1018">
        <f>SUM(U93:X93)</f>
        <v>0</v>
      </c>
      <c r="Z93" s="1017"/>
      <c r="AA93" s="1017"/>
      <c r="AB93" s="1115"/>
      <c r="AC93" s="1017"/>
      <c r="AD93" s="1018">
        <f>SUM(Z93:AC93)</f>
        <v>0</v>
      </c>
      <c r="AE93" s="1017"/>
      <c r="AF93" s="1017"/>
      <c r="AG93" s="1115"/>
      <c r="AH93" s="1017"/>
      <c r="AI93" s="1018">
        <f>SUM(AE93:AH93)</f>
        <v>0</v>
      </c>
      <c r="AJ93" s="1017"/>
      <c r="AK93" s="1017"/>
      <c r="AL93" s="1115"/>
      <c r="AM93" s="1017"/>
      <c r="AN93" s="1018">
        <f>SUM(AJ93:AM93)</f>
        <v>0</v>
      </c>
      <c r="AO93" s="330"/>
      <c r="AP93" s="330"/>
    </row>
    <row r="94" spans="1:47" ht="45">
      <c r="A94" s="1665" t="s">
        <v>538</v>
      </c>
      <c r="B94" s="1686" t="s">
        <v>1662</v>
      </c>
      <c r="C94" s="1705" t="s">
        <v>2122</v>
      </c>
      <c r="D94" s="1694"/>
      <c r="E94" s="1694"/>
      <c r="F94" s="1694"/>
      <c r="G94" s="1694"/>
      <c r="H94" s="1678" t="s">
        <v>757</v>
      </c>
      <c r="I94" s="1679">
        <f>'NSP Detailed Budget'!G612</f>
        <v>486200</v>
      </c>
      <c r="J94" s="1679">
        <f>'NSP Detailed Budget'!H612</f>
        <v>0</v>
      </c>
      <c r="K94" s="1679">
        <f>'NSP Detailed Budget'!I612</f>
        <v>0</v>
      </c>
      <c r="L94" s="1679">
        <f>'NSP Detailed Budget'!J612</f>
        <v>0</v>
      </c>
      <c r="M94" s="1671">
        <f t="shared" ref="M94:M95" si="120">SUM(I94:L94)</f>
        <v>486200</v>
      </c>
      <c r="N94" s="1672"/>
      <c r="O94" s="1589"/>
      <c r="P94" s="1017"/>
      <c r="Q94" s="1017"/>
      <c r="R94" s="1115"/>
      <c r="S94" s="1017"/>
      <c r="T94" s="1018">
        <f t="shared" ref="T94:T95" si="121">SUM(P94:S94)</f>
        <v>0</v>
      </c>
      <c r="U94" s="1017"/>
      <c r="V94" s="1017"/>
      <c r="W94" s="1115"/>
      <c r="X94" s="1017"/>
      <c r="Y94" s="1018">
        <f t="shared" ref="Y94:Y95" si="122">SUM(U94:X94)</f>
        <v>0</v>
      </c>
      <c r="Z94" s="1017"/>
      <c r="AA94" s="1017"/>
      <c r="AB94" s="1115"/>
      <c r="AC94" s="1017"/>
      <c r="AD94" s="1018">
        <f t="shared" ref="AD94:AD95" si="123">SUM(Z94:AC94)</f>
        <v>0</v>
      </c>
      <c r="AE94" s="1017"/>
      <c r="AF94" s="1017"/>
      <c r="AG94" s="1115"/>
      <c r="AH94" s="1017"/>
      <c r="AI94" s="1018">
        <f t="shared" ref="AI94:AI95" si="124">SUM(AE94:AH94)</f>
        <v>0</v>
      </c>
      <c r="AJ94" s="1017"/>
      <c r="AK94" s="1017"/>
      <c r="AL94" s="1115"/>
      <c r="AM94" s="1017"/>
      <c r="AN94" s="1018">
        <f t="shared" ref="AN94:AN95" si="125">SUM(AJ94:AM94)</f>
        <v>0</v>
      </c>
      <c r="AO94" s="330"/>
      <c r="AP94" s="330"/>
    </row>
    <row r="95" spans="1:47" ht="30">
      <c r="A95" s="1665" t="s">
        <v>539</v>
      </c>
      <c r="B95" s="1686" t="s">
        <v>2121</v>
      </c>
      <c r="C95" s="1705" t="s">
        <v>2112</v>
      </c>
      <c r="D95" s="1694">
        <v>1</v>
      </c>
      <c r="E95" s="1694">
        <v>1</v>
      </c>
      <c r="F95" s="1694">
        <v>1</v>
      </c>
      <c r="G95" s="1694">
        <v>1</v>
      </c>
      <c r="H95" s="1678" t="s">
        <v>50</v>
      </c>
      <c r="I95" s="1679">
        <f>'NSP Detailed Budget'!G619</f>
        <v>2314599.398357871</v>
      </c>
      <c r="J95" s="1679">
        <f>'NSP Detailed Budget'!H619</f>
        <v>2314599.398357871</v>
      </c>
      <c r="K95" s="1679">
        <f>'NSP Detailed Budget'!I619</f>
        <v>2314599.398357871</v>
      </c>
      <c r="L95" s="1679">
        <f>'NSP Detailed Budget'!J619</f>
        <v>2314599.398357871</v>
      </c>
      <c r="M95" s="1671">
        <f t="shared" si="120"/>
        <v>9258397.593431484</v>
      </c>
      <c r="N95" s="1672"/>
      <c r="O95" s="1589"/>
      <c r="P95" s="1017"/>
      <c r="Q95" s="1017"/>
      <c r="R95" s="1115"/>
      <c r="S95" s="1017"/>
      <c r="T95" s="1018">
        <f t="shared" si="121"/>
        <v>0</v>
      </c>
      <c r="U95" s="1017"/>
      <c r="V95" s="1017"/>
      <c r="W95" s="1115"/>
      <c r="X95" s="1017"/>
      <c r="Y95" s="1018">
        <f t="shared" si="122"/>
        <v>0</v>
      </c>
      <c r="Z95" s="1017"/>
      <c r="AA95" s="1017"/>
      <c r="AB95" s="1115"/>
      <c r="AC95" s="1017"/>
      <c r="AD95" s="1018">
        <f t="shared" si="123"/>
        <v>0</v>
      </c>
      <c r="AE95" s="1017"/>
      <c r="AF95" s="1017"/>
      <c r="AG95" s="1115"/>
      <c r="AH95" s="1017"/>
      <c r="AI95" s="1018">
        <f t="shared" si="124"/>
        <v>0</v>
      </c>
      <c r="AJ95" s="1017"/>
      <c r="AK95" s="1017"/>
      <c r="AL95" s="1115"/>
      <c r="AM95" s="1017"/>
      <c r="AN95" s="1018">
        <f t="shared" si="125"/>
        <v>0</v>
      </c>
      <c r="AO95" s="330"/>
      <c r="AP95" s="330"/>
    </row>
    <row r="96" spans="1:47" ht="47.25">
      <c r="A96" s="336">
        <v>3</v>
      </c>
      <c r="B96" s="1547" t="s">
        <v>1674</v>
      </c>
      <c r="C96" s="1593"/>
      <c r="D96" s="1594"/>
      <c r="E96" s="1594"/>
      <c r="F96" s="1594"/>
      <c r="G96" s="1594"/>
      <c r="H96" s="1548"/>
      <c r="I96" s="1549">
        <f>SUM(I97,I108,I119,I129)</f>
        <v>2080047.3150684931</v>
      </c>
      <c r="J96" s="1549">
        <f>SUM(J97,J108,J119,J129)</f>
        <v>1760623</v>
      </c>
      <c r="K96" s="1549">
        <f>SUM(K97,K108,K119,K129)</f>
        <v>1836923</v>
      </c>
      <c r="L96" s="1549">
        <f>SUM(L97,L108,L119,L129)</f>
        <v>1576010</v>
      </c>
      <c r="M96" s="1700">
        <f>SUM(M97,M108,M119,M129)</f>
        <v>7253603.3150684927</v>
      </c>
      <c r="N96" s="1701" t="s">
        <v>2167</v>
      </c>
      <c r="O96" s="1599"/>
      <c r="P96" s="1013">
        <f>'Govt &amp; External'!J111</f>
        <v>143880</v>
      </c>
      <c r="Q96" s="1013">
        <f>'Govt &amp; External'!K111</f>
        <v>144410</v>
      </c>
      <c r="R96" s="1013">
        <f>'Govt &amp; External'!L111</f>
        <v>303140</v>
      </c>
      <c r="S96" s="1013">
        <f>'Govt &amp; External'!M111</f>
        <v>311730</v>
      </c>
      <c r="T96" s="1014">
        <f>SUM(P96:S96)</f>
        <v>903160</v>
      </c>
      <c r="U96" s="1013">
        <f>'NSP Detailed Budget'!Q112</f>
        <v>1671936.5298630137</v>
      </c>
      <c r="V96" s="1013">
        <f>'NSP Detailed Budget'!R112</f>
        <v>1253897.05</v>
      </c>
      <c r="W96" s="1013">
        <f>'NSP Detailed Budget'!S112</f>
        <v>1241178.4000000001</v>
      </c>
      <c r="X96" s="1013">
        <f>'NSP Detailed Budget'!T112</f>
        <v>967920</v>
      </c>
      <c r="Y96" s="1014">
        <f>SUM(U96:X96)</f>
        <v>5134931.9798630141</v>
      </c>
      <c r="Z96" s="1013"/>
      <c r="AA96" s="1013"/>
      <c r="AB96" s="1013"/>
      <c r="AC96" s="1013"/>
      <c r="AD96" s="1014">
        <f>SUM(Z96:AC96)</f>
        <v>0</v>
      </c>
      <c r="AE96" s="1013">
        <f>SUM(U96,Z96)</f>
        <v>1671936.5298630137</v>
      </c>
      <c r="AF96" s="1013">
        <f>SUM(V96,AA96)</f>
        <v>1253897.05</v>
      </c>
      <c r="AG96" s="1013">
        <f>SUM(W96,AB96)</f>
        <v>1241178.4000000001</v>
      </c>
      <c r="AH96" s="1013">
        <f>SUM(X96,AC96)</f>
        <v>967920</v>
      </c>
      <c r="AI96" s="1014">
        <f>SUM(AE96:AH96)</f>
        <v>5134931.9798630141</v>
      </c>
      <c r="AJ96" s="1013">
        <f>I96-SUM(P96,AE96)</f>
        <v>264230.78520547948</v>
      </c>
      <c r="AK96" s="1013">
        <f>J96-SUM(Q96,AF96)</f>
        <v>362315.94999999995</v>
      </c>
      <c r="AL96" s="1013">
        <f>K96-SUM(R96,AG96)</f>
        <v>292604.59999999986</v>
      </c>
      <c r="AM96" s="1013">
        <f>L96-SUM(S96,AH96)</f>
        <v>296360</v>
      </c>
      <c r="AN96" s="1014">
        <f>SUM(AJ96:AM96)</f>
        <v>1215511.3352054793</v>
      </c>
      <c r="AO96" s="822"/>
      <c r="AP96" s="330"/>
      <c r="AQ96" s="995"/>
      <c r="AR96" s="995"/>
      <c r="AS96" s="995"/>
      <c r="AT96" s="995"/>
      <c r="AU96" s="995"/>
    </row>
    <row r="97" spans="1:42" ht="28.5">
      <c r="A97" s="1657">
        <v>3.1</v>
      </c>
      <c r="B97" s="1658" t="s">
        <v>1258</v>
      </c>
      <c r="C97" s="1702"/>
      <c r="D97" s="1703"/>
      <c r="E97" s="1703"/>
      <c r="F97" s="1703"/>
      <c r="G97" s="1703"/>
      <c r="H97" s="1661"/>
      <c r="I97" s="1662">
        <f>SUM(I98:I107)</f>
        <v>808562.31506849313</v>
      </c>
      <c r="J97" s="1662">
        <f t="shared" ref="J97:L97" si="126">SUM(J98:J107)</f>
        <v>563713</v>
      </c>
      <c r="K97" s="1662">
        <f t="shared" si="126"/>
        <v>542713</v>
      </c>
      <c r="L97" s="1662">
        <f t="shared" si="126"/>
        <v>349100</v>
      </c>
      <c r="M97" s="1663">
        <f>I97+J97+K97+L97</f>
        <v>2264088.3150684931</v>
      </c>
      <c r="N97" s="1664"/>
      <c r="O97" s="1598"/>
      <c r="P97" s="1015">
        <f t="shared" ref="P97:AM97" si="127">SUM(P98:P106)</f>
        <v>0</v>
      </c>
      <c r="Q97" s="1015">
        <f t="shared" si="127"/>
        <v>0</v>
      </c>
      <c r="R97" s="1015">
        <f t="shared" si="127"/>
        <v>0</v>
      </c>
      <c r="S97" s="1015">
        <f t="shared" si="127"/>
        <v>0</v>
      </c>
      <c r="T97" s="1016">
        <f>SUM(T98:T107)</f>
        <v>0</v>
      </c>
      <c r="U97" s="1015">
        <f t="shared" si="127"/>
        <v>0</v>
      </c>
      <c r="V97" s="1015">
        <f t="shared" si="127"/>
        <v>0</v>
      </c>
      <c r="W97" s="1015">
        <f t="shared" si="127"/>
        <v>0</v>
      </c>
      <c r="X97" s="1015">
        <f t="shared" si="127"/>
        <v>0</v>
      </c>
      <c r="Y97" s="1016">
        <f>SUM(Y98:Y107)</f>
        <v>0</v>
      </c>
      <c r="Z97" s="1015">
        <f t="shared" si="127"/>
        <v>0</v>
      </c>
      <c r="AA97" s="1015">
        <f t="shared" si="127"/>
        <v>0</v>
      </c>
      <c r="AB97" s="1015">
        <f t="shared" si="127"/>
        <v>0</v>
      </c>
      <c r="AC97" s="1015">
        <f t="shared" si="127"/>
        <v>0</v>
      </c>
      <c r="AD97" s="1016">
        <f>SUM(AD98:AD107)</f>
        <v>0</v>
      </c>
      <c r="AE97" s="1015">
        <f t="shared" si="127"/>
        <v>0</v>
      </c>
      <c r="AF97" s="1015">
        <f t="shared" si="127"/>
        <v>0</v>
      </c>
      <c r="AG97" s="1015">
        <f t="shared" si="127"/>
        <v>0</v>
      </c>
      <c r="AH97" s="1015">
        <f t="shared" si="127"/>
        <v>0</v>
      </c>
      <c r="AI97" s="1016">
        <f>SUM(AI98:AI107)</f>
        <v>0</v>
      </c>
      <c r="AJ97" s="1015">
        <f t="shared" si="127"/>
        <v>0</v>
      </c>
      <c r="AK97" s="1015">
        <f t="shared" si="127"/>
        <v>0</v>
      </c>
      <c r="AL97" s="1015">
        <f t="shared" si="127"/>
        <v>0</v>
      </c>
      <c r="AM97" s="1015">
        <f t="shared" si="127"/>
        <v>0</v>
      </c>
      <c r="AN97" s="1016">
        <f>SUM(AN98:AN107)</f>
        <v>0</v>
      </c>
      <c r="AO97" s="330"/>
      <c r="AP97" s="330"/>
    </row>
    <row r="98" spans="1:42" ht="30">
      <c r="A98" s="1665" t="s">
        <v>368</v>
      </c>
      <c r="B98" s="1666" t="s">
        <v>1579</v>
      </c>
      <c r="C98" s="1682" t="str">
        <f>'NSP Detailed Budget'!B625</f>
        <v>Number of TA units</v>
      </c>
      <c r="D98" s="1677">
        <v>1</v>
      </c>
      <c r="E98" s="1677">
        <v>1</v>
      </c>
      <c r="F98" s="1677">
        <v>1</v>
      </c>
      <c r="G98" s="1677">
        <v>1</v>
      </c>
      <c r="H98" s="1678" t="s">
        <v>998</v>
      </c>
      <c r="I98" s="1679">
        <f>'NSP Detailed Budget'!G626</f>
        <v>18700</v>
      </c>
      <c r="J98" s="1679">
        <f>'NSP Detailed Budget'!H626</f>
        <v>18700</v>
      </c>
      <c r="K98" s="1679">
        <f>'NSP Detailed Budget'!I626</f>
        <v>18700</v>
      </c>
      <c r="L98" s="1679">
        <f>'NSP Detailed Budget'!J626</f>
        <v>18700</v>
      </c>
      <c r="M98" s="1671">
        <f>SUM(I98:L98)</f>
        <v>74800</v>
      </c>
      <c r="N98" s="1672"/>
      <c r="O98" s="1589"/>
      <c r="P98" s="1017"/>
      <c r="Q98" s="1017"/>
      <c r="R98" s="1115"/>
      <c r="S98" s="1017"/>
      <c r="T98" s="1018">
        <f>SUM(P98:S98)</f>
        <v>0</v>
      </c>
      <c r="U98" s="1017"/>
      <c r="V98" s="1017"/>
      <c r="W98" s="1115"/>
      <c r="X98" s="1017"/>
      <c r="Y98" s="1018">
        <f>SUM(U98:X98)</f>
        <v>0</v>
      </c>
      <c r="Z98" s="1017"/>
      <c r="AA98" s="1017"/>
      <c r="AB98" s="1115"/>
      <c r="AC98" s="1017"/>
      <c r="AD98" s="1018">
        <f>SUM(Z98:AC98)</f>
        <v>0</v>
      </c>
      <c r="AE98" s="1017"/>
      <c r="AF98" s="1017"/>
      <c r="AG98" s="1115"/>
      <c r="AH98" s="1017"/>
      <c r="AI98" s="1018">
        <f>SUM(AE98:AH98)</f>
        <v>0</v>
      </c>
      <c r="AJ98" s="1017"/>
      <c r="AK98" s="1017"/>
      <c r="AL98" s="1115"/>
      <c r="AM98" s="1017"/>
      <c r="AN98" s="1018">
        <f>SUM(AJ98:AM98)</f>
        <v>0</v>
      </c>
      <c r="AO98" s="330"/>
      <c r="AP98" s="330"/>
    </row>
    <row r="99" spans="1:42" ht="45">
      <c r="A99" s="1665" t="s">
        <v>369</v>
      </c>
      <c r="B99" s="1666" t="s">
        <v>2164</v>
      </c>
      <c r="C99" s="1682" t="str">
        <f>'NSP Detailed Budget'!B629</f>
        <v>No. of person-months</v>
      </c>
      <c r="D99" s="1677">
        <f>'NSP Detailed Budget'!G629</f>
        <v>15</v>
      </c>
      <c r="E99" s="1677">
        <f>'NSP Detailed Budget'!H629</f>
        <v>15</v>
      </c>
      <c r="F99" s="1677">
        <f>'NSP Detailed Budget'!I629</f>
        <v>15</v>
      </c>
      <c r="G99" s="1677">
        <f>'NSP Detailed Budget'!J629</f>
        <v>15</v>
      </c>
      <c r="H99" s="1678" t="s">
        <v>1000</v>
      </c>
      <c r="I99" s="1679">
        <f>'NSP Detailed Budget'!G631</f>
        <v>9000</v>
      </c>
      <c r="J99" s="1679">
        <f>'NSP Detailed Budget'!H631</f>
        <v>9000</v>
      </c>
      <c r="K99" s="1679">
        <f>'NSP Detailed Budget'!I631</f>
        <v>0</v>
      </c>
      <c r="L99" s="1679">
        <f>'NSP Detailed Budget'!J631</f>
        <v>0</v>
      </c>
      <c r="M99" s="1671">
        <f t="shared" ref="M99:M118" si="128">SUM(I99:L99)</f>
        <v>18000</v>
      </c>
      <c r="N99" s="1672"/>
      <c r="O99" s="1589"/>
      <c r="P99" s="1017"/>
      <c r="Q99" s="1017"/>
      <c r="R99" s="1115"/>
      <c r="S99" s="1017"/>
      <c r="T99" s="1018">
        <f t="shared" ref="T99:T118" si="129">SUM(P99:S99)</f>
        <v>0</v>
      </c>
      <c r="U99" s="1017"/>
      <c r="V99" s="1017"/>
      <c r="W99" s="1115"/>
      <c r="X99" s="1017"/>
      <c r="Y99" s="1018">
        <f t="shared" ref="Y99:Y118" si="130">SUM(U99:X99)</f>
        <v>0</v>
      </c>
      <c r="Z99" s="1017"/>
      <c r="AA99" s="1017"/>
      <c r="AB99" s="1115"/>
      <c r="AC99" s="1017"/>
      <c r="AD99" s="1018">
        <f t="shared" ref="AD99:AD118" si="131">SUM(Z99:AC99)</f>
        <v>0</v>
      </c>
      <c r="AE99" s="1017"/>
      <c r="AF99" s="1017"/>
      <c r="AG99" s="1115"/>
      <c r="AH99" s="1017"/>
      <c r="AI99" s="1018">
        <f t="shared" ref="AI99:AI118" si="132">SUM(AE99:AH99)</f>
        <v>0</v>
      </c>
      <c r="AJ99" s="1017"/>
      <c r="AK99" s="1017"/>
      <c r="AL99" s="1115"/>
      <c r="AM99" s="1017"/>
      <c r="AN99" s="1018">
        <f t="shared" ref="AN99:AN118" si="133">SUM(AJ99:AM99)</f>
        <v>0</v>
      </c>
      <c r="AO99" s="330"/>
      <c r="AP99" s="330"/>
    </row>
    <row r="100" spans="1:42" ht="30">
      <c r="A100" s="1665" t="s">
        <v>370</v>
      </c>
      <c r="B100" s="1666" t="s">
        <v>1581</v>
      </c>
      <c r="C100" s="1682" t="str">
        <f>'NSP Detailed Budget'!B635</f>
        <v>No. of person-events</v>
      </c>
      <c r="D100" s="1677">
        <f>'NSP Detailed Budget'!G635</f>
        <v>12</v>
      </c>
      <c r="E100" s="1677">
        <f>'NSP Detailed Budget'!H635</f>
        <v>12</v>
      </c>
      <c r="F100" s="1677">
        <f>'NSP Detailed Budget'!I635</f>
        <v>12</v>
      </c>
      <c r="G100" s="1677">
        <f>'NSP Detailed Budget'!J635</f>
        <v>12</v>
      </c>
      <c r="H100" s="1678" t="s">
        <v>1002</v>
      </c>
      <c r="I100" s="1679">
        <f>'NSP Detailed Budget'!G637</f>
        <v>280849.31506849313</v>
      </c>
      <c r="J100" s="1679">
        <f>'NSP Detailed Budget'!H637</f>
        <v>24000</v>
      </c>
      <c r="K100" s="1679">
        <f>'NSP Detailed Budget'!I637</f>
        <v>24000</v>
      </c>
      <c r="L100" s="1679">
        <f>'NSP Detailed Budget'!J637</f>
        <v>24000</v>
      </c>
      <c r="M100" s="1671">
        <f t="shared" si="128"/>
        <v>352849.31506849313</v>
      </c>
      <c r="N100" s="1672"/>
      <c r="O100" s="1589"/>
      <c r="P100" s="1017"/>
      <c r="Q100" s="1017"/>
      <c r="R100" s="1115"/>
      <c r="S100" s="1017"/>
      <c r="T100" s="1018">
        <f t="shared" si="129"/>
        <v>0</v>
      </c>
      <c r="U100" s="1017"/>
      <c r="V100" s="1017"/>
      <c r="W100" s="1115"/>
      <c r="X100" s="1017"/>
      <c r="Y100" s="1018">
        <f t="shared" si="130"/>
        <v>0</v>
      </c>
      <c r="Z100" s="1017"/>
      <c r="AA100" s="1017"/>
      <c r="AB100" s="1115"/>
      <c r="AC100" s="1017"/>
      <c r="AD100" s="1018">
        <f t="shared" si="131"/>
        <v>0</v>
      </c>
      <c r="AE100" s="1017"/>
      <c r="AF100" s="1017"/>
      <c r="AG100" s="1115"/>
      <c r="AH100" s="1017"/>
      <c r="AI100" s="1018">
        <f t="shared" si="132"/>
        <v>0</v>
      </c>
      <c r="AJ100" s="1017"/>
      <c r="AK100" s="1017"/>
      <c r="AL100" s="1115"/>
      <c r="AM100" s="1017"/>
      <c r="AN100" s="1018">
        <f t="shared" si="133"/>
        <v>0</v>
      </c>
      <c r="AO100" s="330"/>
      <c r="AP100" s="330"/>
    </row>
    <row r="101" spans="1:42" ht="60" customHeight="1">
      <c r="A101" s="1665" t="s">
        <v>371</v>
      </c>
      <c r="B101" s="1666" t="s">
        <v>1582</v>
      </c>
      <c r="C101" s="1743" t="s">
        <v>2116</v>
      </c>
      <c r="D101" s="1677">
        <f>'NSP Detailed Budget'!G642</f>
        <v>1</v>
      </c>
      <c r="E101" s="1677">
        <f>'NSP Detailed Budget'!H642</f>
        <v>1</v>
      </c>
      <c r="F101" s="1677">
        <f>'NSP Detailed Budget'!I642</f>
        <v>1</v>
      </c>
      <c r="G101" s="1677">
        <f>'NSP Detailed Budget'!J642</f>
        <v>1</v>
      </c>
      <c r="H101" s="1678" t="s">
        <v>754</v>
      </c>
      <c r="I101" s="1679">
        <f>'NSP Detailed Budget'!G644</f>
        <v>5100</v>
      </c>
      <c r="J101" s="1679">
        <f>'NSP Detailed Budget'!H644</f>
        <v>5100</v>
      </c>
      <c r="K101" s="1679">
        <f>'NSP Detailed Budget'!I644</f>
        <v>5100</v>
      </c>
      <c r="L101" s="1679">
        <f>'NSP Detailed Budget'!J644</f>
        <v>5100</v>
      </c>
      <c r="M101" s="1671">
        <f t="shared" si="128"/>
        <v>20400</v>
      </c>
      <c r="N101" s="1672"/>
      <c r="O101" s="1589"/>
      <c r="P101" s="1017"/>
      <c r="Q101" s="1017"/>
      <c r="R101" s="1115"/>
      <c r="S101" s="1017"/>
      <c r="T101" s="1018">
        <f t="shared" si="129"/>
        <v>0</v>
      </c>
      <c r="U101" s="1017"/>
      <c r="V101" s="1017"/>
      <c r="W101" s="1115"/>
      <c r="X101" s="1017"/>
      <c r="Y101" s="1018">
        <f t="shared" si="130"/>
        <v>0</v>
      </c>
      <c r="Z101" s="1017"/>
      <c r="AA101" s="1017"/>
      <c r="AB101" s="1115"/>
      <c r="AC101" s="1017"/>
      <c r="AD101" s="1018">
        <f t="shared" si="131"/>
        <v>0</v>
      </c>
      <c r="AE101" s="1017"/>
      <c r="AF101" s="1017"/>
      <c r="AG101" s="1115"/>
      <c r="AH101" s="1017"/>
      <c r="AI101" s="1018">
        <f t="shared" si="132"/>
        <v>0</v>
      </c>
      <c r="AJ101" s="1017"/>
      <c r="AK101" s="1017"/>
      <c r="AL101" s="1115"/>
      <c r="AM101" s="1017"/>
      <c r="AN101" s="1018">
        <f t="shared" si="133"/>
        <v>0</v>
      </c>
      <c r="AO101" s="330"/>
      <c r="AP101" s="330"/>
    </row>
    <row r="102" spans="1:42">
      <c r="A102" s="1665" t="s">
        <v>372</v>
      </c>
      <c r="B102" s="1666" t="s">
        <v>1587</v>
      </c>
      <c r="C102" s="1744"/>
      <c r="D102" s="1677">
        <f>'NSP Detailed Budget'!G649+'NSP Detailed Budget'!G650</f>
        <v>10</v>
      </c>
      <c r="E102" s="1677">
        <f>'NSP Detailed Budget'!H649+'NSP Detailed Budget'!H650</f>
        <v>10</v>
      </c>
      <c r="F102" s="1677">
        <f>'NSP Detailed Budget'!I649+'NSP Detailed Budget'!I650</f>
        <v>10</v>
      </c>
      <c r="G102" s="1677">
        <f>'NSP Detailed Budget'!J649+'NSP Detailed Budget'!J650</f>
        <v>10</v>
      </c>
      <c r="H102" s="1678" t="s">
        <v>754</v>
      </c>
      <c r="I102" s="1679">
        <f>'NSP Detailed Budget'!G651</f>
        <v>39200</v>
      </c>
      <c r="J102" s="1679">
        <f>'NSP Detailed Budget'!H651</f>
        <v>39200</v>
      </c>
      <c r="K102" s="1679">
        <f>'NSP Detailed Budget'!I651</f>
        <v>39200</v>
      </c>
      <c r="L102" s="1679">
        <f>'NSP Detailed Budget'!J651</f>
        <v>39200</v>
      </c>
      <c r="M102" s="1671">
        <f t="shared" si="128"/>
        <v>156800</v>
      </c>
      <c r="N102" s="1672"/>
      <c r="O102" s="1589"/>
      <c r="P102" s="1017"/>
      <c r="Q102" s="1017"/>
      <c r="R102" s="1115"/>
      <c r="S102" s="1017"/>
      <c r="T102" s="1018">
        <f t="shared" si="129"/>
        <v>0</v>
      </c>
      <c r="U102" s="1017"/>
      <c r="V102" s="1017"/>
      <c r="W102" s="1115"/>
      <c r="X102" s="1017"/>
      <c r="Y102" s="1018">
        <f t="shared" si="130"/>
        <v>0</v>
      </c>
      <c r="Z102" s="1017"/>
      <c r="AA102" s="1017"/>
      <c r="AB102" s="1115"/>
      <c r="AC102" s="1017"/>
      <c r="AD102" s="1018">
        <f t="shared" si="131"/>
        <v>0</v>
      </c>
      <c r="AE102" s="1017"/>
      <c r="AF102" s="1017"/>
      <c r="AG102" s="1115"/>
      <c r="AH102" s="1017"/>
      <c r="AI102" s="1018">
        <f t="shared" si="132"/>
        <v>0</v>
      </c>
      <c r="AJ102" s="1017"/>
      <c r="AK102" s="1017"/>
      <c r="AL102" s="1115"/>
      <c r="AM102" s="1017"/>
      <c r="AN102" s="1018">
        <f t="shared" si="133"/>
        <v>0</v>
      </c>
      <c r="AO102" s="330"/>
      <c r="AP102" s="330"/>
    </row>
    <row r="103" spans="1:42" ht="30">
      <c r="A103" s="1665" t="s">
        <v>373</v>
      </c>
      <c r="B103" s="1666" t="s">
        <v>2114</v>
      </c>
      <c r="C103" s="1744"/>
      <c r="D103" s="1677">
        <f>'NSP Detailed Budget'!G657</f>
        <v>16</v>
      </c>
      <c r="E103" s="1677">
        <f>'NSP Detailed Budget'!H657</f>
        <v>16</v>
      </c>
      <c r="F103" s="1677">
        <f>'NSP Detailed Budget'!I657</f>
        <v>16</v>
      </c>
      <c r="G103" s="1677">
        <f>'NSP Detailed Budget'!J657</f>
        <v>16</v>
      </c>
      <c r="H103" s="1678" t="s">
        <v>754</v>
      </c>
      <c r="I103" s="1679">
        <f>'NSP Detailed Budget'!G658</f>
        <v>44800</v>
      </c>
      <c r="J103" s="1679">
        <f>'NSP Detailed Budget'!H658</f>
        <v>44800</v>
      </c>
      <c r="K103" s="1679">
        <f>'NSP Detailed Budget'!I658</f>
        <v>44800</v>
      </c>
      <c r="L103" s="1679">
        <f>'NSP Detailed Budget'!J658</f>
        <v>44800</v>
      </c>
      <c r="M103" s="1671">
        <f t="shared" si="128"/>
        <v>179200</v>
      </c>
      <c r="N103" s="1672"/>
      <c r="O103" s="1589"/>
      <c r="P103" s="1017"/>
      <c r="Q103" s="1017"/>
      <c r="R103" s="1115"/>
      <c r="S103" s="1017"/>
      <c r="T103" s="1018">
        <f t="shared" si="129"/>
        <v>0</v>
      </c>
      <c r="U103" s="1017"/>
      <c r="V103" s="1017"/>
      <c r="W103" s="1115"/>
      <c r="X103" s="1017"/>
      <c r="Y103" s="1018">
        <f t="shared" si="130"/>
        <v>0</v>
      </c>
      <c r="Z103" s="1017"/>
      <c r="AA103" s="1017"/>
      <c r="AB103" s="1115"/>
      <c r="AC103" s="1017"/>
      <c r="AD103" s="1018">
        <f t="shared" si="131"/>
        <v>0</v>
      </c>
      <c r="AE103" s="1017"/>
      <c r="AF103" s="1017"/>
      <c r="AG103" s="1115"/>
      <c r="AH103" s="1017"/>
      <c r="AI103" s="1018">
        <f t="shared" si="132"/>
        <v>0</v>
      </c>
      <c r="AJ103" s="1017"/>
      <c r="AK103" s="1017"/>
      <c r="AL103" s="1115"/>
      <c r="AM103" s="1017"/>
      <c r="AN103" s="1018">
        <f t="shared" si="133"/>
        <v>0</v>
      </c>
      <c r="AO103" s="330"/>
      <c r="AP103" s="330"/>
    </row>
    <row r="104" spans="1:42" ht="30">
      <c r="A104" s="1665" t="s">
        <v>374</v>
      </c>
      <c r="B104" s="1666" t="s">
        <v>2123</v>
      </c>
      <c r="C104" s="1745"/>
      <c r="D104" s="1677">
        <f>'NSP Detailed Budget'!G663+'NSP Detailed Budget'!G664</f>
        <v>65</v>
      </c>
      <c r="E104" s="1677">
        <f>'NSP Detailed Budget'!H663+'NSP Detailed Budget'!H664</f>
        <v>65</v>
      </c>
      <c r="F104" s="1677">
        <f>'NSP Detailed Budget'!I663+'NSP Detailed Budget'!I664</f>
        <v>65</v>
      </c>
      <c r="G104" s="1677">
        <f>'NSP Detailed Budget'!J663+'NSP Detailed Budget'!J664</f>
        <v>65</v>
      </c>
      <c r="H104" s="1678" t="s">
        <v>754</v>
      </c>
      <c r="I104" s="1679">
        <f>'NSP Detailed Budget'!G665</f>
        <v>194900</v>
      </c>
      <c r="J104" s="1679">
        <f>'NSP Detailed Budget'!H665</f>
        <v>194900</v>
      </c>
      <c r="K104" s="1679">
        <f>'NSP Detailed Budget'!I665</f>
        <v>194900</v>
      </c>
      <c r="L104" s="1679">
        <f>'NSP Detailed Budget'!J665</f>
        <v>194900</v>
      </c>
      <c r="M104" s="1671">
        <f t="shared" si="128"/>
        <v>779600</v>
      </c>
      <c r="N104" s="1672"/>
      <c r="O104" s="1589"/>
      <c r="P104" s="1017"/>
      <c r="Q104" s="1017"/>
      <c r="R104" s="1115"/>
      <c r="S104" s="1017"/>
      <c r="T104" s="1018">
        <f t="shared" si="129"/>
        <v>0</v>
      </c>
      <c r="U104" s="1017"/>
      <c r="V104" s="1017"/>
      <c r="W104" s="1115"/>
      <c r="X104" s="1017"/>
      <c r="Y104" s="1018">
        <f t="shared" si="130"/>
        <v>0</v>
      </c>
      <c r="Z104" s="1017"/>
      <c r="AA104" s="1017"/>
      <c r="AB104" s="1115"/>
      <c r="AC104" s="1017"/>
      <c r="AD104" s="1018">
        <f t="shared" si="131"/>
        <v>0</v>
      </c>
      <c r="AE104" s="1017"/>
      <c r="AF104" s="1017"/>
      <c r="AG104" s="1115"/>
      <c r="AH104" s="1017"/>
      <c r="AI104" s="1018">
        <f t="shared" si="132"/>
        <v>0</v>
      </c>
      <c r="AJ104" s="1017"/>
      <c r="AK104" s="1017"/>
      <c r="AL104" s="1115"/>
      <c r="AM104" s="1017"/>
      <c r="AN104" s="1018">
        <f t="shared" si="133"/>
        <v>0</v>
      </c>
      <c r="AO104" s="330"/>
      <c r="AP104" s="330"/>
    </row>
    <row r="105" spans="1:42" ht="30">
      <c r="A105" s="1665" t="s">
        <v>375</v>
      </c>
      <c r="B105" s="1666" t="s">
        <v>1606</v>
      </c>
      <c r="C105" s="1673" t="str">
        <f>'NSP Detailed Budget'!B668</f>
        <v>No. of person-months</v>
      </c>
      <c r="D105" s="1677">
        <f>'NSP Detailed Budget'!G668</f>
        <v>0</v>
      </c>
      <c r="E105" s="1677">
        <f>'NSP Detailed Budget'!H668</f>
        <v>20</v>
      </c>
      <c r="F105" s="1677">
        <f>'NSP Detailed Budget'!I668</f>
        <v>0</v>
      </c>
      <c r="G105" s="1677">
        <f>'NSP Detailed Budget'!J668</f>
        <v>0</v>
      </c>
      <c r="H105" s="1678" t="s">
        <v>1000</v>
      </c>
      <c r="I105" s="1679">
        <f>'NSP Detailed Budget'!G670</f>
        <v>0</v>
      </c>
      <c r="J105" s="1679">
        <f>'NSP Detailed Budget'!H670</f>
        <v>12000</v>
      </c>
      <c r="K105" s="1679">
        <f>'NSP Detailed Budget'!I670</f>
        <v>0</v>
      </c>
      <c r="L105" s="1679">
        <f>'NSP Detailed Budget'!J670</f>
        <v>0</v>
      </c>
      <c r="M105" s="1671">
        <f>SUM(I105:L105)</f>
        <v>12000</v>
      </c>
      <c r="N105" s="1672"/>
      <c r="O105" s="1589"/>
      <c r="P105" s="1017"/>
      <c r="Q105" s="1017"/>
      <c r="R105" s="1115"/>
      <c r="S105" s="1017"/>
      <c r="T105" s="1018">
        <f>SUM(P105:S105)</f>
        <v>0</v>
      </c>
      <c r="U105" s="1017"/>
      <c r="V105" s="1017"/>
      <c r="W105" s="1115"/>
      <c r="X105" s="1017"/>
      <c r="Y105" s="1018">
        <f>SUM(U105:X105)</f>
        <v>0</v>
      </c>
      <c r="Z105" s="1017"/>
      <c r="AA105" s="1017"/>
      <c r="AB105" s="1115"/>
      <c r="AC105" s="1017"/>
      <c r="AD105" s="1018">
        <f>SUM(Z105:AC105)</f>
        <v>0</v>
      </c>
      <c r="AE105" s="1017"/>
      <c r="AF105" s="1017"/>
      <c r="AG105" s="1115"/>
      <c r="AH105" s="1017"/>
      <c r="AI105" s="1018">
        <f>SUM(AE105:AH105)</f>
        <v>0</v>
      </c>
      <c r="AJ105" s="1017"/>
      <c r="AK105" s="1017"/>
      <c r="AL105" s="1115"/>
      <c r="AM105" s="1017"/>
      <c r="AN105" s="1018">
        <f>SUM(AJ105:AM105)</f>
        <v>0</v>
      </c>
      <c r="AO105" s="330"/>
      <c r="AP105" s="330"/>
    </row>
    <row r="106" spans="1:42" ht="60">
      <c r="A106" s="1665" t="s">
        <v>1580</v>
      </c>
      <c r="B106" s="1666" t="s">
        <v>1607</v>
      </c>
      <c r="C106" s="1673" t="s">
        <v>2116</v>
      </c>
      <c r="D106" s="1677">
        <f>'NSP Detailed Budget'!G675</f>
        <v>8</v>
      </c>
      <c r="E106" s="1677">
        <f>'NSP Detailed Budget'!H675</f>
        <v>8</v>
      </c>
      <c r="F106" s="1677">
        <f>'NSP Detailed Budget'!I675</f>
        <v>8</v>
      </c>
      <c r="G106" s="1677">
        <f>'NSP Detailed Budget'!J675</f>
        <v>8</v>
      </c>
      <c r="H106" s="1678" t="s">
        <v>754</v>
      </c>
      <c r="I106" s="1679">
        <f>'NSP Detailed Budget'!G677</f>
        <v>22400</v>
      </c>
      <c r="J106" s="1679">
        <f>'NSP Detailed Budget'!H677</f>
        <v>22400</v>
      </c>
      <c r="K106" s="1679">
        <f>'NSP Detailed Budget'!I677</f>
        <v>22400</v>
      </c>
      <c r="L106" s="1679">
        <f>'NSP Detailed Budget'!J677</f>
        <v>22400</v>
      </c>
      <c r="M106" s="1671">
        <f>SUM(I106:L106)</f>
        <v>89600</v>
      </c>
      <c r="N106" s="1672"/>
      <c r="O106" s="1589"/>
      <c r="P106" s="1017"/>
      <c r="Q106" s="1017"/>
      <c r="R106" s="1115"/>
      <c r="S106" s="1017"/>
      <c r="T106" s="1018">
        <f>SUM(P106:S106)</f>
        <v>0</v>
      </c>
      <c r="U106" s="1017"/>
      <c r="V106" s="1017"/>
      <c r="W106" s="1115"/>
      <c r="X106" s="1017"/>
      <c r="Y106" s="1018">
        <f>SUM(U106:X106)</f>
        <v>0</v>
      </c>
      <c r="Z106" s="1017"/>
      <c r="AA106" s="1017"/>
      <c r="AB106" s="1115"/>
      <c r="AC106" s="1017"/>
      <c r="AD106" s="1018">
        <f>SUM(Z106:AC106)</f>
        <v>0</v>
      </c>
      <c r="AE106" s="1017"/>
      <c r="AF106" s="1017"/>
      <c r="AG106" s="1115"/>
      <c r="AH106" s="1017"/>
      <c r="AI106" s="1018">
        <f>SUM(AE106:AH106)</f>
        <v>0</v>
      </c>
      <c r="AJ106" s="1017"/>
      <c r="AK106" s="1017"/>
      <c r="AL106" s="1115"/>
      <c r="AM106" s="1017"/>
      <c r="AN106" s="1018">
        <f>SUM(AJ106:AM106)</f>
        <v>0</v>
      </c>
      <c r="AO106" s="330"/>
      <c r="AP106" s="330"/>
    </row>
    <row r="107" spans="1:42" ht="70.5" customHeight="1">
      <c r="A107" s="1706" t="s">
        <v>1902</v>
      </c>
      <c r="B107" s="1707" t="s">
        <v>1901</v>
      </c>
      <c r="C107" s="1687" t="s">
        <v>2124</v>
      </c>
      <c r="D107" s="1699"/>
      <c r="E107" s="1699"/>
      <c r="F107" s="1699"/>
      <c r="G107" s="1699"/>
      <c r="H107" s="1708"/>
      <c r="I107" s="1704">
        <f>'NSP Detailed Budget'!G679</f>
        <v>193613</v>
      </c>
      <c r="J107" s="1704">
        <f>'NSP Detailed Budget'!H679</f>
        <v>193613</v>
      </c>
      <c r="K107" s="1704">
        <f>'NSP Detailed Budget'!I679</f>
        <v>193613</v>
      </c>
      <c r="L107" s="1704">
        <f>'NSP Detailed Budget'!J679</f>
        <v>0</v>
      </c>
      <c r="M107" s="1671">
        <f>SUM(I107:L107)</f>
        <v>580839</v>
      </c>
      <c r="N107" s="1672"/>
      <c r="O107" s="1589"/>
      <c r="P107" s="1115"/>
      <c r="Q107" s="1115"/>
      <c r="R107" s="1115"/>
      <c r="S107" s="1115"/>
      <c r="T107" s="1044"/>
      <c r="U107" s="1115"/>
      <c r="V107" s="1115"/>
      <c r="W107" s="1115"/>
      <c r="X107" s="1115"/>
      <c r="Y107" s="1044"/>
      <c r="Z107" s="1115"/>
      <c r="AA107" s="1115"/>
      <c r="AB107" s="1115"/>
      <c r="AC107" s="1115"/>
      <c r="AD107" s="1044"/>
      <c r="AE107" s="1115"/>
      <c r="AF107" s="1115"/>
      <c r="AG107" s="1115"/>
      <c r="AH107" s="1115"/>
      <c r="AI107" s="1044"/>
      <c r="AJ107" s="1115"/>
      <c r="AK107" s="1115"/>
      <c r="AL107" s="1115"/>
      <c r="AM107" s="1115"/>
      <c r="AN107" s="1044"/>
      <c r="AO107" s="330"/>
      <c r="AP107" s="330"/>
    </row>
    <row r="108" spans="1:42" ht="28.5">
      <c r="A108" s="1657">
        <v>3.2</v>
      </c>
      <c r="B108" s="1658" t="s">
        <v>1795</v>
      </c>
      <c r="C108" s="1659"/>
      <c r="D108" s="1703"/>
      <c r="E108" s="1703"/>
      <c r="F108" s="1703"/>
      <c r="G108" s="1703"/>
      <c r="H108" s="1661"/>
      <c r="I108" s="1709">
        <f>SUM(I109:I118)</f>
        <v>591760</v>
      </c>
      <c r="J108" s="1662">
        <f>SUM(J109:J118)</f>
        <v>494460</v>
      </c>
      <c r="K108" s="1662">
        <f>SUM(K109:K118)</f>
        <v>591760</v>
      </c>
      <c r="L108" s="1662">
        <f>SUM(L109:L118)</f>
        <v>494460</v>
      </c>
      <c r="M108" s="1663">
        <f>SUM(M109:M118)</f>
        <v>2172440</v>
      </c>
      <c r="N108" s="1664"/>
      <c r="O108" s="1598"/>
      <c r="P108" s="1015">
        <f t="shared" ref="P108:V108" si="134">SUM(P109:P118)</f>
        <v>0</v>
      </c>
      <c r="Q108" s="1015">
        <f t="shared" si="134"/>
        <v>0</v>
      </c>
      <c r="R108" s="1015">
        <f t="shared" si="134"/>
        <v>0</v>
      </c>
      <c r="S108" s="1015">
        <f t="shared" si="134"/>
        <v>0</v>
      </c>
      <c r="T108" s="1016">
        <f t="shared" si="134"/>
        <v>0</v>
      </c>
      <c r="U108" s="1015">
        <f t="shared" si="134"/>
        <v>0</v>
      </c>
      <c r="V108" s="1015">
        <f t="shared" si="134"/>
        <v>0</v>
      </c>
      <c r="W108" s="1114"/>
      <c r="X108" s="1015">
        <f t="shared" ref="X108:AN108" si="135">SUM(X109:X118)</f>
        <v>0</v>
      </c>
      <c r="Y108" s="1016">
        <f t="shared" si="135"/>
        <v>0</v>
      </c>
      <c r="Z108" s="1015">
        <f t="shared" si="135"/>
        <v>0</v>
      </c>
      <c r="AA108" s="1015">
        <f t="shared" si="135"/>
        <v>0</v>
      </c>
      <c r="AB108" s="1015">
        <f t="shared" si="135"/>
        <v>0</v>
      </c>
      <c r="AC108" s="1015">
        <f t="shared" si="135"/>
        <v>0</v>
      </c>
      <c r="AD108" s="1016">
        <f t="shared" si="135"/>
        <v>0</v>
      </c>
      <c r="AE108" s="1015">
        <f t="shared" si="135"/>
        <v>0</v>
      </c>
      <c r="AF108" s="1015">
        <f t="shared" si="135"/>
        <v>0</v>
      </c>
      <c r="AG108" s="1015">
        <f t="shared" si="135"/>
        <v>0</v>
      </c>
      <c r="AH108" s="1015">
        <f t="shared" si="135"/>
        <v>0</v>
      </c>
      <c r="AI108" s="1016">
        <f t="shared" si="135"/>
        <v>0</v>
      </c>
      <c r="AJ108" s="1015">
        <f t="shared" si="135"/>
        <v>0</v>
      </c>
      <c r="AK108" s="1015">
        <f t="shared" si="135"/>
        <v>0</v>
      </c>
      <c r="AL108" s="1015">
        <f t="shared" si="135"/>
        <v>0</v>
      </c>
      <c r="AM108" s="1015">
        <f t="shared" si="135"/>
        <v>0</v>
      </c>
      <c r="AN108" s="1016">
        <f t="shared" si="135"/>
        <v>0</v>
      </c>
      <c r="AO108" s="330"/>
      <c r="AP108" s="330"/>
    </row>
    <row r="109" spans="1:42" ht="60">
      <c r="A109" s="1665" t="s">
        <v>376</v>
      </c>
      <c r="B109" s="1666" t="s">
        <v>1583</v>
      </c>
      <c r="C109" s="1673" t="str">
        <f>'NSP Detailed Budget'!B687</f>
        <v>No. of central supervision rounds per year</v>
      </c>
      <c r="D109" s="1677">
        <f>'NSP Detailed Budget'!G687</f>
        <v>2</v>
      </c>
      <c r="E109" s="1677">
        <f>'NSP Detailed Budget'!H687</f>
        <v>2</v>
      </c>
      <c r="F109" s="1677">
        <f>'NSP Detailed Budget'!I687</f>
        <v>2</v>
      </c>
      <c r="G109" s="1677">
        <f>'NSP Detailed Budget'!J687</f>
        <v>2</v>
      </c>
      <c r="H109" s="1678" t="s">
        <v>1001</v>
      </c>
      <c r="I109" s="1710">
        <f>'NSP Detailed Budget'!G688</f>
        <v>25000</v>
      </c>
      <c r="J109" s="1679">
        <f>'NSP Detailed Budget'!H688</f>
        <v>25000</v>
      </c>
      <c r="K109" s="1679">
        <f>'NSP Detailed Budget'!I688</f>
        <v>25000</v>
      </c>
      <c r="L109" s="1679">
        <f>'NSP Detailed Budget'!J688</f>
        <v>25000</v>
      </c>
      <c r="M109" s="1671">
        <f t="shared" si="128"/>
        <v>100000</v>
      </c>
      <c r="N109" s="1672"/>
      <c r="O109" s="1589"/>
      <c r="P109" s="1017"/>
      <c r="Q109" s="1017"/>
      <c r="R109" s="1115"/>
      <c r="S109" s="1017"/>
      <c r="T109" s="1018">
        <f t="shared" si="129"/>
        <v>0</v>
      </c>
      <c r="U109" s="1017"/>
      <c r="V109" s="1017"/>
      <c r="W109" s="1115"/>
      <c r="X109" s="1017"/>
      <c r="Y109" s="1018">
        <f t="shared" si="130"/>
        <v>0</v>
      </c>
      <c r="Z109" s="1017"/>
      <c r="AA109" s="1017"/>
      <c r="AB109" s="1115"/>
      <c r="AC109" s="1017"/>
      <c r="AD109" s="1018">
        <f t="shared" si="131"/>
        <v>0</v>
      </c>
      <c r="AE109" s="1017"/>
      <c r="AF109" s="1017"/>
      <c r="AG109" s="1115"/>
      <c r="AH109" s="1017"/>
      <c r="AI109" s="1018">
        <f t="shared" si="132"/>
        <v>0</v>
      </c>
      <c r="AJ109" s="1017"/>
      <c r="AK109" s="1017"/>
      <c r="AL109" s="1115"/>
      <c r="AM109" s="1017"/>
      <c r="AN109" s="1018">
        <f t="shared" si="133"/>
        <v>0</v>
      </c>
      <c r="AO109" s="330"/>
      <c r="AP109" s="330"/>
    </row>
    <row r="110" spans="1:42" ht="60">
      <c r="A110" s="1665" t="s">
        <v>377</v>
      </c>
      <c r="B110" s="1666" t="s">
        <v>1584</v>
      </c>
      <c r="C110" s="1673" t="str">
        <f>'NSP Detailed Budget'!B692</f>
        <v>No. of regional supervision rounds per year</v>
      </c>
      <c r="D110" s="1677">
        <f>'NSP Detailed Budget'!G692</f>
        <v>4</v>
      </c>
      <c r="E110" s="1677">
        <f>'NSP Detailed Budget'!H692</f>
        <v>4</v>
      </c>
      <c r="F110" s="1677">
        <f>'NSP Detailed Budget'!I692</f>
        <v>4</v>
      </c>
      <c r="G110" s="1677">
        <f>'NSP Detailed Budget'!J692</f>
        <v>4</v>
      </c>
      <c r="H110" s="1678" t="s">
        <v>1001</v>
      </c>
      <c r="I110" s="1710">
        <f>'NSP Detailed Budget'!G693</f>
        <v>10000</v>
      </c>
      <c r="J110" s="1679">
        <f>'NSP Detailed Budget'!H693</f>
        <v>10000</v>
      </c>
      <c r="K110" s="1679">
        <f>'NSP Detailed Budget'!I693</f>
        <v>10000</v>
      </c>
      <c r="L110" s="1679">
        <f>'NSP Detailed Budget'!J693</f>
        <v>10000</v>
      </c>
      <c r="M110" s="1671">
        <f t="shared" si="128"/>
        <v>40000</v>
      </c>
      <c r="N110" s="1672"/>
      <c r="O110" s="1589"/>
      <c r="P110" s="1017"/>
      <c r="Q110" s="1017"/>
      <c r="R110" s="1115"/>
      <c r="S110" s="1017"/>
      <c r="T110" s="1018">
        <f t="shared" si="129"/>
        <v>0</v>
      </c>
      <c r="U110" s="1017"/>
      <c r="V110" s="1017"/>
      <c r="W110" s="1115"/>
      <c r="X110" s="1017"/>
      <c r="Y110" s="1018">
        <f t="shared" si="130"/>
        <v>0</v>
      </c>
      <c r="Z110" s="1017"/>
      <c r="AA110" s="1017"/>
      <c r="AB110" s="1115"/>
      <c r="AC110" s="1017"/>
      <c r="AD110" s="1018">
        <f t="shared" si="131"/>
        <v>0</v>
      </c>
      <c r="AE110" s="1017"/>
      <c r="AF110" s="1017"/>
      <c r="AG110" s="1115"/>
      <c r="AH110" s="1017"/>
      <c r="AI110" s="1018">
        <f t="shared" si="132"/>
        <v>0</v>
      </c>
      <c r="AJ110" s="1017"/>
      <c r="AK110" s="1017"/>
      <c r="AL110" s="1115"/>
      <c r="AM110" s="1017"/>
      <c r="AN110" s="1018">
        <f t="shared" si="133"/>
        <v>0</v>
      </c>
      <c r="AO110" s="330"/>
      <c r="AP110" s="330"/>
    </row>
    <row r="111" spans="1:42" ht="60">
      <c r="A111" s="1665" t="s">
        <v>378</v>
      </c>
      <c r="B111" s="1666" t="s">
        <v>1597</v>
      </c>
      <c r="C111" s="1673" t="str">
        <f>'NSP Detailed Budget'!B697</f>
        <v>No. of regional supervision rounds per year</v>
      </c>
      <c r="D111" s="1677">
        <f>'NSP Detailed Budget'!G697</f>
        <v>4</v>
      </c>
      <c r="E111" s="1677">
        <f>'NSP Detailed Budget'!H697</f>
        <v>4</v>
      </c>
      <c r="F111" s="1677">
        <f>'NSP Detailed Budget'!I697</f>
        <v>4</v>
      </c>
      <c r="G111" s="1677">
        <f>'NSP Detailed Budget'!J697</f>
        <v>4</v>
      </c>
      <c r="H111" s="1678" t="s">
        <v>1001</v>
      </c>
      <c r="I111" s="1710">
        <f>'NSP Detailed Budget'!G698</f>
        <v>5480</v>
      </c>
      <c r="J111" s="1679">
        <f>'NSP Detailed Budget'!H698</f>
        <v>5480</v>
      </c>
      <c r="K111" s="1679">
        <f>'NSP Detailed Budget'!I698</f>
        <v>5480</v>
      </c>
      <c r="L111" s="1679">
        <f>'NSP Detailed Budget'!J698</f>
        <v>5480</v>
      </c>
      <c r="M111" s="1671">
        <f t="shared" si="128"/>
        <v>21920</v>
      </c>
      <c r="N111" s="1672"/>
      <c r="O111" s="1589"/>
      <c r="P111" s="1017"/>
      <c r="Q111" s="1017"/>
      <c r="R111" s="1115"/>
      <c r="S111" s="1017"/>
      <c r="T111" s="1018">
        <f t="shared" si="129"/>
        <v>0</v>
      </c>
      <c r="U111" s="1017"/>
      <c r="V111" s="1017"/>
      <c r="W111" s="1115"/>
      <c r="X111" s="1017"/>
      <c r="Y111" s="1018">
        <f t="shared" si="130"/>
        <v>0</v>
      </c>
      <c r="Z111" s="1017"/>
      <c r="AA111" s="1017"/>
      <c r="AB111" s="1115"/>
      <c r="AC111" s="1017"/>
      <c r="AD111" s="1018">
        <f t="shared" si="131"/>
        <v>0</v>
      </c>
      <c r="AE111" s="1017"/>
      <c r="AF111" s="1017"/>
      <c r="AG111" s="1115"/>
      <c r="AH111" s="1017"/>
      <c r="AI111" s="1018">
        <f t="shared" si="132"/>
        <v>0</v>
      </c>
      <c r="AJ111" s="1017"/>
      <c r="AK111" s="1017"/>
      <c r="AL111" s="1115"/>
      <c r="AM111" s="1017"/>
      <c r="AN111" s="1018">
        <f t="shared" si="133"/>
        <v>0</v>
      </c>
      <c r="AO111" s="330"/>
      <c r="AP111" s="330"/>
    </row>
    <row r="112" spans="1:42" ht="45">
      <c r="A112" s="1665" t="s">
        <v>379</v>
      </c>
      <c r="B112" s="1666" t="s">
        <v>1585</v>
      </c>
      <c r="C112" s="1673" t="str">
        <f>'NSP Detailed Budget'!B702</f>
        <v>No. of meetings per year</v>
      </c>
      <c r="D112" s="1677">
        <f>'NSP Detailed Budget'!G702</f>
        <v>4</v>
      </c>
      <c r="E112" s="1677">
        <f>'NSP Detailed Budget'!H702</f>
        <v>4</v>
      </c>
      <c r="F112" s="1677">
        <f>'NSP Detailed Budget'!I702</f>
        <v>4</v>
      </c>
      <c r="G112" s="1677">
        <f>'NSP Detailed Budget'!J702</f>
        <v>4</v>
      </c>
      <c r="H112" s="1678" t="s">
        <v>1001</v>
      </c>
      <c r="I112" s="1710">
        <f>'NSP Detailed Budget'!G703</f>
        <v>2200</v>
      </c>
      <c r="J112" s="1679">
        <f>'NSP Detailed Budget'!H703</f>
        <v>2200</v>
      </c>
      <c r="K112" s="1679">
        <f>'NSP Detailed Budget'!I703</f>
        <v>2200</v>
      </c>
      <c r="L112" s="1679">
        <f>'NSP Detailed Budget'!J703</f>
        <v>2200</v>
      </c>
      <c r="M112" s="1671">
        <f t="shared" si="128"/>
        <v>8800</v>
      </c>
      <c r="N112" s="1672"/>
      <c r="O112" s="1589"/>
      <c r="P112" s="1017"/>
      <c r="Q112" s="1017"/>
      <c r="R112" s="1115"/>
      <c r="S112" s="1017"/>
      <c r="T112" s="1018">
        <f t="shared" si="129"/>
        <v>0</v>
      </c>
      <c r="U112" s="1017"/>
      <c r="V112" s="1017"/>
      <c r="W112" s="1115"/>
      <c r="X112" s="1017"/>
      <c r="Y112" s="1018">
        <f t="shared" si="130"/>
        <v>0</v>
      </c>
      <c r="Z112" s="1017"/>
      <c r="AA112" s="1017"/>
      <c r="AB112" s="1115"/>
      <c r="AC112" s="1017"/>
      <c r="AD112" s="1018">
        <f t="shared" si="131"/>
        <v>0</v>
      </c>
      <c r="AE112" s="1017"/>
      <c r="AF112" s="1017"/>
      <c r="AG112" s="1115"/>
      <c r="AH112" s="1017"/>
      <c r="AI112" s="1018">
        <f t="shared" si="132"/>
        <v>0</v>
      </c>
      <c r="AJ112" s="1017"/>
      <c r="AK112" s="1017"/>
      <c r="AL112" s="1115"/>
      <c r="AM112" s="1017"/>
      <c r="AN112" s="1018">
        <f t="shared" si="133"/>
        <v>0</v>
      </c>
      <c r="AO112" s="330"/>
      <c r="AP112" s="330"/>
    </row>
    <row r="113" spans="1:42" ht="30">
      <c r="A113" s="1665" t="s">
        <v>380</v>
      </c>
      <c r="B113" s="1666" t="s">
        <v>1592</v>
      </c>
      <c r="C113" s="1673" t="str">
        <f>'NSP Detailed Budget'!B706</f>
        <v>No. of person-months</v>
      </c>
      <c r="D113" s="1677">
        <f>'NSP Detailed Budget'!G706</f>
        <v>18</v>
      </c>
      <c r="E113" s="1677">
        <f>'NSP Detailed Budget'!H706</f>
        <v>18</v>
      </c>
      <c r="F113" s="1677">
        <f>'NSP Detailed Budget'!I706</f>
        <v>18</v>
      </c>
      <c r="G113" s="1677">
        <f>'NSP Detailed Budget'!J706</f>
        <v>18</v>
      </c>
      <c r="H113" s="1678" t="s">
        <v>1000</v>
      </c>
      <c r="I113" s="1710">
        <f>'NSP Detailed Budget'!G708</f>
        <v>10800</v>
      </c>
      <c r="J113" s="1679">
        <f>'NSP Detailed Budget'!H708</f>
        <v>10800</v>
      </c>
      <c r="K113" s="1679">
        <f>'NSP Detailed Budget'!I708</f>
        <v>10800</v>
      </c>
      <c r="L113" s="1679">
        <f>'NSP Detailed Budget'!J708</f>
        <v>10800</v>
      </c>
      <c r="M113" s="1671">
        <f t="shared" si="128"/>
        <v>43200</v>
      </c>
      <c r="N113" s="1672"/>
      <c r="O113" s="1589"/>
      <c r="P113" s="1017"/>
      <c r="Q113" s="1017"/>
      <c r="R113" s="1115"/>
      <c r="S113" s="1017"/>
      <c r="T113" s="1018">
        <f t="shared" si="129"/>
        <v>0</v>
      </c>
      <c r="U113" s="1017"/>
      <c r="V113" s="1017"/>
      <c r="W113" s="1115"/>
      <c r="X113" s="1017"/>
      <c r="Y113" s="1018">
        <f t="shared" si="130"/>
        <v>0</v>
      </c>
      <c r="Z113" s="1017"/>
      <c r="AA113" s="1017"/>
      <c r="AB113" s="1115"/>
      <c r="AC113" s="1017"/>
      <c r="AD113" s="1018">
        <f t="shared" si="131"/>
        <v>0</v>
      </c>
      <c r="AE113" s="1017"/>
      <c r="AF113" s="1017"/>
      <c r="AG113" s="1115"/>
      <c r="AH113" s="1017"/>
      <c r="AI113" s="1018">
        <f t="shared" si="132"/>
        <v>0</v>
      </c>
      <c r="AJ113" s="1017"/>
      <c r="AK113" s="1017"/>
      <c r="AL113" s="1115"/>
      <c r="AM113" s="1017"/>
      <c r="AN113" s="1018">
        <f t="shared" si="133"/>
        <v>0</v>
      </c>
      <c r="AO113" s="330"/>
      <c r="AP113" s="330"/>
    </row>
    <row r="114" spans="1:42" ht="75">
      <c r="A114" s="1665" t="s">
        <v>381</v>
      </c>
      <c r="B114" s="1666" t="s">
        <v>1796</v>
      </c>
      <c r="C114" s="1673" t="str">
        <f>'NSP Detailed Budget'!B711</f>
        <v>Annual cost of IT services for TB information system / database</v>
      </c>
      <c r="D114" s="1677">
        <v>1</v>
      </c>
      <c r="E114" s="1677">
        <v>1</v>
      </c>
      <c r="F114" s="1677">
        <v>1</v>
      </c>
      <c r="G114" s="1677">
        <v>1</v>
      </c>
      <c r="H114" s="1678" t="s">
        <v>1001</v>
      </c>
      <c r="I114" s="1710">
        <f>'NSP Detailed Budget'!G712</f>
        <v>20000</v>
      </c>
      <c r="J114" s="1679">
        <f>'NSP Detailed Budget'!H712</f>
        <v>20000</v>
      </c>
      <c r="K114" s="1679">
        <f>'NSP Detailed Budget'!I712</f>
        <v>20000</v>
      </c>
      <c r="L114" s="1679">
        <f>'NSP Detailed Budget'!J712</f>
        <v>20000</v>
      </c>
      <c r="M114" s="1671">
        <f t="shared" si="128"/>
        <v>80000</v>
      </c>
      <c r="N114" s="1672"/>
      <c r="O114" s="1589"/>
      <c r="P114" s="1017"/>
      <c r="Q114" s="1017"/>
      <c r="R114" s="1115"/>
      <c r="S114" s="1017"/>
      <c r="T114" s="1018">
        <f t="shared" si="129"/>
        <v>0</v>
      </c>
      <c r="U114" s="1017"/>
      <c r="V114" s="1017"/>
      <c r="W114" s="1115"/>
      <c r="X114" s="1017"/>
      <c r="Y114" s="1018">
        <f t="shared" si="130"/>
        <v>0</v>
      </c>
      <c r="Z114" s="1017"/>
      <c r="AA114" s="1017"/>
      <c r="AB114" s="1115"/>
      <c r="AC114" s="1017"/>
      <c r="AD114" s="1018">
        <f t="shared" si="131"/>
        <v>0</v>
      </c>
      <c r="AE114" s="1017"/>
      <c r="AF114" s="1017"/>
      <c r="AG114" s="1115"/>
      <c r="AH114" s="1017"/>
      <c r="AI114" s="1018">
        <f t="shared" si="132"/>
        <v>0</v>
      </c>
      <c r="AJ114" s="1017"/>
      <c r="AK114" s="1017"/>
      <c r="AL114" s="1115"/>
      <c r="AM114" s="1017"/>
      <c r="AN114" s="1018">
        <f t="shared" si="133"/>
        <v>0</v>
      </c>
      <c r="AO114" s="330"/>
      <c r="AP114" s="330"/>
    </row>
    <row r="115" spans="1:42" ht="30">
      <c r="A115" s="1665" t="s">
        <v>382</v>
      </c>
      <c r="B115" s="1666" t="s">
        <v>1590</v>
      </c>
      <c r="C115" s="1673" t="str">
        <f>'NSP Detailed Budget'!B715</f>
        <v xml:space="preserve">Annual cost of printing (NTP) </v>
      </c>
      <c r="D115" s="1677">
        <v>1</v>
      </c>
      <c r="E115" s="1677">
        <v>1</v>
      </c>
      <c r="F115" s="1677">
        <v>1</v>
      </c>
      <c r="G115" s="1677">
        <v>1</v>
      </c>
      <c r="H115" s="1678" t="s">
        <v>1001</v>
      </c>
      <c r="I115" s="1710">
        <f>'NSP Detailed Budget'!G716</f>
        <v>12000</v>
      </c>
      <c r="J115" s="1679">
        <f>'NSP Detailed Budget'!H716</f>
        <v>12000</v>
      </c>
      <c r="K115" s="1679">
        <f>'NSP Detailed Budget'!I716</f>
        <v>12000</v>
      </c>
      <c r="L115" s="1679">
        <f>'NSP Detailed Budget'!J716</f>
        <v>12000</v>
      </c>
      <c r="M115" s="1671">
        <f t="shared" si="128"/>
        <v>48000</v>
      </c>
      <c r="N115" s="1672"/>
      <c r="O115" s="1589"/>
      <c r="P115" s="1017"/>
      <c r="Q115" s="1017"/>
      <c r="R115" s="1115"/>
      <c r="S115" s="1017"/>
      <c r="T115" s="1018">
        <f t="shared" si="129"/>
        <v>0</v>
      </c>
      <c r="U115" s="1017"/>
      <c r="V115" s="1017"/>
      <c r="W115" s="1115"/>
      <c r="X115" s="1017"/>
      <c r="Y115" s="1018">
        <f t="shared" si="130"/>
        <v>0</v>
      </c>
      <c r="Z115" s="1017"/>
      <c r="AA115" s="1017"/>
      <c r="AB115" s="1115"/>
      <c r="AC115" s="1017"/>
      <c r="AD115" s="1018">
        <f t="shared" si="131"/>
        <v>0</v>
      </c>
      <c r="AE115" s="1017"/>
      <c r="AF115" s="1017"/>
      <c r="AG115" s="1115"/>
      <c r="AH115" s="1017"/>
      <c r="AI115" s="1018">
        <f t="shared" si="132"/>
        <v>0</v>
      </c>
      <c r="AJ115" s="1017"/>
      <c r="AK115" s="1017"/>
      <c r="AL115" s="1115"/>
      <c r="AM115" s="1017"/>
      <c r="AN115" s="1018">
        <f t="shared" si="133"/>
        <v>0</v>
      </c>
      <c r="AO115" s="330"/>
      <c r="AP115" s="330"/>
    </row>
    <row r="116" spans="1:42" ht="150">
      <c r="A116" s="1665" t="s">
        <v>383</v>
      </c>
      <c r="B116" s="1666" t="s">
        <v>1797</v>
      </c>
      <c r="C116" s="1673" t="str">
        <f>'NSP Detailed Budget'!B719</f>
        <v>Human resources costs for project M&amp;E (NCTLD, regional coordinators, prisons and database management)</v>
      </c>
      <c r="D116" s="1677">
        <v>1</v>
      </c>
      <c r="E116" s="1677">
        <v>1</v>
      </c>
      <c r="F116" s="1677">
        <v>1</v>
      </c>
      <c r="G116" s="1677">
        <v>1</v>
      </c>
      <c r="H116" s="1678" t="s">
        <v>770</v>
      </c>
      <c r="I116" s="1710">
        <f>'NSP Detailed Budget'!G720</f>
        <v>202700</v>
      </c>
      <c r="J116" s="1679">
        <f>'NSP Detailed Budget'!H720</f>
        <v>202700</v>
      </c>
      <c r="K116" s="1679">
        <f>'NSP Detailed Budget'!I720</f>
        <v>202700</v>
      </c>
      <c r="L116" s="1679">
        <f>'NSP Detailed Budget'!J720</f>
        <v>202700</v>
      </c>
      <c r="M116" s="1671">
        <f t="shared" si="128"/>
        <v>810800</v>
      </c>
      <c r="N116" s="1672"/>
      <c r="O116" s="1589"/>
      <c r="P116" s="1017"/>
      <c r="Q116" s="1017"/>
      <c r="R116" s="1115"/>
      <c r="S116" s="1017"/>
      <c r="T116" s="1018">
        <f t="shared" si="129"/>
        <v>0</v>
      </c>
      <c r="U116" s="1017"/>
      <c r="V116" s="1017"/>
      <c r="W116" s="1115"/>
      <c r="X116" s="1017"/>
      <c r="Y116" s="1018">
        <f t="shared" si="130"/>
        <v>0</v>
      </c>
      <c r="Z116" s="1017"/>
      <c r="AA116" s="1017"/>
      <c r="AB116" s="1115"/>
      <c r="AC116" s="1017"/>
      <c r="AD116" s="1018">
        <f t="shared" si="131"/>
        <v>0</v>
      </c>
      <c r="AE116" s="1017"/>
      <c r="AF116" s="1017"/>
      <c r="AG116" s="1115"/>
      <c r="AH116" s="1017"/>
      <c r="AI116" s="1018">
        <f t="shared" si="132"/>
        <v>0</v>
      </c>
      <c r="AJ116" s="1017"/>
      <c r="AK116" s="1017"/>
      <c r="AL116" s="1115"/>
      <c r="AM116" s="1017"/>
      <c r="AN116" s="1018">
        <f t="shared" si="133"/>
        <v>0</v>
      </c>
      <c r="AO116" s="330"/>
      <c r="AP116" s="330"/>
    </row>
    <row r="117" spans="1:42" ht="60">
      <c r="A117" s="1665" t="s">
        <v>1605</v>
      </c>
      <c r="B117" s="1666" t="s">
        <v>1586</v>
      </c>
      <c r="C117" s="1673" t="str">
        <f>'NSP Detailed Budget'!B723</f>
        <v xml:space="preserve">Cost of WHO review of the national TB program </v>
      </c>
      <c r="D117" s="1677">
        <f>'NSP Detailed Budget'!G724</f>
        <v>1</v>
      </c>
      <c r="E117" s="1677">
        <f>'NSP Detailed Budget'!H724</f>
        <v>0</v>
      </c>
      <c r="F117" s="1677">
        <f>'NSP Detailed Budget'!I724</f>
        <v>1</v>
      </c>
      <c r="G117" s="1677">
        <f>'NSP Detailed Budget'!J724</f>
        <v>0</v>
      </c>
      <c r="H117" s="1678" t="s">
        <v>998</v>
      </c>
      <c r="I117" s="1710">
        <f>'NSP Detailed Budget'!G725</f>
        <v>97300</v>
      </c>
      <c r="J117" s="1679">
        <f>'NSP Detailed Budget'!H725</f>
        <v>0</v>
      </c>
      <c r="K117" s="1679">
        <f>'NSP Detailed Budget'!I725</f>
        <v>97300</v>
      </c>
      <c r="L117" s="1679">
        <f>'NSP Detailed Budget'!J725</f>
        <v>0</v>
      </c>
      <c r="M117" s="1671">
        <f>SUM(I117:L117)</f>
        <v>194600</v>
      </c>
      <c r="N117" s="1672"/>
      <c r="O117" s="1589"/>
      <c r="P117" s="1017"/>
      <c r="Q117" s="1017"/>
      <c r="R117" s="1115"/>
      <c r="S117" s="1017"/>
      <c r="T117" s="1018">
        <f>SUM(P117:S117)</f>
        <v>0</v>
      </c>
      <c r="U117" s="1017"/>
      <c r="V117" s="1017"/>
      <c r="W117" s="1115"/>
      <c r="X117" s="1017"/>
      <c r="Y117" s="1018">
        <f>SUM(U117:X117)</f>
        <v>0</v>
      </c>
      <c r="Z117" s="1017"/>
      <c r="AA117" s="1017"/>
      <c r="AB117" s="1115"/>
      <c r="AC117" s="1017"/>
      <c r="AD117" s="1018">
        <f>SUM(Z117:AC117)</f>
        <v>0</v>
      </c>
      <c r="AE117" s="1017"/>
      <c r="AF117" s="1017"/>
      <c r="AG117" s="1115"/>
      <c r="AH117" s="1017"/>
      <c r="AI117" s="1018">
        <f>SUM(AE117:AH117)</f>
        <v>0</v>
      </c>
      <c r="AJ117" s="1017"/>
      <c r="AK117" s="1017"/>
      <c r="AL117" s="1115"/>
      <c r="AM117" s="1017"/>
      <c r="AN117" s="1018">
        <f>SUM(AJ117:AM117)</f>
        <v>0</v>
      </c>
      <c r="AO117" s="330"/>
      <c r="AP117" s="330"/>
    </row>
    <row r="118" spans="1:42" ht="45">
      <c r="A118" s="1665" t="s">
        <v>1257</v>
      </c>
      <c r="B118" s="1666" t="s">
        <v>1591</v>
      </c>
      <c r="C118" s="1673" t="str">
        <f>'NSP Detailed Budget'!B728</f>
        <v>Annual costs of TGF project management</v>
      </c>
      <c r="D118" s="1685">
        <f>'NSP Detailed Budget'!G729</f>
        <v>206280</v>
      </c>
      <c r="E118" s="1685">
        <f>'NSP Detailed Budget'!H729</f>
        <v>206280</v>
      </c>
      <c r="F118" s="1685">
        <f>'NSP Detailed Budget'!I729</f>
        <v>206280</v>
      </c>
      <c r="G118" s="1685">
        <f>'NSP Detailed Budget'!J729</f>
        <v>206280</v>
      </c>
      <c r="H118" s="1678" t="s">
        <v>1001</v>
      </c>
      <c r="I118" s="1710">
        <f>'NSP Detailed Budget'!G729</f>
        <v>206280</v>
      </c>
      <c r="J118" s="1679">
        <f>'NSP Detailed Budget'!H729</f>
        <v>206280</v>
      </c>
      <c r="K118" s="1679">
        <f>'NSP Detailed Budget'!I729</f>
        <v>206280</v>
      </c>
      <c r="L118" s="1679">
        <f>'NSP Detailed Budget'!J729</f>
        <v>206280</v>
      </c>
      <c r="M118" s="1671">
        <f t="shared" si="128"/>
        <v>825120</v>
      </c>
      <c r="N118" s="1672"/>
      <c r="O118" s="1589"/>
      <c r="P118" s="1017"/>
      <c r="Q118" s="1017"/>
      <c r="R118" s="1115"/>
      <c r="S118" s="1017"/>
      <c r="T118" s="1018">
        <f t="shared" si="129"/>
        <v>0</v>
      </c>
      <c r="U118" s="1017"/>
      <c r="V118" s="1017"/>
      <c r="W118" s="1115"/>
      <c r="X118" s="1017"/>
      <c r="Y118" s="1018">
        <f t="shared" si="130"/>
        <v>0</v>
      </c>
      <c r="Z118" s="1017"/>
      <c r="AA118" s="1017"/>
      <c r="AB118" s="1115"/>
      <c r="AC118" s="1017"/>
      <c r="AD118" s="1018">
        <f t="shared" si="131"/>
        <v>0</v>
      </c>
      <c r="AE118" s="1017"/>
      <c r="AF118" s="1017"/>
      <c r="AG118" s="1115"/>
      <c r="AH118" s="1017"/>
      <c r="AI118" s="1018">
        <f t="shared" si="132"/>
        <v>0</v>
      </c>
      <c r="AJ118" s="1017"/>
      <c r="AK118" s="1017"/>
      <c r="AL118" s="1115"/>
      <c r="AM118" s="1017"/>
      <c r="AN118" s="1018">
        <f t="shared" si="133"/>
        <v>0</v>
      </c>
      <c r="AO118" s="330"/>
      <c r="AP118" s="330"/>
    </row>
    <row r="119" spans="1:42" ht="28.5">
      <c r="A119" s="1657">
        <v>3.3</v>
      </c>
      <c r="B119" s="1658" t="s">
        <v>1259</v>
      </c>
      <c r="C119" s="1659"/>
      <c r="D119" s="1660"/>
      <c r="E119" s="1660"/>
      <c r="F119" s="1660"/>
      <c r="G119" s="1660"/>
      <c r="H119" s="1661"/>
      <c r="I119" s="1662">
        <f>SUM(I120:I128)</f>
        <v>459725</v>
      </c>
      <c r="J119" s="1662">
        <f t="shared" ref="J119:M119" si="136">SUM(J120:J128)</f>
        <v>482450</v>
      </c>
      <c r="K119" s="1662">
        <f t="shared" si="136"/>
        <v>482450</v>
      </c>
      <c r="L119" s="1662">
        <f t="shared" si="136"/>
        <v>512450</v>
      </c>
      <c r="M119" s="1663">
        <f t="shared" si="136"/>
        <v>1937075</v>
      </c>
      <c r="N119" s="1664"/>
      <c r="O119" s="1598"/>
      <c r="P119" s="1015">
        <f t="shared" ref="P119:AN119" si="137">SUM(P120:P127)</f>
        <v>0</v>
      </c>
      <c r="Q119" s="1015">
        <f t="shared" si="137"/>
        <v>0</v>
      </c>
      <c r="R119" s="1015">
        <f t="shared" si="137"/>
        <v>0</v>
      </c>
      <c r="S119" s="1015">
        <f t="shared" si="137"/>
        <v>0</v>
      </c>
      <c r="T119" s="1016">
        <f t="shared" si="137"/>
        <v>0</v>
      </c>
      <c r="U119" s="1015">
        <f t="shared" si="137"/>
        <v>0</v>
      </c>
      <c r="V119" s="1015">
        <f t="shared" si="137"/>
        <v>0</v>
      </c>
      <c r="W119" s="1015">
        <f t="shared" si="137"/>
        <v>0</v>
      </c>
      <c r="X119" s="1015">
        <f t="shared" si="137"/>
        <v>0</v>
      </c>
      <c r="Y119" s="1016">
        <f t="shared" si="137"/>
        <v>0</v>
      </c>
      <c r="Z119" s="1015">
        <f t="shared" si="137"/>
        <v>0</v>
      </c>
      <c r="AA119" s="1015">
        <f t="shared" si="137"/>
        <v>0</v>
      </c>
      <c r="AB119" s="1015">
        <f t="shared" si="137"/>
        <v>0</v>
      </c>
      <c r="AC119" s="1015">
        <f t="shared" si="137"/>
        <v>0</v>
      </c>
      <c r="AD119" s="1016">
        <f t="shared" si="137"/>
        <v>0</v>
      </c>
      <c r="AE119" s="1015">
        <f t="shared" si="137"/>
        <v>0</v>
      </c>
      <c r="AF119" s="1015">
        <f t="shared" si="137"/>
        <v>0</v>
      </c>
      <c r="AG119" s="1015">
        <f t="shared" si="137"/>
        <v>0</v>
      </c>
      <c r="AH119" s="1015">
        <f t="shared" si="137"/>
        <v>0</v>
      </c>
      <c r="AI119" s="1016">
        <f t="shared" si="137"/>
        <v>0</v>
      </c>
      <c r="AJ119" s="1015">
        <f t="shared" si="137"/>
        <v>0</v>
      </c>
      <c r="AK119" s="1015">
        <f t="shared" si="137"/>
        <v>0</v>
      </c>
      <c r="AL119" s="1015">
        <f t="shared" si="137"/>
        <v>0</v>
      </c>
      <c r="AM119" s="1015">
        <f t="shared" si="137"/>
        <v>0</v>
      </c>
      <c r="AN119" s="1016">
        <f t="shared" si="137"/>
        <v>0</v>
      </c>
      <c r="AO119" s="330"/>
      <c r="AP119" s="330"/>
    </row>
    <row r="120" spans="1:42" ht="45">
      <c r="A120" s="1665" t="s">
        <v>384</v>
      </c>
      <c r="B120" s="1666" t="s">
        <v>2115</v>
      </c>
      <c r="C120" s="1673" t="str">
        <f>'NSP Detailed Budget'!B735</f>
        <v>Level of TWG workload per year</v>
      </c>
      <c r="D120" s="1681">
        <v>1</v>
      </c>
      <c r="E120" s="1681">
        <v>1</v>
      </c>
      <c r="F120" s="1681">
        <v>1</v>
      </c>
      <c r="G120" s="1681">
        <v>1</v>
      </c>
      <c r="H120" s="1678" t="s">
        <v>999</v>
      </c>
      <c r="I120" s="1679">
        <f>'NSP Detailed Budget'!G736</f>
        <v>12000</v>
      </c>
      <c r="J120" s="1679">
        <f>'NSP Detailed Budget'!H736</f>
        <v>12000</v>
      </c>
      <c r="K120" s="1679">
        <f>'NSP Detailed Budget'!I736</f>
        <v>12000</v>
      </c>
      <c r="L120" s="1679">
        <f>'NSP Detailed Budget'!J736</f>
        <v>12000</v>
      </c>
      <c r="M120" s="1671">
        <f>SUM(I120:L120)</f>
        <v>48000</v>
      </c>
      <c r="N120" s="1672"/>
      <c r="O120" s="1589"/>
      <c r="P120" s="1017"/>
      <c r="Q120" s="1017"/>
      <c r="R120" s="1115"/>
      <c r="S120" s="1017"/>
      <c r="T120" s="1018">
        <f>SUM(P120:S120)</f>
        <v>0</v>
      </c>
      <c r="U120" s="1017"/>
      <c r="V120" s="1017"/>
      <c r="W120" s="1115"/>
      <c r="X120" s="1017"/>
      <c r="Y120" s="1018">
        <f>SUM(U120:X120)</f>
        <v>0</v>
      </c>
      <c r="Z120" s="1017"/>
      <c r="AA120" s="1017"/>
      <c r="AB120" s="1115"/>
      <c r="AC120" s="1017"/>
      <c r="AD120" s="1018">
        <f>SUM(Z120:AC120)</f>
        <v>0</v>
      </c>
      <c r="AE120" s="1017"/>
      <c r="AF120" s="1017"/>
      <c r="AG120" s="1115"/>
      <c r="AH120" s="1017"/>
      <c r="AI120" s="1018">
        <f>SUM(AE120:AH120)</f>
        <v>0</v>
      </c>
      <c r="AJ120" s="1017"/>
      <c r="AK120" s="1017"/>
      <c r="AL120" s="1115"/>
      <c r="AM120" s="1017"/>
      <c r="AN120" s="1018">
        <f>SUM(AJ120:AM120)</f>
        <v>0</v>
      </c>
      <c r="AO120" s="330"/>
      <c r="AP120" s="330"/>
    </row>
    <row r="121" spans="1:42" ht="30">
      <c r="A121" s="1665" t="s">
        <v>385</v>
      </c>
      <c r="B121" s="1666" t="s">
        <v>1801</v>
      </c>
      <c r="C121" s="1673" t="str">
        <f>'NSP Detailed Budget'!B740</f>
        <v>No. of active grants</v>
      </c>
      <c r="D121" s="1681">
        <v>4</v>
      </c>
      <c r="E121" s="1681">
        <v>4</v>
      </c>
      <c r="F121" s="1681">
        <v>4</v>
      </c>
      <c r="G121" s="1681">
        <v>4</v>
      </c>
      <c r="H121" s="1678" t="s">
        <v>1006</v>
      </c>
      <c r="I121" s="1679">
        <f>'NSP Detailed Budget'!G741</f>
        <v>240000</v>
      </c>
      <c r="J121" s="1679">
        <f>'NSP Detailed Budget'!H741</f>
        <v>240000</v>
      </c>
      <c r="K121" s="1679">
        <f>'NSP Detailed Budget'!I741</f>
        <v>240000</v>
      </c>
      <c r="L121" s="1679">
        <f>'NSP Detailed Budget'!J741</f>
        <v>240000</v>
      </c>
      <c r="M121" s="1671">
        <f t="shared" ref="M121:M128" si="138">SUM(I121:L121)</f>
        <v>960000</v>
      </c>
      <c r="N121" s="1672"/>
      <c r="O121" s="1589"/>
      <c r="P121" s="1017"/>
      <c r="Q121" s="1017"/>
      <c r="R121" s="1115"/>
      <c r="S121" s="1017"/>
      <c r="T121" s="1018">
        <f t="shared" ref="T121:T128" si="139">SUM(P121:S121)</f>
        <v>0</v>
      </c>
      <c r="U121" s="1017"/>
      <c r="V121" s="1017"/>
      <c r="W121" s="1115"/>
      <c r="X121" s="1017"/>
      <c r="Y121" s="1018">
        <f t="shared" ref="Y121:Y128" si="140">SUM(U121:X121)</f>
        <v>0</v>
      </c>
      <c r="Z121" s="1017"/>
      <c r="AA121" s="1017"/>
      <c r="AB121" s="1115"/>
      <c r="AC121" s="1017"/>
      <c r="AD121" s="1018">
        <f t="shared" ref="AD121:AD128" si="141">SUM(Z121:AC121)</f>
        <v>0</v>
      </c>
      <c r="AE121" s="1017"/>
      <c r="AF121" s="1017"/>
      <c r="AG121" s="1115"/>
      <c r="AH121" s="1017"/>
      <c r="AI121" s="1018">
        <f t="shared" ref="AI121:AI128" si="142">SUM(AE121:AH121)</f>
        <v>0</v>
      </c>
      <c r="AJ121" s="1017"/>
      <c r="AK121" s="1017"/>
      <c r="AL121" s="1115"/>
      <c r="AM121" s="1017"/>
      <c r="AN121" s="1018">
        <f t="shared" ref="AN121:AN128" si="143">SUM(AJ121:AM121)</f>
        <v>0</v>
      </c>
      <c r="AO121" s="330"/>
      <c r="AP121" s="330"/>
    </row>
    <row r="122" spans="1:42" ht="30">
      <c r="A122" s="1665" t="s">
        <v>386</v>
      </c>
      <c r="B122" s="1666" t="s">
        <v>1800</v>
      </c>
      <c r="C122" s="1673" t="str">
        <f>'NSP Detailed Budget'!B745</f>
        <v>No. of active grants</v>
      </c>
      <c r="D122" s="1711">
        <f>'NSP Detailed Budget'!G745</f>
        <v>2</v>
      </c>
      <c r="E122" s="1711">
        <f>'NSP Detailed Budget'!H745</f>
        <v>2</v>
      </c>
      <c r="F122" s="1711">
        <f>'NSP Detailed Budget'!I745</f>
        <v>2</v>
      </c>
      <c r="G122" s="1711">
        <f>'NSP Detailed Budget'!J745</f>
        <v>2</v>
      </c>
      <c r="H122" s="1678" t="s">
        <v>1006</v>
      </c>
      <c r="I122" s="1679">
        <f>'NSP Detailed Budget'!G746</f>
        <v>120000</v>
      </c>
      <c r="J122" s="1679">
        <f>'NSP Detailed Budget'!H746</f>
        <v>120000</v>
      </c>
      <c r="K122" s="1679">
        <f>'NSP Detailed Budget'!I746</f>
        <v>120000</v>
      </c>
      <c r="L122" s="1679">
        <f>'NSP Detailed Budget'!J746</f>
        <v>120000</v>
      </c>
      <c r="M122" s="1671">
        <f t="shared" si="138"/>
        <v>480000</v>
      </c>
      <c r="N122" s="1672"/>
      <c r="O122" s="1589"/>
      <c r="P122" s="1017"/>
      <c r="Q122" s="1017"/>
      <c r="R122" s="1115"/>
      <c r="S122" s="1017"/>
      <c r="T122" s="1018">
        <f t="shared" si="139"/>
        <v>0</v>
      </c>
      <c r="U122" s="1017"/>
      <c r="V122" s="1017"/>
      <c r="W122" s="1115"/>
      <c r="X122" s="1017"/>
      <c r="Y122" s="1018">
        <f t="shared" si="140"/>
        <v>0</v>
      </c>
      <c r="Z122" s="1017"/>
      <c r="AA122" s="1017"/>
      <c r="AB122" s="1115"/>
      <c r="AC122" s="1017"/>
      <c r="AD122" s="1018">
        <f t="shared" si="141"/>
        <v>0</v>
      </c>
      <c r="AE122" s="1017"/>
      <c r="AF122" s="1017"/>
      <c r="AG122" s="1115"/>
      <c r="AH122" s="1017"/>
      <c r="AI122" s="1018">
        <f t="shared" si="142"/>
        <v>0</v>
      </c>
      <c r="AJ122" s="1017"/>
      <c r="AK122" s="1017"/>
      <c r="AL122" s="1115"/>
      <c r="AM122" s="1017"/>
      <c r="AN122" s="1018">
        <f t="shared" si="143"/>
        <v>0</v>
      </c>
      <c r="AO122" s="330"/>
      <c r="AP122" s="330"/>
    </row>
    <row r="123" spans="1:42" ht="30">
      <c r="A123" s="1665" t="s">
        <v>387</v>
      </c>
      <c r="B123" s="1666" t="s">
        <v>1611</v>
      </c>
      <c r="C123" s="1673" t="str">
        <f>'NSP Detailed Budget'!B750</f>
        <v>No. of workshops</v>
      </c>
      <c r="D123" s="1681">
        <v>1</v>
      </c>
      <c r="E123" s="1681">
        <v>1</v>
      </c>
      <c r="F123" s="1681">
        <v>1</v>
      </c>
      <c r="G123" s="1681">
        <v>1</v>
      </c>
      <c r="H123" s="1678" t="s">
        <v>754</v>
      </c>
      <c r="I123" s="1679">
        <f>'NSP Detailed Budget'!G751</f>
        <v>7000</v>
      </c>
      <c r="J123" s="1679">
        <f>'NSP Detailed Budget'!H751</f>
        <v>7000</v>
      </c>
      <c r="K123" s="1679">
        <f>'NSP Detailed Budget'!I751</f>
        <v>7000</v>
      </c>
      <c r="L123" s="1679">
        <f>'NSP Detailed Budget'!J751</f>
        <v>7000</v>
      </c>
      <c r="M123" s="1671">
        <f t="shared" si="138"/>
        <v>28000</v>
      </c>
      <c r="N123" s="1672"/>
      <c r="O123" s="1589"/>
      <c r="P123" s="1017"/>
      <c r="Q123" s="1017"/>
      <c r="R123" s="1115"/>
      <c r="S123" s="1017"/>
      <c r="T123" s="1018">
        <f t="shared" si="139"/>
        <v>0</v>
      </c>
      <c r="U123" s="1017"/>
      <c r="V123" s="1017"/>
      <c r="W123" s="1115"/>
      <c r="X123" s="1017"/>
      <c r="Y123" s="1018">
        <f t="shared" si="140"/>
        <v>0</v>
      </c>
      <c r="Z123" s="1017"/>
      <c r="AA123" s="1017"/>
      <c r="AB123" s="1115"/>
      <c r="AC123" s="1017"/>
      <c r="AD123" s="1018">
        <f t="shared" si="141"/>
        <v>0</v>
      </c>
      <c r="AE123" s="1017"/>
      <c r="AF123" s="1017"/>
      <c r="AG123" s="1115"/>
      <c r="AH123" s="1017"/>
      <c r="AI123" s="1018">
        <f t="shared" si="142"/>
        <v>0</v>
      </c>
      <c r="AJ123" s="1017"/>
      <c r="AK123" s="1017"/>
      <c r="AL123" s="1115"/>
      <c r="AM123" s="1017"/>
      <c r="AN123" s="1018">
        <f t="shared" si="143"/>
        <v>0</v>
      </c>
      <c r="AO123" s="330"/>
      <c r="AP123" s="330"/>
    </row>
    <row r="124" spans="1:42" ht="30">
      <c r="A124" s="1665" t="s">
        <v>388</v>
      </c>
      <c r="B124" s="1666" t="s">
        <v>1612</v>
      </c>
      <c r="C124" s="1673" t="str">
        <f>'NSP Detailed Budget'!B755</f>
        <v>No. of KAP studies</v>
      </c>
      <c r="D124" s="1681">
        <f>'NSP Detailed Budget'!G755</f>
        <v>0</v>
      </c>
      <c r="E124" s="1681">
        <f>'NSP Detailed Budget'!H755</f>
        <v>0</v>
      </c>
      <c r="F124" s="1681">
        <f>'NSP Detailed Budget'!I755</f>
        <v>0</v>
      </c>
      <c r="G124" s="1681">
        <f>'NSP Detailed Budget'!J755</f>
        <v>1</v>
      </c>
      <c r="H124" s="1678" t="s">
        <v>1007</v>
      </c>
      <c r="I124" s="1679">
        <f>'NSP Detailed Budget'!G756</f>
        <v>0</v>
      </c>
      <c r="J124" s="1679">
        <f>'NSP Detailed Budget'!H756</f>
        <v>0</v>
      </c>
      <c r="K124" s="1679">
        <f>'NSP Detailed Budget'!I756</f>
        <v>0</v>
      </c>
      <c r="L124" s="1679">
        <f>'NSP Detailed Budget'!J756</f>
        <v>30000</v>
      </c>
      <c r="M124" s="1671">
        <f t="shared" si="138"/>
        <v>30000</v>
      </c>
      <c r="N124" s="1672"/>
      <c r="O124" s="1589"/>
      <c r="P124" s="1017"/>
      <c r="Q124" s="1017"/>
      <c r="R124" s="1115"/>
      <c r="S124" s="1017"/>
      <c r="T124" s="1018">
        <f t="shared" si="139"/>
        <v>0</v>
      </c>
      <c r="U124" s="1017"/>
      <c r="V124" s="1017"/>
      <c r="W124" s="1115"/>
      <c r="X124" s="1017"/>
      <c r="Y124" s="1018">
        <f t="shared" si="140"/>
        <v>0</v>
      </c>
      <c r="Z124" s="1017"/>
      <c r="AA124" s="1017"/>
      <c r="AB124" s="1115"/>
      <c r="AC124" s="1017"/>
      <c r="AD124" s="1018">
        <f t="shared" si="141"/>
        <v>0</v>
      </c>
      <c r="AE124" s="1017"/>
      <c r="AF124" s="1017"/>
      <c r="AG124" s="1115"/>
      <c r="AH124" s="1017"/>
      <c r="AI124" s="1018">
        <f t="shared" si="142"/>
        <v>0</v>
      </c>
      <c r="AJ124" s="1017"/>
      <c r="AK124" s="1017"/>
      <c r="AL124" s="1115"/>
      <c r="AM124" s="1017"/>
      <c r="AN124" s="1018">
        <f t="shared" si="143"/>
        <v>0</v>
      </c>
      <c r="AO124" s="330"/>
      <c r="AP124" s="330"/>
    </row>
    <row r="125" spans="1:42" ht="30">
      <c r="A125" s="1665" t="s">
        <v>389</v>
      </c>
      <c r="B125" s="1666" t="s">
        <v>1613</v>
      </c>
      <c r="C125" s="1673" t="s">
        <v>2125</v>
      </c>
      <c r="D125" s="1681"/>
      <c r="E125" s="1681"/>
      <c r="F125" s="1681"/>
      <c r="G125" s="1681"/>
      <c r="H125" s="1678" t="s">
        <v>1007</v>
      </c>
      <c r="I125" s="1679">
        <f>'NSP Detailed Budget'!G761</f>
        <v>25000</v>
      </c>
      <c r="J125" s="1679">
        <f>'NSP Detailed Budget'!H761</f>
        <v>25000</v>
      </c>
      <c r="K125" s="1679">
        <f>'NSP Detailed Budget'!I761</f>
        <v>25000</v>
      </c>
      <c r="L125" s="1679">
        <f>'NSP Detailed Budget'!J761</f>
        <v>25000</v>
      </c>
      <c r="M125" s="1671">
        <f t="shared" si="138"/>
        <v>100000</v>
      </c>
      <c r="N125" s="1672"/>
      <c r="O125" s="1589"/>
      <c r="P125" s="1017"/>
      <c r="Q125" s="1017"/>
      <c r="R125" s="1115"/>
      <c r="S125" s="1017"/>
      <c r="T125" s="1018">
        <f t="shared" si="139"/>
        <v>0</v>
      </c>
      <c r="U125" s="1017"/>
      <c r="V125" s="1017"/>
      <c r="W125" s="1115"/>
      <c r="X125" s="1017"/>
      <c r="Y125" s="1018">
        <f t="shared" si="140"/>
        <v>0</v>
      </c>
      <c r="Z125" s="1017"/>
      <c r="AA125" s="1017"/>
      <c r="AB125" s="1115"/>
      <c r="AC125" s="1017"/>
      <c r="AD125" s="1018">
        <f t="shared" si="141"/>
        <v>0</v>
      </c>
      <c r="AE125" s="1017"/>
      <c r="AF125" s="1017"/>
      <c r="AG125" s="1115"/>
      <c r="AH125" s="1017"/>
      <c r="AI125" s="1018">
        <f t="shared" si="142"/>
        <v>0</v>
      </c>
      <c r="AJ125" s="1017"/>
      <c r="AK125" s="1017"/>
      <c r="AL125" s="1115"/>
      <c r="AM125" s="1017"/>
      <c r="AN125" s="1018">
        <f t="shared" si="143"/>
        <v>0</v>
      </c>
      <c r="AO125" s="330"/>
      <c r="AP125" s="330"/>
    </row>
    <row r="126" spans="1:42" ht="45">
      <c r="A126" s="1665" t="s">
        <v>390</v>
      </c>
      <c r="B126" s="1666" t="s">
        <v>1614</v>
      </c>
      <c r="C126" s="1673" t="s">
        <v>2126</v>
      </c>
      <c r="D126" s="1681">
        <f>'NSP Detailed Budget'!G766+'NSP Detailed Budget'!G767</f>
        <v>6</v>
      </c>
      <c r="E126" s="1681">
        <f>'NSP Detailed Budget'!H766+'NSP Detailed Budget'!H767</f>
        <v>6</v>
      </c>
      <c r="F126" s="1681">
        <f>'NSP Detailed Budget'!I766+'NSP Detailed Budget'!I767</f>
        <v>6</v>
      </c>
      <c r="G126" s="1681">
        <f>'NSP Detailed Budget'!J766+'NSP Detailed Budget'!J767</f>
        <v>6</v>
      </c>
      <c r="H126" s="1678" t="s">
        <v>754</v>
      </c>
      <c r="I126" s="1679">
        <f>'NSP Detailed Budget'!G768</f>
        <v>13000</v>
      </c>
      <c r="J126" s="1679">
        <f>'NSP Detailed Budget'!H768</f>
        <v>13000</v>
      </c>
      <c r="K126" s="1679">
        <f>'NSP Detailed Budget'!I768</f>
        <v>13000</v>
      </c>
      <c r="L126" s="1679">
        <f>'NSP Detailed Budget'!J768</f>
        <v>13000</v>
      </c>
      <c r="M126" s="1671">
        <f t="shared" si="138"/>
        <v>52000</v>
      </c>
      <c r="N126" s="1672"/>
      <c r="O126" s="1589"/>
      <c r="P126" s="1017"/>
      <c r="Q126" s="1017"/>
      <c r="R126" s="1115"/>
      <c r="S126" s="1017"/>
      <c r="T126" s="1018">
        <f t="shared" si="139"/>
        <v>0</v>
      </c>
      <c r="U126" s="1017"/>
      <c r="V126" s="1017"/>
      <c r="W126" s="1115"/>
      <c r="X126" s="1017"/>
      <c r="Y126" s="1018">
        <f t="shared" si="140"/>
        <v>0</v>
      </c>
      <c r="Z126" s="1017"/>
      <c r="AA126" s="1017"/>
      <c r="AB126" s="1115"/>
      <c r="AC126" s="1017"/>
      <c r="AD126" s="1018">
        <f t="shared" si="141"/>
        <v>0</v>
      </c>
      <c r="AE126" s="1017"/>
      <c r="AF126" s="1017"/>
      <c r="AG126" s="1115"/>
      <c r="AH126" s="1017"/>
      <c r="AI126" s="1018">
        <f t="shared" si="142"/>
        <v>0</v>
      </c>
      <c r="AJ126" s="1017"/>
      <c r="AK126" s="1017"/>
      <c r="AL126" s="1115"/>
      <c r="AM126" s="1017"/>
      <c r="AN126" s="1018">
        <f t="shared" si="143"/>
        <v>0</v>
      </c>
      <c r="AO126" s="330"/>
      <c r="AP126" s="330"/>
    </row>
    <row r="127" spans="1:42" ht="30">
      <c r="A127" s="1665" t="s">
        <v>391</v>
      </c>
      <c r="B127" s="1666" t="s">
        <v>1615</v>
      </c>
      <c r="C127" s="1673" t="s">
        <v>2127</v>
      </c>
      <c r="D127" s="1681"/>
      <c r="E127" s="1681"/>
      <c r="F127" s="1681"/>
      <c r="G127" s="1681"/>
      <c r="H127" s="1678" t="s">
        <v>1007</v>
      </c>
      <c r="I127" s="1679">
        <f>'NSP Detailed Budget'!G772</f>
        <v>20000</v>
      </c>
      <c r="J127" s="1679">
        <f>'NSP Detailed Budget'!H772</f>
        <v>20000</v>
      </c>
      <c r="K127" s="1679">
        <f>'NSP Detailed Budget'!I772</f>
        <v>20000</v>
      </c>
      <c r="L127" s="1679">
        <f>'NSP Detailed Budget'!J772</f>
        <v>20000</v>
      </c>
      <c r="M127" s="1671">
        <f t="shared" si="138"/>
        <v>80000</v>
      </c>
      <c r="N127" s="1672"/>
      <c r="O127" s="1589"/>
      <c r="P127" s="1017"/>
      <c r="Q127" s="1017"/>
      <c r="R127" s="1115"/>
      <c r="S127" s="1017"/>
      <c r="T127" s="1018">
        <f t="shared" si="139"/>
        <v>0</v>
      </c>
      <c r="U127" s="1017"/>
      <c r="V127" s="1017"/>
      <c r="W127" s="1115"/>
      <c r="X127" s="1017"/>
      <c r="Y127" s="1018">
        <f t="shared" si="140"/>
        <v>0</v>
      </c>
      <c r="Z127" s="1017"/>
      <c r="AA127" s="1017"/>
      <c r="AB127" s="1115"/>
      <c r="AC127" s="1017"/>
      <c r="AD127" s="1018">
        <f t="shared" si="141"/>
        <v>0</v>
      </c>
      <c r="AE127" s="1017"/>
      <c r="AF127" s="1017"/>
      <c r="AG127" s="1115"/>
      <c r="AH127" s="1017"/>
      <c r="AI127" s="1018">
        <f t="shared" si="142"/>
        <v>0</v>
      </c>
      <c r="AJ127" s="1017"/>
      <c r="AK127" s="1017"/>
      <c r="AL127" s="1115"/>
      <c r="AM127" s="1017"/>
      <c r="AN127" s="1018">
        <f t="shared" si="143"/>
        <v>0</v>
      </c>
      <c r="AO127" s="330"/>
      <c r="AP127" s="330"/>
    </row>
    <row r="128" spans="1:42" ht="30">
      <c r="A128" s="1665" t="s">
        <v>392</v>
      </c>
      <c r="B128" s="1666" t="s">
        <v>1808</v>
      </c>
      <c r="C128" s="1673" t="s">
        <v>2103</v>
      </c>
      <c r="D128" s="1681"/>
      <c r="E128" s="1681"/>
      <c r="F128" s="1681"/>
      <c r="G128" s="1681"/>
      <c r="H128" s="1678" t="s">
        <v>1001</v>
      </c>
      <c r="I128" s="1679">
        <v>22725</v>
      </c>
      <c r="J128" s="1679">
        <v>45450</v>
      </c>
      <c r="K128" s="1679">
        <v>45450</v>
      </c>
      <c r="L128" s="1679">
        <v>45450</v>
      </c>
      <c r="M128" s="1671">
        <f t="shared" si="138"/>
        <v>159075</v>
      </c>
      <c r="N128" s="1672"/>
      <c r="O128" s="1589"/>
      <c r="P128" s="1017"/>
      <c r="Q128" s="1017"/>
      <c r="R128" s="1115"/>
      <c r="S128" s="1017"/>
      <c r="T128" s="1018">
        <f t="shared" si="139"/>
        <v>0</v>
      </c>
      <c r="U128" s="1017"/>
      <c r="V128" s="1017"/>
      <c r="W128" s="1115"/>
      <c r="X128" s="1017"/>
      <c r="Y128" s="1018">
        <f t="shared" si="140"/>
        <v>0</v>
      </c>
      <c r="Z128" s="1017"/>
      <c r="AA128" s="1017"/>
      <c r="AB128" s="1115"/>
      <c r="AC128" s="1017"/>
      <c r="AD128" s="1018">
        <f t="shared" si="141"/>
        <v>0</v>
      </c>
      <c r="AE128" s="1017"/>
      <c r="AF128" s="1017"/>
      <c r="AG128" s="1115"/>
      <c r="AH128" s="1017"/>
      <c r="AI128" s="1018">
        <f t="shared" si="142"/>
        <v>0</v>
      </c>
      <c r="AJ128" s="1017"/>
      <c r="AK128" s="1017"/>
      <c r="AL128" s="1115"/>
      <c r="AM128" s="1017"/>
      <c r="AN128" s="1018">
        <f t="shared" si="143"/>
        <v>0</v>
      </c>
      <c r="AO128" s="330"/>
      <c r="AP128" s="330"/>
    </row>
    <row r="129" spans="1:47">
      <c r="A129" s="1657">
        <v>3.4</v>
      </c>
      <c r="B129" s="1658" t="s">
        <v>1260</v>
      </c>
      <c r="C129" s="1659"/>
      <c r="D129" s="1660"/>
      <c r="E129" s="1660"/>
      <c r="F129" s="1660"/>
      <c r="G129" s="1660"/>
      <c r="H129" s="1661"/>
      <c r="I129" s="1662">
        <f t="shared" ref="I129:AN129" si="144">SUM(I130:I131)</f>
        <v>220000</v>
      </c>
      <c r="J129" s="1662">
        <f t="shared" si="144"/>
        <v>220000</v>
      </c>
      <c r="K129" s="1662">
        <f t="shared" si="144"/>
        <v>220000</v>
      </c>
      <c r="L129" s="1662">
        <f t="shared" si="144"/>
        <v>220000</v>
      </c>
      <c r="M129" s="1663">
        <f t="shared" si="144"/>
        <v>880000</v>
      </c>
      <c r="N129" s="1664"/>
      <c r="O129" s="1598"/>
      <c r="P129" s="1015">
        <f t="shared" si="144"/>
        <v>0</v>
      </c>
      <c r="Q129" s="1015">
        <f t="shared" si="144"/>
        <v>0</v>
      </c>
      <c r="R129" s="1015">
        <f t="shared" si="144"/>
        <v>0</v>
      </c>
      <c r="S129" s="1015">
        <f t="shared" si="144"/>
        <v>0</v>
      </c>
      <c r="T129" s="1016">
        <f t="shared" si="144"/>
        <v>0</v>
      </c>
      <c r="U129" s="1015">
        <f t="shared" si="144"/>
        <v>0</v>
      </c>
      <c r="V129" s="1015">
        <f t="shared" si="144"/>
        <v>0</v>
      </c>
      <c r="W129" s="1015">
        <f t="shared" si="144"/>
        <v>0</v>
      </c>
      <c r="X129" s="1015">
        <f t="shared" si="144"/>
        <v>0</v>
      </c>
      <c r="Y129" s="1016">
        <f t="shared" si="144"/>
        <v>0</v>
      </c>
      <c r="Z129" s="1015">
        <f t="shared" si="144"/>
        <v>0</v>
      </c>
      <c r="AA129" s="1015">
        <f t="shared" si="144"/>
        <v>0</v>
      </c>
      <c r="AB129" s="1015">
        <f t="shared" si="144"/>
        <v>0</v>
      </c>
      <c r="AC129" s="1015">
        <f t="shared" si="144"/>
        <v>0</v>
      </c>
      <c r="AD129" s="1016">
        <f t="shared" si="144"/>
        <v>0</v>
      </c>
      <c r="AE129" s="1015">
        <f t="shared" si="144"/>
        <v>0</v>
      </c>
      <c r="AF129" s="1015">
        <f t="shared" si="144"/>
        <v>0</v>
      </c>
      <c r="AG129" s="1015">
        <f t="shared" si="144"/>
        <v>0</v>
      </c>
      <c r="AH129" s="1015">
        <f t="shared" si="144"/>
        <v>0</v>
      </c>
      <c r="AI129" s="1016">
        <f t="shared" si="144"/>
        <v>0</v>
      </c>
      <c r="AJ129" s="1015">
        <f t="shared" si="144"/>
        <v>0</v>
      </c>
      <c r="AK129" s="1015">
        <f t="shared" si="144"/>
        <v>0</v>
      </c>
      <c r="AL129" s="1015">
        <f t="shared" si="144"/>
        <v>0</v>
      </c>
      <c r="AM129" s="1015">
        <f t="shared" si="144"/>
        <v>0</v>
      </c>
      <c r="AN129" s="1016">
        <f t="shared" si="144"/>
        <v>0</v>
      </c>
      <c r="AO129" s="330"/>
      <c r="AP129" s="330"/>
    </row>
    <row r="130" spans="1:47">
      <c r="A130" s="1665" t="s">
        <v>555</v>
      </c>
      <c r="B130" s="1666" t="s">
        <v>1608</v>
      </c>
      <c r="C130" s="1673" t="s">
        <v>2103</v>
      </c>
      <c r="D130" s="1681">
        <v>1</v>
      </c>
      <c r="E130" s="1681">
        <v>1</v>
      </c>
      <c r="F130" s="1681">
        <v>1</v>
      </c>
      <c r="G130" s="1681">
        <v>1</v>
      </c>
      <c r="H130" s="1678" t="s">
        <v>752</v>
      </c>
      <c r="I130" s="1679">
        <f>'NSP Detailed Budget'!G777</f>
        <v>100000</v>
      </c>
      <c r="J130" s="1679">
        <f>'NSP Detailed Budget'!H777</f>
        <v>100000</v>
      </c>
      <c r="K130" s="1679">
        <f>'NSP Detailed Budget'!I777</f>
        <v>100000</v>
      </c>
      <c r="L130" s="1679">
        <f>'NSP Detailed Budget'!J777</f>
        <v>100000</v>
      </c>
      <c r="M130" s="1671">
        <f>SUM(I130:L130)</f>
        <v>400000</v>
      </c>
      <c r="N130" s="1672"/>
      <c r="O130" s="1589"/>
      <c r="P130" s="1017"/>
      <c r="Q130" s="1017"/>
      <c r="R130" s="1115"/>
      <c r="S130" s="1017"/>
      <c r="T130" s="1018">
        <f>SUM(P130:S130)</f>
        <v>0</v>
      </c>
      <c r="U130" s="1017"/>
      <c r="V130" s="1017"/>
      <c r="W130" s="1115"/>
      <c r="X130" s="1017"/>
      <c r="Y130" s="1018">
        <f>SUM(U130:X130)</f>
        <v>0</v>
      </c>
      <c r="Z130" s="1017"/>
      <c r="AA130" s="1017"/>
      <c r="AB130" s="1115"/>
      <c r="AC130" s="1017"/>
      <c r="AD130" s="1018">
        <f>SUM(Z130:AC130)</f>
        <v>0</v>
      </c>
      <c r="AE130" s="1017"/>
      <c r="AF130" s="1017"/>
      <c r="AG130" s="1115"/>
      <c r="AH130" s="1017"/>
      <c r="AI130" s="1018">
        <f>SUM(AE130:AH130)</f>
        <v>0</v>
      </c>
      <c r="AJ130" s="1017"/>
      <c r="AK130" s="1017"/>
      <c r="AL130" s="1115"/>
      <c r="AM130" s="1017"/>
      <c r="AN130" s="1403">
        <f>SUM(AJ130:AM130)</f>
        <v>0</v>
      </c>
      <c r="AO130" s="330"/>
      <c r="AP130" s="330"/>
    </row>
    <row r="131" spans="1:47">
      <c r="A131" s="1665" t="s">
        <v>556</v>
      </c>
      <c r="B131" s="1666" t="s">
        <v>1609</v>
      </c>
      <c r="C131" s="1673" t="s">
        <v>2103</v>
      </c>
      <c r="D131" s="1681">
        <v>1</v>
      </c>
      <c r="E131" s="1681">
        <v>1</v>
      </c>
      <c r="F131" s="1681">
        <v>1</v>
      </c>
      <c r="G131" s="1681">
        <v>1</v>
      </c>
      <c r="H131" s="1678" t="s">
        <v>752</v>
      </c>
      <c r="I131" s="1679">
        <f>'NSP Detailed Budget'!G782</f>
        <v>120000</v>
      </c>
      <c r="J131" s="1679">
        <f>'NSP Detailed Budget'!H782</f>
        <v>120000</v>
      </c>
      <c r="K131" s="1679">
        <f>'NSP Detailed Budget'!I782</f>
        <v>120000</v>
      </c>
      <c r="L131" s="1679">
        <f>'NSP Detailed Budget'!J782</f>
        <v>120000</v>
      </c>
      <c r="M131" s="1671">
        <f t="shared" ref="M131" si="145">SUM(I131:L131)</f>
        <v>480000</v>
      </c>
      <c r="N131" s="1672"/>
      <c r="O131" s="1589"/>
      <c r="P131" s="1017"/>
      <c r="Q131" s="1017"/>
      <c r="R131" s="1115"/>
      <c r="S131" s="1017"/>
      <c r="T131" s="1018">
        <f t="shared" ref="T131" si="146">SUM(P131:S131)</f>
        <v>0</v>
      </c>
      <c r="U131" s="1017"/>
      <c r="V131" s="1017"/>
      <c r="W131" s="1115"/>
      <c r="X131" s="1017"/>
      <c r="Y131" s="1018">
        <f t="shared" ref="Y131" si="147">SUM(U131:X131)</f>
        <v>0</v>
      </c>
      <c r="Z131" s="1017"/>
      <c r="AA131" s="1017"/>
      <c r="AB131" s="1115"/>
      <c r="AC131" s="1017"/>
      <c r="AD131" s="1018">
        <f t="shared" ref="AD131" si="148">SUM(Z131:AC131)</f>
        <v>0</v>
      </c>
      <c r="AE131" s="1017"/>
      <c r="AF131" s="1017"/>
      <c r="AG131" s="1115"/>
      <c r="AH131" s="1017"/>
      <c r="AI131" s="1018">
        <f t="shared" ref="AI131" si="149">SUM(AE131:AH131)</f>
        <v>0</v>
      </c>
      <c r="AJ131" s="1017"/>
      <c r="AK131" s="1017"/>
      <c r="AL131" s="1115"/>
      <c r="AM131" s="1017"/>
      <c r="AN131" s="1403">
        <f t="shared" ref="AN131" si="150">SUM(AJ131:AM131)</f>
        <v>0</v>
      </c>
      <c r="AO131" s="330"/>
      <c r="AP131" s="330"/>
    </row>
    <row r="132" spans="1:47" ht="15.75">
      <c r="A132" s="1712"/>
      <c r="B132" s="1713" t="s">
        <v>1008</v>
      </c>
      <c r="C132" s="1714"/>
      <c r="D132" s="1715"/>
      <c r="E132" s="1715"/>
      <c r="F132" s="1715"/>
      <c r="G132" s="1715"/>
      <c r="H132" s="1716"/>
      <c r="I132" s="1717">
        <f>SUM(I10,I51,I96)</f>
        <v>11913760.761032369</v>
      </c>
      <c r="J132" s="1717">
        <f>SUM(J10,J51,J96)</f>
        <v>11066107.466634294</v>
      </c>
      <c r="K132" s="1717">
        <f>SUM(K10,K51,K96)</f>
        <v>11178552.011357017</v>
      </c>
      <c r="L132" s="1717">
        <f>SUM(L10,L51,L96)</f>
        <v>10879669.616531968</v>
      </c>
      <c r="M132" s="1718">
        <f>SUM(M10,M51,M96)</f>
        <v>45038089.855555646</v>
      </c>
      <c r="N132" s="1719"/>
      <c r="O132" s="1600"/>
      <c r="P132" s="1020">
        <f t="shared" ref="P132:AN132" si="151">SUM(P10,P51,P96)</f>
        <v>7121980</v>
      </c>
      <c r="Q132" s="1020">
        <f t="shared" si="151"/>
        <v>7148420</v>
      </c>
      <c r="R132" s="1020">
        <f t="shared" si="151"/>
        <v>7502790</v>
      </c>
      <c r="S132" s="1020">
        <f t="shared" si="151"/>
        <v>7715200</v>
      </c>
      <c r="T132" s="1021">
        <f t="shared" si="151"/>
        <v>29488390</v>
      </c>
      <c r="U132" s="1020">
        <f t="shared" si="151"/>
        <v>2783009.4774787817</v>
      </c>
      <c r="V132" s="1020">
        <f t="shared" si="151"/>
        <v>2176999.2171663069</v>
      </c>
      <c r="W132" s="1020">
        <f t="shared" si="151"/>
        <v>2161638.5989904278</v>
      </c>
      <c r="X132" s="1020">
        <f t="shared" si="151"/>
        <v>1699841.5523128412</v>
      </c>
      <c r="Y132" s="1021">
        <f t="shared" si="151"/>
        <v>8821488.8459483571</v>
      </c>
      <c r="Z132" s="1020">
        <f t="shared" si="151"/>
        <v>774428.441780822</v>
      </c>
      <c r="AA132" s="1020">
        <f t="shared" si="151"/>
        <v>0</v>
      </c>
      <c r="AB132" s="1020">
        <f t="shared" si="151"/>
        <v>0</v>
      </c>
      <c r="AC132" s="1020">
        <f t="shared" si="151"/>
        <v>0</v>
      </c>
      <c r="AD132" s="1021">
        <f t="shared" si="151"/>
        <v>774428.441780822</v>
      </c>
      <c r="AE132" s="1020">
        <f t="shared" si="151"/>
        <v>3557437.9192596041</v>
      </c>
      <c r="AF132" s="1020">
        <f t="shared" si="151"/>
        <v>2176999.2171663069</v>
      </c>
      <c r="AG132" s="1020">
        <f t="shared" si="151"/>
        <v>2161638.5989904278</v>
      </c>
      <c r="AH132" s="1020">
        <f t="shared" si="151"/>
        <v>1699841.5523128412</v>
      </c>
      <c r="AI132" s="1021">
        <f t="shared" si="151"/>
        <v>9595917.2877291795</v>
      </c>
      <c r="AJ132" s="1020">
        <f t="shared" si="151"/>
        <v>1234342.8417727656</v>
      </c>
      <c r="AK132" s="1020">
        <f t="shared" si="151"/>
        <v>1740688.2494679878</v>
      </c>
      <c r="AL132" s="1020">
        <f t="shared" si="151"/>
        <v>1514123.4123665893</v>
      </c>
      <c r="AM132" s="1020">
        <f t="shared" si="151"/>
        <v>1464628.0642191269</v>
      </c>
      <c r="AN132" s="1404">
        <f t="shared" si="151"/>
        <v>5953782.5678264694</v>
      </c>
      <c r="AO132" s="822"/>
      <c r="AP132" s="330"/>
      <c r="AQ132" s="995"/>
      <c r="AR132" s="995"/>
      <c r="AS132" s="995"/>
      <c r="AT132" s="995"/>
      <c r="AU132" s="995"/>
    </row>
    <row r="133" spans="1:47">
      <c r="A133" s="1720">
        <v>4</v>
      </c>
      <c r="B133" s="1666" t="s">
        <v>1009</v>
      </c>
      <c r="C133" s="1673"/>
      <c r="D133" s="1681"/>
      <c r="E133" s="1681"/>
      <c r="F133" s="1681"/>
      <c r="G133" s="1681"/>
      <c r="H133" s="1721">
        <v>0.05</v>
      </c>
      <c r="I133" s="1679">
        <f>I132*H133</f>
        <v>595688.0380516185</v>
      </c>
      <c r="J133" s="1679">
        <f>J132*$H133</f>
        <v>553305.37333171477</v>
      </c>
      <c r="K133" s="1679">
        <f>K132*$H133</f>
        <v>558927.60056785087</v>
      </c>
      <c r="L133" s="1679">
        <f t="shared" ref="L133" si="152">L132*$H133</f>
        <v>543983.48082659848</v>
      </c>
      <c r="M133" s="1671">
        <f t="shared" ref="M133" si="153">SUM(I133:L133)</f>
        <v>2251904.4927777825</v>
      </c>
      <c r="N133" s="1672"/>
      <c r="O133" s="1589"/>
      <c r="P133" s="1017">
        <f>P158</f>
        <v>356099</v>
      </c>
      <c r="Q133" s="1017">
        <f t="shared" ref="Q133:S133" si="154">Q158</f>
        <v>357421</v>
      </c>
      <c r="R133" s="1017">
        <f t="shared" si="154"/>
        <v>375139.5</v>
      </c>
      <c r="S133" s="1017">
        <f t="shared" si="154"/>
        <v>385760</v>
      </c>
      <c r="T133" s="1018">
        <f t="shared" ref="T133" si="155">SUM(P133:S133)</f>
        <v>1474419.5</v>
      </c>
      <c r="U133" s="1017">
        <f>U158</f>
        <v>139150.4738739391</v>
      </c>
      <c r="V133" s="1017">
        <f t="shared" ref="V133:X133" si="156">V158</f>
        <v>108849.96085831535</v>
      </c>
      <c r="W133" s="1017">
        <f t="shared" si="156"/>
        <v>108081.92994952139</v>
      </c>
      <c r="X133" s="1017">
        <f t="shared" si="156"/>
        <v>84992.077615642062</v>
      </c>
      <c r="Y133" s="1018">
        <f t="shared" ref="Y133" si="157">SUM(U133:X133)</f>
        <v>441074.4422974179</v>
      </c>
      <c r="Z133" s="1017">
        <f>Z158</f>
        <v>38721.422089041102</v>
      </c>
      <c r="AA133" s="1017">
        <f>'Govt &amp; External'!H129</f>
        <v>0</v>
      </c>
      <c r="AB133" s="1017">
        <f>'Govt &amp; External'!I129</f>
        <v>0</v>
      </c>
      <c r="AC133" s="1017">
        <f>'Govt &amp; External'!I129</f>
        <v>0</v>
      </c>
      <c r="AD133" s="1018">
        <f>SUM(Z133:AC133)</f>
        <v>38721.422089041102</v>
      </c>
      <c r="AE133" s="1017">
        <f>SUM(U133,Z133)</f>
        <v>177871.8959629802</v>
      </c>
      <c r="AF133" s="1017">
        <f>SUM(V133,AA133)</f>
        <v>108849.96085831535</v>
      </c>
      <c r="AG133" s="1017">
        <f>SUM(W133,AB133)</f>
        <v>108081.92994952139</v>
      </c>
      <c r="AH133" s="1017">
        <f t="shared" ref="AH133" si="158">SUM(X133,AC133)</f>
        <v>84992.077615642062</v>
      </c>
      <c r="AI133" s="1018">
        <f>SUM(AE133:AH133)</f>
        <v>479795.864386459</v>
      </c>
      <c r="AJ133" s="1017">
        <f>I133-SUM(P133,AE133)</f>
        <v>61717.142088638269</v>
      </c>
      <c r="AK133" s="1017">
        <f>J133-SUM(Q133,AF133)</f>
        <v>87034.412473399425</v>
      </c>
      <c r="AL133" s="1017">
        <f>K133-SUM(R133,AG133)</f>
        <v>75706.170618329488</v>
      </c>
      <c r="AM133" s="1017">
        <f>L133-SUM(S133,AH133)</f>
        <v>73231.403210956429</v>
      </c>
      <c r="AN133" s="1403">
        <f>SUM(AJ133:AM133)</f>
        <v>297689.12839132361</v>
      </c>
      <c r="AO133" s="822"/>
      <c r="AP133" s="330"/>
      <c r="AQ133" s="995"/>
      <c r="AR133" s="995"/>
      <c r="AS133" s="995"/>
      <c r="AT133" s="995"/>
      <c r="AU133" s="995"/>
    </row>
    <row r="134" spans="1:47" ht="15.75">
      <c r="A134" s="1722"/>
      <c r="B134" s="1723" t="s">
        <v>809</v>
      </c>
      <c r="C134" s="1724"/>
      <c r="D134" s="1725"/>
      <c r="E134" s="1725"/>
      <c r="F134" s="1725"/>
      <c r="G134" s="1725"/>
      <c r="H134" s="1726"/>
      <c r="I134" s="1718">
        <f>I132+I133</f>
        <v>12509448.799083987</v>
      </c>
      <c r="J134" s="1718">
        <f t="shared" ref="J134:AM134" si="159">J132+J133</f>
        <v>11619412.839966008</v>
      </c>
      <c r="K134" s="1718">
        <f t="shared" si="159"/>
        <v>11737479.611924868</v>
      </c>
      <c r="L134" s="1718">
        <f t="shared" si="159"/>
        <v>11423653.097358566</v>
      </c>
      <c r="M134" s="1727">
        <f>M132+M133</f>
        <v>47289994.348333426</v>
      </c>
      <c r="N134" s="1728"/>
      <c r="O134" s="1601"/>
      <c r="P134" s="1021">
        <f t="shared" si="159"/>
        <v>7478079</v>
      </c>
      <c r="Q134" s="1021">
        <f t="shared" si="159"/>
        <v>7505841</v>
      </c>
      <c r="R134" s="1021">
        <f t="shared" si="159"/>
        <v>7877929.5</v>
      </c>
      <c r="S134" s="1021">
        <f t="shared" si="159"/>
        <v>8100960</v>
      </c>
      <c r="T134" s="1022">
        <f t="shared" si="159"/>
        <v>30962809.5</v>
      </c>
      <c r="U134" s="1021">
        <f t="shared" si="159"/>
        <v>2922159.9513527206</v>
      </c>
      <c r="V134" s="1021">
        <f t="shared" si="159"/>
        <v>2285849.1780246221</v>
      </c>
      <c r="W134" s="1021">
        <f t="shared" si="159"/>
        <v>2269720.5289399493</v>
      </c>
      <c r="X134" s="1021">
        <f t="shared" si="159"/>
        <v>1784833.6299284832</v>
      </c>
      <c r="Y134" s="1022">
        <f t="shared" si="159"/>
        <v>9262563.2882457748</v>
      </c>
      <c r="Z134" s="1021">
        <f t="shared" si="159"/>
        <v>813149.8638698631</v>
      </c>
      <c r="AA134" s="1021">
        <f t="shared" si="159"/>
        <v>0</v>
      </c>
      <c r="AB134" s="1021">
        <f t="shared" si="159"/>
        <v>0</v>
      </c>
      <c r="AC134" s="1021">
        <f t="shared" si="159"/>
        <v>0</v>
      </c>
      <c r="AD134" s="1022">
        <f t="shared" si="159"/>
        <v>813149.8638698631</v>
      </c>
      <c r="AE134" s="1021">
        <f t="shared" si="159"/>
        <v>3735309.8152225842</v>
      </c>
      <c r="AF134" s="1021">
        <f t="shared" si="159"/>
        <v>2285849.1780246221</v>
      </c>
      <c r="AG134" s="1021">
        <f t="shared" si="159"/>
        <v>2269720.5289399493</v>
      </c>
      <c r="AH134" s="1021">
        <f t="shared" si="159"/>
        <v>1784833.6299284832</v>
      </c>
      <c r="AI134" s="1022">
        <f t="shared" si="159"/>
        <v>10075713.152115639</v>
      </c>
      <c r="AJ134" s="1021">
        <f t="shared" si="159"/>
        <v>1296059.983861404</v>
      </c>
      <c r="AK134" s="1021">
        <f t="shared" si="159"/>
        <v>1827722.6619413872</v>
      </c>
      <c r="AL134" s="1021">
        <f t="shared" si="159"/>
        <v>1589829.5829849187</v>
      </c>
      <c r="AM134" s="1021">
        <f t="shared" si="159"/>
        <v>1537859.4674300833</v>
      </c>
      <c r="AN134" s="1405">
        <f>(AN132+AN133)-AO134</f>
        <v>6251471.696217793</v>
      </c>
      <c r="AO134" s="1407"/>
      <c r="AP134" s="1400"/>
      <c r="AQ134" s="996"/>
      <c r="AR134" s="995"/>
      <c r="AS134" s="995"/>
      <c r="AT134" s="995"/>
      <c r="AU134" s="995"/>
    </row>
    <row r="135" spans="1:47">
      <c r="H135" s="1557"/>
      <c r="J135" s="1558"/>
      <c r="K135" s="1558"/>
      <c r="L135" s="1558"/>
      <c r="AA135" s="725"/>
      <c r="AG135" s="1028" t="s">
        <v>1826</v>
      </c>
      <c r="AH135" s="1028"/>
      <c r="AI135" s="1025"/>
      <c r="AJ135" s="1398">
        <f>AJ134/I134</f>
        <v>0.10360648216221237</v>
      </c>
      <c r="AK135" s="1399">
        <f>AK134/J134</f>
        <v>0.15729905522030957</v>
      </c>
      <c r="AL135" s="1397">
        <f>AL134/K134</f>
        <v>0.13544897503972722</v>
      </c>
      <c r="AM135" s="1397">
        <f>AM134/L134</f>
        <v>0.13462063792760609</v>
      </c>
      <c r="AN135" s="1406">
        <f>AN134/M134</f>
        <v>0.13219438450700735</v>
      </c>
      <c r="AO135" s="1401"/>
      <c r="AP135" s="1402"/>
    </row>
    <row r="136" spans="1:47" ht="15.75">
      <c r="A136" s="484" t="s">
        <v>43</v>
      </c>
      <c r="B136" s="1532" t="s">
        <v>1671</v>
      </c>
      <c r="C136" s="1532"/>
      <c r="D136" s="1543"/>
      <c r="E136" s="1543"/>
      <c r="F136" s="1543"/>
      <c r="G136" s="1543"/>
      <c r="H136" s="1557"/>
      <c r="M136" s="1560"/>
      <c r="N136" s="1560"/>
      <c r="O136" s="1560"/>
      <c r="Y136" s="725"/>
    </row>
    <row r="137" spans="1:47" ht="14.45" customHeight="1">
      <c r="H137" s="1557"/>
    </row>
    <row r="138" spans="1:47" ht="15.6" customHeight="1">
      <c r="A138" s="1762" t="s">
        <v>243</v>
      </c>
      <c r="B138" s="1753" t="s">
        <v>1626</v>
      </c>
      <c r="C138" s="1522"/>
      <c r="D138" s="1537"/>
      <c r="E138" s="1537"/>
      <c r="F138" s="1537"/>
      <c r="G138" s="1537"/>
      <c r="H138" s="1753"/>
      <c r="I138" s="1764" t="s">
        <v>989</v>
      </c>
      <c r="J138" s="1765"/>
      <c r="K138" s="1766"/>
      <c r="L138" s="1765"/>
      <c r="M138" s="1767"/>
      <c r="N138" s="1595"/>
      <c r="O138" s="1595"/>
      <c r="P138" s="1758" t="s">
        <v>990</v>
      </c>
      <c r="Q138" s="1759"/>
      <c r="R138" s="1760"/>
      <c r="S138" s="1759"/>
      <c r="T138" s="1761"/>
      <c r="U138" s="1758" t="s">
        <v>991</v>
      </c>
      <c r="V138" s="1759"/>
      <c r="W138" s="1760"/>
      <c r="X138" s="1759"/>
      <c r="Y138" s="1761"/>
      <c r="Z138" s="1758" t="s">
        <v>992</v>
      </c>
      <c r="AA138" s="1759"/>
      <c r="AB138" s="1760"/>
      <c r="AC138" s="1759"/>
      <c r="AD138" s="1761"/>
      <c r="AE138" s="1758" t="s">
        <v>993</v>
      </c>
      <c r="AF138" s="1759"/>
      <c r="AG138" s="1760"/>
      <c r="AH138" s="1759"/>
      <c r="AI138" s="1761"/>
      <c r="AJ138" s="1758" t="s">
        <v>994</v>
      </c>
      <c r="AK138" s="1759"/>
      <c r="AL138" s="1760"/>
      <c r="AM138" s="1759"/>
      <c r="AN138" s="1761"/>
      <c r="AO138" s="1776" t="s">
        <v>1010</v>
      </c>
      <c r="AP138" s="330"/>
    </row>
    <row r="139" spans="1:47" ht="57.6" customHeight="1">
      <c r="A139" s="1763"/>
      <c r="B139" s="1754"/>
      <c r="C139" s="1523"/>
      <c r="D139" s="1544"/>
      <c r="E139" s="1544"/>
      <c r="F139" s="1544"/>
      <c r="G139" s="1544"/>
      <c r="H139" s="1754"/>
      <c r="I139" s="1524" t="str">
        <f>I9</f>
        <v>Year 1 (2019)</v>
      </c>
      <c r="J139" s="1524" t="str">
        <f>J9</f>
        <v>Year 2 (2020)</v>
      </c>
      <c r="K139" s="1524" t="str">
        <f>K9</f>
        <v>Year 3 (2021)</v>
      </c>
      <c r="L139" s="1524" t="str">
        <f>L9</f>
        <v>Year 4 (2022)</v>
      </c>
      <c r="M139" s="1546" t="str">
        <f>M9</f>
        <v>Total 4 years (2019-2022)</v>
      </c>
      <c r="N139" s="1596"/>
      <c r="O139" s="1596"/>
      <c r="P139" s="334" t="str">
        <f>P9</f>
        <v>Year 1 (2019)</v>
      </c>
      <c r="Q139" s="334" t="str">
        <f>Q9</f>
        <v>Year 2 (2020)</v>
      </c>
      <c r="R139" s="1113" t="s">
        <v>1845</v>
      </c>
      <c r="S139" s="334" t="str">
        <f>S9</f>
        <v>Year 4 (2022)</v>
      </c>
      <c r="T139" s="630" t="str">
        <f>T9</f>
        <v>Total 4 years (2019-2022)</v>
      </c>
      <c r="U139" s="334" t="str">
        <f>U9</f>
        <v>Year 1 (2019)</v>
      </c>
      <c r="V139" s="334" t="str">
        <f>V9</f>
        <v>Year 2 (2020)</v>
      </c>
      <c r="W139" s="1113" t="s">
        <v>1875</v>
      </c>
      <c r="X139" s="334" t="str">
        <f>X9</f>
        <v>Year 4 (2022)</v>
      </c>
      <c r="Y139" s="630" t="str">
        <f>Y9</f>
        <v>Total 4 years (2019-2022)</v>
      </c>
      <c r="Z139" s="334" t="str">
        <f>Z9</f>
        <v>Year 1 (2019)</v>
      </c>
      <c r="AA139" s="334" t="str">
        <f>AA9</f>
        <v>Year 2 (2020)</v>
      </c>
      <c r="AB139" s="1113" t="s">
        <v>1843</v>
      </c>
      <c r="AC139" s="334" t="str">
        <f>AC9</f>
        <v>Year 4 (2022)</v>
      </c>
      <c r="AD139" s="630" t="str">
        <f>AD9</f>
        <v>Total 4 years (2019-2022)</v>
      </c>
      <c r="AE139" s="334" t="str">
        <f>AE9</f>
        <v>Year 1 (2019)</v>
      </c>
      <c r="AF139" s="334" t="str">
        <f>AF9</f>
        <v>Year 2 (2020)</v>
      </c>
      <c r="AG139" s="1113" t="s">
        <v>1843</v>
      </c>
      <c r="AH139" s="334" t="str">
        <f>AH9</f>
        <v>Year 4 (2022)</v>
      </c>
      <c r="AI139" s="630" t="str">
        <f>AI9</f>
        <v>Total 4 years (2019-2022)</v>
      </c>
      <c r="AJ139" s="334" t="str">
        <f>AJ9</f>
        <v>Year 1 (2019)</v>
      </c>
      <c r="AK139" s="334" t="str">
        <f>AK9</f>
        <v>Year 2 (2020)</v>
      </c>
      <c r="AL139" s="1113" t="s">
        <v>1845</v>
      </c>
      <c r="AM139" s="334" t="str">
        <f>AM9</f>
        <v>Year 4 (2022)</v>
      </c>
      <c r="AN139" s="630" t="str">
        <f>AN9</f>
        <v>Total 4 years (2019-2022)</v>
      </c>
      <c r="AO139" s="1776"/>
      <c r="AP139" s="330"/>
    </row>
    <row r="140" spans="1:47" ht="31.5">
      <c r="A140" s="336">
        <f>A10</f>
        <v>1</v>
      </c>
      <c r="B140" s="1547" t="str">
        <f>B10</f>
        <v>To provide universal access to early and quality diagnosis of all forms of TB including M/XDR-TB</v>
      </c>
      <c r="C140" s="1526"/>
      <c r="D140" s="1538"/>
      <c r="E140" s="1538"/>
      <c r="F140" s="1538"/>
      <c r="G140" s="1538"/>
      <c r="H140" s="1548"/>
      <c r="I140" s="1561">
        <f>SUM(I141,I142,I143,I144)</f>
        <v>2622369.4871144984</v>
      </c>
      <c r="J140" s="1561">
        <f>SUM(J141,J142,J143,J144)</f>
        <v>2636191.4407849167</v>
      </c>
      <c r="K140" s="1561">
        <f>SUM(K141,K142,K143,K144)</f>
        <v>2689192.87750764</v>
      </c>
      <c r="L140" s="1561">
        <f>SUM(L141,L142,L143,L144)</f>
        <v>2716557.1196825905</v>
      </c>
      <c r="M140" s="1562">
        <f>SUM(M141:M144)</f>
        <v>10664310.925089646</v>
      </c>
      <c r="N140" s="1602"/>
      <c r="O140" s="1602"/>
      <c r="P140" s="339">
        <f>P10</f>
        <v>1438780</v>
      </c>
      <c r="Q140" s="339">
        <f>Q10</f>
        <v>1588540</v>
      </c>
      <c r="R140" s="339">
        <f>R10</f>
        <v>1743070</v>
      </c>
      <c r="S140" s="339">
        <f>S10</f>
        <v>1948280</v>
      </c>
      <c r="T140" s="340">
        <f>SUM(P140:S140)</f>
        <v>6718670</v>
      </c>
      <c r="U140" s="339">
        <f>U10</f>
        <v>594935.81401576824</v>
      </c>
      <c r="V140" s="339">
        <f>V10</f>
        <v>538858.70716630679</v>
      </c>
      <c r="W140" s="339">
        <f>W10</f>
        <v>536113.43899042765</v>
      </c>
      <c r="X140" s="339">
        <f>X10</f>
        <v>432965.45631284139</v>
      </c>
      <c r="Y140" s="340">
        <f>SUM(U140:X140)</f>
        <v>2102873.4164853441</v>
      </c>
      <c r="Z140" s="339">
        <f>Z10</f>
        <v>517579.12671232887</v>
      </c>
      <c r="AA140" s="339">
        <f>AA10</f>
        <v>0</v>
      </c>
      <c r="AB140" s="339">
        <f>AB10</f>
        <v>0</v>
      </c>
      <c r="AC140" s="339">
        <f>AC10</f>
        <v>0</v>
      </c>
      <c r="AD140" s="340">
        <f>SUM(Z140:AC140)</f>
        <v>517579.12671232887</v>
      </c>
      <c r="AE140" s="339">
        <f>AE10</f>
        <v>1112514.9407280972</v>
      </c>
      <c r="AF140" s="339">
        <f>AF10</f>
        <v>538858.70716630679</v>
      </c>
      <c r="AG140" s="339">
        <f>AG10</f>
        <v>536113.43899042765</v>
      </c>
      <c r="AH140" s="339">
        <f>AH10</f>
        <v>432965.45631284139</v>
      </c>
      <c r="AI140" s="340">
        <f>SUM(AE140:AH140)</f>
        <v>2620452.5431976728</v>
      </c>
      <c r="AJ140" s="339">
        <f>AJ10</f>
        <v>71074.546386401169</v>
      </c>
      <c r="AK140" s="339">
        <f>AK10</f>
        <v>508792.73361861007</v>
      </c>
      <c r="AL140" s="339">
        <f>AL10</f>
        <v>410009.4385172124</v>
      </c>
      <c r="AM140" s="339">
        <f>AM10</f>
        <v>335311.66336974921</v>
      </c>
      <c r="AN140" s="340">
        <f>SUM(AJ140:AM140)</f>
        <v>1325188.3818919729</v>
      </c>
      <c r="AO140" s="820">
        <f t="shared" ref="AO140:AO158" si="160">AN140/M140%</f>
        <v>12.426385457069117</v>
      </c>
      <c r="AP140" s="330"/>
    </row>
    <row r="141" spans="1:47">
      <c r="A141" s="715">
        <f>A11</f>
        <v>1.1000000000000001</v>
      </c>
      <c r="B141" s="1552" t="str">
        <f>B11</f>
        <v>Rollout of Xpert MTB/RIF technology</v>
      </c>
      <c r="C141" s="1528"/>
      <c r="D141" s="1540"/>
      <c r="E141" s="1540"/>
      <c r="F141" s="1540"/>
      <c r="G141" s="1540"/>
      <c r="H141" s="1563"/>
      <c r="I141" s="1564">
        <f>I11</f>
        <v>464423.77989386657</v>
      </c>
      <c r="J141" s="1564">
        <f>J11</f>
        <v>464423.77989386657</v>
      </c>
      <c r="K141" s="1564">
        <f>K11</f>
        <v>464423.77989386657</v>
      </c>
      <c r="L141" s="1564">
        <f>L11</f>
        <v>464423.77989386657</v>
      </c>
      <c r="M141" s="1565">
        <f>SUM(I141:L141)</f>
        <v>1857695.1195754663</v>
      </c>
      <c r="N141" s="1603"/>
      <c r="O141" s="1603"/>
      <c r="P141" s="719"/>
      <c r="Q141" s="719"/>
      <c r="R141" s="1119"/>
      <c r="S141" s="719"/>
      <c r="T141" s="348"/>
      <c r="U141" s="719"/>
      <c r="V141" s="719"/>
      <c r="W141" s="1119"/>
      <c r="X141" s="719"/>
      <c r="Y141" s="348"/>
      <c r="Z141" s="719"/>
      <c r="AA141" s="719"/>
      <c r="AB141" s="1119"/>
      <c r="AC141" s="719"/>
      <c r="AD141" s="348"/>
      <c r="AE141" s="719"/>
      <c r="AF141" s="719"/>
      <c r="AG141" s="1119"/>
      <c r="AH141" s="719"/>
      <c r="AI141" s="348"/>
      <c r="AJ141" s="719"/>
      <c r="AK141" s="719"/>
      <c r="AL141" s="1119"/>
      <c r="AM141" s="719"/>
      <c r="AN141" s="348"/>
      <c r="AO141" s="821">
        <f t="shared" si="160"/>
        <v>0</v>
      </c>
      <c r="AP141" s="330"/>
    </row>
    <row r="142" spans="1:47">
      <c r="A142" s="715">
        <f>A21</f>
        <v>1.2</v>
      </c>
      <c r="B142" s="1552" t="str">
        <f>B21</f>
        <v>TB diagnostic investigations at regional and national level</v>
      </c>
      <c r="C142" s="1528"/>
      <c r="D142" s="1540"/>
      <c r="E142" s="1540"/>
      <c r="F142" s="1540"/>
      <c r="G142" s="1540"/>
      <c r="H142" s="1563"/>
      <c r="I142" s="1564">
        <f>I21</f>
        <v>558331.42950577138</v>
      </c>
      <c r="J142" s="1564">
        <f>J21</f>
        <v>526842.06538331148</v>
      </c>
      <c r="K142" s="1564">
        <f>K21</f>
        <v>515066.61842351302</v>
      </c>
      <c r="L142" s="1564">
        <f>L21</f>
        <v>494675.13273181615</v>
      </c>
      <c r="M142" s="1565">
        <f t="shared" ref="M142:M144" si="161">SUM(I142:L142)</f>
        <v>2094915.2460444123</v>
      </c>
      <c r="N142" s="1603"/>
      <c r="O142" s="1603"/>
      <c r="P142" s="719"/>
      <c r="Q142" s="719"/>
      <c r="R142" s="1119"/>
      <c r="S142" s="719"/>
      <c r="T142" s="348"/>
      <c r="U142" s="719"/>
      <c r="V142" s="719"/>
      <c r="W142" s="1119"/>
      <c r="X142" s="719"/>
      <c r="Y142" s="348"/>
      <c r="Z142" s="719"/>
      <c r="AA142" s="719"/>
      <c r="AB142" s="1119"/>
      <c r="AC142" s="719"/>
      <c r="AD142" s="348"/>
      <c r="AE142" s="719"/>
      <c r="AF142" s="719"/>
      <c r="AG142" s="1119"/>
      <c r="AH142" s="719"/>
      <c r="AI142" s="348"/>
      <c r="AJ142" s="719"/>
      <c r="AK142" s="719"/>
      <c r="AL142" s="1119"/>
      <c r="AM142" s="719"/>
      <c r="AN142" s="348"/>
      <c r="AO142" s="821">
        <f t="shared" si="160"/>
        <v>0</v>
      </c>
      <c r="AP142" s="330"/>
    </row>
    <row r="143" spans="1:47" ht="30">
      <c r="A143" s="715">
        <f>A42</f>
        <v>1.3</v>
      </c>
      <c r="B143" s="1552" t="str">
        <f>B42</f>
        <v>Contacts’ investigation, screening and active case finding for TB among high-risk groups including people living with HIV</v>
      </c>
      <c r="C143" s="1528"/>
      <c r="D143" s="1540"/>
      <c r="E143" s="1540"/>
      <c r="F143" s="1540"/>
      <c r="G143" s="1540"/>
      <c r="H143" s="1563"/>
      <c r="I143" s="1564">
        <f>I42</f>
        <v>80000</v>
      </c>
      <c r="J143" s="1564">
        <f>J42</f>
        <v>80000</v>
      </c>
      <c r="K143" s="1564">
        <f>K42</f>
        <v>97200</v>
      </c>
      <c r="L143" s="1564">
        <f>L42</f>
        <v>95000</v>
      </c>
      <c r="M143" s="1565">
        <f t="shared" si="161"/>
        <v>352200</v>
      </c>
      <c r="N143" s="1603"/>
      <c r="O143" s="1603"/>
      <c r="P143" s="719"/>
      <c r="Q143" s="719"/>
      <c r="R143" s="1119"/>
      <c r="S143" s="719"/>
      <c r="T143" s="348"/>
      <c r="U143" s="719"/>
      <c r="V143" s="719"/>
      <c r="W143" s="1119"/>
      <c r="X143" s="719"/>
      <c r="Y143" s="348"/>
      <c r="Z143" s="719"/>
      <c r="AA143" s="719"/>
      <c r="AB143" s="1119"/>
      <c r="AC143" s="719"/>
      <c r="AD143" s="348"/>
      <c r="AE143" s="719"/>
      <c r="AF143" s="719"/>
      <c r="AG143" s="1119"/>
      <c r="AH143" s="719"/>
      <c r="AI143" s="348"/>
      <c r="AJ143" s="719"/>
      <c r="AK143" s="719"/>
      <c r="AL143" s="1119"/>
      <c r="AM143" s="719"/>
      <c r="AN143" s="348"/>
      <c r="AO143" s="821">
        <f t="shared" si="160"/>
        <v>0</v>
      </c>
      <c r="AP143" s="330"/>
    </row>
    <row r="144" spans="1:47">
      <c r="A144" s="715">
        <f>A48</f>
        <v>1.4</v>
      </c>
      <c r="B144" s="1552" t="str">
        <f>B48</f>
        <v>Support to operations of the laboratory network</v>
      </c>
      <c r="C144" s="1528"/>
      <c r="D144" s="1540"/>
      <c r="E144" s="1540"/>
      <c r="F144" s="1540"/>
      <c r="G144" s="1540"/>
      <c r="H144" s="1563"/>
      <c r="I144" s="1564">
        <f>I48</f>
        <v>1519614.2777148606</v>
      </c>
      <c r="J144" s="1564">
        <f>J48</f>
        <v>1564925.5955077386</v>
      </c>
      <c r="K144" s="1564">
        <f>K48</f>
        <v>1612502.4791902602</v>
      </c>
      <c r="L144" s="1564">
        <f>L48</f>
        <v>1662458.2070569079</v>
      </c>
      <c r="M144" s="1565">
        <f t="shared" si="161"/>
        <v>6359500.5594697669</v>
      </c>
      <c r="N144" s="1603"/>
      <c r="O144" s="1603"/>
      <c r="P144" s="719"/>
      <c r="Q144" s="719"/>
      <c r="R144" s="1119"/>
      <c r="S144" s="719"/>
      <c r="T144" s="348"/>
      <c r="U144" s="719"/>
      <c r="V144" s="719"/>
      <c r="W144" s="1119"/>
      <c r="X144" s="719"/>
      <c r="Y144" s="348"/>
      <c r="Z144" s="719"/>
      <c r="AA144" s="719"/>
      <c r="AB144" s="1119"/>
      <c r="AC144" s="719"/>
      <c r="AD144" s="348"/>
      <c r="AE144" s="719"/>
      <c r="AF144" s="719"/>
      <c r="AG144" s="1119"/>
      <c r="AH144" s="719"/>
      <c r="AI144" s="348"/>
      <c r="AJ144" s="719"/>
      <c r="AK144" s="719"/>
      <c r="AL144" s="1119"/>
      <c r="AM144" s="719"/>
      <c r="AN144" s="348"/>
      <c r="AO144" s="821">
        <f t="shared" si="160"/>
        <v>0</v>
      </c>
      <c r="AP144" s="330"/>
    </row>
    <row r="145" spans="1:42" ht="47.25">
      <c r="A145" s="336">
        <f>A51</f>
        <v>2</v>
      </c>
      <c r="B145" s="1547" t="str">
        <f>B51</f>
        <v>To provide universal access to quality treatment of all forms of TB including M/XDR-TB with appropriate patient support</v>
      </c>
      <c r="C145" s="1526"/>
      <c r="D145" s="1538"/>
      <c r="E145" s="1538"/>
      <c r="F145" s="1538"/>
      <c r="G145" s="1538"/>
      <c r="H145" s="1548"/>
      <c r="I145" s="1561">
        <f>SUM(I146,I147,I148,I149,I150,I151)</f>
        <v>7211343.9588493779</v>
      </c>
      <c r="J145" s="1561">
        <f t="shared" ref="J145:L145" si="162">SUM(J146,J147,J148,J149,J150,J151)</f>
        <v>6669293.0258493777</v>
      </c>
      <c r="K145" s="1561">
        <f t="shared" si="162"/>
        <v>6652436.1338493768</v>
      </c>
      <c r="L145" s="1561">
        <f t="shared" si="162"/>
        <v>6587102.4968493776</v>
      </c>
      <c r="M145" s="1562">
        <f>I145+J145+K145+L145</f>
        <v>27120175.615397509</v>
      </c>
      <c r="N145" s="1602"/>
      <c r="O145" s="1602"/>
      <c r="P145" s="339">
        <f>P51</f>
        <v>5539320</v>
      </c>
      <c r="Q145" s="339">
        <f>Q51</f>
        <v>5415470</v>
      </c>
      <c r="R145" s="339">
        <f>R51</f>
        <v>5456580</v>
      </c>
      <c r="S145" s="339">
        <f>S51</f>
        <v>5455190</v>
      </c>
      <c r="T145" s="340">
        <f>SUM(P145:S145)</f>
        <v>21866560</v>
      </c>
      <c r="U145" s="339">
        <f>U51</f>
        <v>516137.13359999988</v>
      </c>
      <c r="V145" s="339">
        <f>V51</f>
        <v>384243.46</v>
      </c>
      <c r="W145" s="339">
        <f>W51</f>
        <v>384346.76</v>
      </c>
      <c r="X145" s="339">
        <f>X51</f>
        <v>298956.0959999999</v>
      </c>
      <c r="Y145" s="340">
        <f>SUM(U145:X145)</f>
        <v>1583683.4495999999</v>
      </c>
      <c r="Z145" s="339">
        <f>Z51</f>
        <v>256849.31506849316</v>
      </c>
      <c r="AA145" s="339">
        <f>AA51</f>
        <v>0</v>
      </c>
      <c r="AB145" s="339">
        <f>AB51</f>
        <v>0</v>
      </c>
      <c r="AC145" s="339">
        <f>AC51</f>
        <v>0</v>
      </c>
      <c r="AD145" s="340">
        <f>SUM(Z145:AC145)</f>
        <v>256849.31506849316</v>
      </c>
      <c r="AE145" s="339">
        <f>AE51</f>
        <v>772986.44866849307</v>
      </c>
      <c r="AF145" s="339">
        <f>AF51</f>
        <v>384243.46</v>
      </c>
      <c r="AG145" s="339">
        <f>AG51</f>
        <v>384346.76</v>
      </c>
      <c r="AH145" s="339">
        <f>AH51</f>
        <v>298956.0959999999</v>
      </c>
      <c r="AI145" s="340">
        <f>SUM(AE145:AH145)</f>
        <v>1840532.7646684931</v>
      </c>
      <c r="AJ145" s="339">
        <f>AJ51</f>
        <v>899037.51018088497</v>
      </c>
      <c r="AK145" s="339">
        <f>AK51</f>
        <v>869579.56584937777</v>
      </c>
      <c r="AL145" s="339">
        <f>AL51</f>
        <v>811509.37384937704</v>
      </c>
      <c r="AM145" s="339">
        <f>AM51</f>
        <v>832956.40084937774</v>
      </c>
      <c r="AN145" s="340">
        <f>SUM(AJ145:AM145)</f>
        <v>3413082.8507290175</v>
      </c>
      <c r="AO145" s="820">
        <f t="shared" si="160"/>
        <v>12.585032262074424</v>
      </c>
      <c r="AP145" s="330"/>
    </row>
    <row r="146" spans="1:42">
      <c r="A146" s="715">
        <f>A52</f>
        <v>2.1</v>
      </c>
      <c r="B146" s="1552" t="str">
        <f>B52</f>
        <v>Supply of anti-TB drugs and drug management system</v>
      </c>
      <c r="C146" s="1528"/>
      <c r="D146" s="1540"/>
      <c r="E146" s="1540"/>
      <c r="F146" s="1540"/>
      <c r="G146" s="1540"/>
      <c r="H146" s="1563"/>
      <c r="I146" s="1564">
        <f>I52</f>
        <v>1157423.6000000001</v>
      </c>
      <c r="J146" s="1564">
        <f>J52</f>
        <v>1140783.2</v>
      </c>
      <c r="K146" s="1564">
        <f>K52</f>
        <v>1117825.2</v>
      </c>
      <c r="L146" s="1564">
        <f>L52</f>
        <v>1095583.3999999999</v>
      </c>
      <c r="M146" s="1565">
        <f t="shared" ref="M146:M151" si="163">SUM(I146:L146)</f>
        <v>4511615.4000000004</v>
      </c>
      <c r="N146" s="1603"/>
      <c r="O146" s="1603"/>
      <c r="P146" s="719"/>
      <c r="Q146" s="719"/>
      <c r="R146" s="1119"/>
      <c r="S146" s="719"/>
      <c r="T146" s="348"/>
      <c r="U146" s="719"/>
      <c r="V146" s="719"/>
      <c r="W146" s="1119"/>
      <c r="X146" s="719"/>
      <c r="Y146" s="348"/>
      <c r="Z146" s="719"/>
      <c r="AA146" s="719"/>
      <c r="AB146" s="1119"/>
      <c r="AC146" s="719"/>
      <c r="AD146" s="348"/>
      <c r="AE146" s="719"/>
      <c r="AF146" s="719"/>
      <c r="AG146" s="1119"/>
      <c r="AH146" s="719"/>
      <c r="AI146" s="348"/>
      <c r="AJ146" s="719"/>
      <c r="AK146" s="719"/>
      <c r="AL146" s="1119"/>
      <c r="AM146" s="719"/>
      <c r="AN146" s="348"/>
      <c r="AO146" s="821">
        <f t="shared" si="160"/>
        <v>0</v>
      </c>
      <c r="AP146" s="330"/>
    </row>
    <row r="147" spans="1:42">
      <c r="A147" s="715">
        <f>A65</f>
        <v>2.2000000000000002</v>
      </c>
      <c r="B147" s="1552" t="str">
        <f>B65</f>
        <v>Patient support to improve adherence to TB treatment</v>
      </c>
      <c r="C147" s="1528"/>
      <c r="D147" s="1540"/>
      <c r="E147" s="1540"/>
      <c r="F147" s="1540"/>
      <c r="G147" s="1540"/>
      <c r="H147" s="1563"/>
      <c r="I147" s="1564">
        <f>I65</f>
        <v>967405.12</v>
      </c>
      <c r="J147" s="1564">
        <f>J65</f>
        <v>952763.44</v>
      </c>
      <c r="K147" s="1564">
        <f>K65</f>
        <v>938982.64</v>
      </c>
      <c r="L147" s="1564">
        <f>L65</f>
        <v>926447.68</v>
      </c>
      <c r="M147" s="1565">
        <f t="shared" si="163"/>
        <v>3785598.8800000004</v>
      </c>
      <c r="N147" s="1603"/>
      <c r="O147" s="1603"/>
      <c r="P147" s="719"/>
      <c r="Q147" s="719"/>
      <c r="R147" s="1119"/>
      <c r="S147" s="719"/>
      <c r="T147" s="348"/>
      <c r="U147" s="719"/>
      <c r="V147" s="719"/>
      <c r="W147" s="1119"/>
      <c r="X147" s="719"/>
      <c r="Y147" s="348"/>
      <c r="Z147" s="719"/>
      <c r="AA147" s="719"/>
      <c r="AB147" s="1119"/>
      <c r="AC147" s="719"/>
      <c r="AD147" s="348"/>
      <c r="AE147" s="719"/>
      <c r="AF147" s="719"/>
      <c r="AG147" s="1119"/>
      <c r="AH147" s="719"/>
      <c r="AI147" s="348"/>
      <c r="AJ147" s="719"/>
      <c r="AK147" s="719"/>
      <c r="AL147" s="1119"/>
      <c r="AM147" s="719"/>
      <c r="AN147" s="348"/>
      <c r="AO147" s="821">
        <f t="shared" si="160"/>
        <v>0</v>
      </c>
      <c r="AP147" s="330"/>
    </row>
    <row r="148" spans="1:42" ht="30">
      <c r="A148" s="715">
        <f>A73</f>
        <v>2.2999999999999998</v>
      </c>
      <c r="B148" s="1552" t="str">
        <f>B73</f>
        <v xml:space="preserve">Treatment monitoring, management of adverse drug reactions and comorbidities </v>
      </c>
      <c r="C148" s="1528"/>
      <c r="D148" s="1540"/>
      <c r="E148" s="1540"/>
      <c r="F148" s="1540"/>
      <c r="G148" s="1540"/>
      <c r="H148" s="1563"/>
      <c r="I148" s="1564">
        <f>I73</f>
        <v>219621.08799999999</v>
      </c>
      <c r="J148" s="1564">
        <f>J73</f>
        <v>209580.48499999999</v>
      </c>
      <c r="K148" s="1564">
        <f>K73</f>
        <v>208036.24300000002</v>
      </c>
      <c r="L148" s="1564">
        <f>L73</f>
        <v>199310.21600000001</v>
      </c>
      <c r="M148" s="1565">
        <f t="shared" si="163"/>
        <v>836548.03200000001</v>
      </c>
      <c r="N148" s="1603"/>
      <c r="O148" s="1603"/>
      <c r="P148" s="719"/>
      <c r="Q148" s="719"/>
      <c r="R148" s="1119"/>
      <c r="S148" s="719"/>
      <c r="T148" s="348"/>
      <c r="U148" s="719"/>
      <c r="V148" s="719"/>
      <c r="W148" s="1119"/>
      <c r="X148" s="719"/>
      <c r="Y148" s="348"/>
      <c r="Z148" s="719"/>
      <c r="AA148" s="719"/>
      <c r="AB148" s="1119"/>
      <c r="AC148" s="719"/>
      <c r="AD148" s="348"/>
      <c r="AE148" s="719"/>
      <c r="AF148" s="719"/>
      <c r="AG148" s="1119"/>
      <c r="AH148" s="719"/>
      <c r="AI148" s="348"/>
      <c r="AJ148" s="719"/>
      <c r="AK148" s="719"/>
      <c r="AL148" s="1119"/>
      <c r="AM148" s="719"/>
      <c r="AN148" s="348"/>
      <c r="AO148" s="821">
        <f t="shared" si="160"/>
        <v>0</v>
      </c>
      <c r="AP148" s="330"/>
    </row>
    <row r="149" spans="1:42">
      <c r="A149" s="715">
        <f>A82</f>
        <v>2.4</v>
      </c>
      <c r="B149" s="1552" t="str">
        <f>B82</f>
        <v>TB infection control in health care facilities</v>
      </c>
      <c r="C149" s="1528"/>
      <c r="D149" s="1540"/>
      <c r="E149" s="1540"/>
      <c r="F149" s="1540"/>
      <c r="G149" s="1540"/>
      <c r="H149" s="1563"/>
      <c r="I149" s="1564">
        <f>I82</f>
        <v>24672</v>
      </c>
      <c r="J149" s="1564">
        <f>J82</f>
        <v>24672</v>
      </c>
      <c r="K149" s="1564">
        <f>K82</f>
        <v>24672</v>
      </c>
      <c r="L149" s="1564">
        <f>L82</f>
        <v>24672</v>
      </c>
      <c r="M149" s="1565">
        <f t="shared" si="163"/>
        <v>98688</v>
      </c>
      <c r="N149" s="1603"/>
      <c r="O149" s="1603"/>
      <c r="P149" s="719"/>
      <c r="Q149" s="719"/>
      <c r="R149" s="1119"/>
      <c r="S149" s="719"/>
      <c r="T149" s="348"/>
      <c r="U149" s="719"/>
      <c r="V149" s="719"/>
      <c r="W149" s="1119"/>
      <c r="X149" s="719"/>
      <c r="Y149" s="348"/>
      <c r="Z149" s="719"/>
      <c r="AA149" s="719"/>
      <c r="AB149" s="1119"/>
      <c r="AC149" s="719"/>
      <c r="AD149" s="348"/>
      <c r="AE149" s="719"/>
      <c r="AF149" s="719"/>
      <c r="AG149" s="1119"/>
      <c r="AH149" s="719"/>
      <c r="AI149" s="348"/>
      <c r="AJ149" s="719"/>
      <c r="AK149" s="719"/>
      <c r="AL149" s="1119"/>
      <c r="AM149" s="719"/>
      <c r="AN149" s="348"/>
      <c r="AO149" s="821">
        <f t="shared" si="160"/>
        <v>0</v>
      </c>
      <c r="AP149" s="330"/>
    </row>
    <row r="150" spans="1:42">
      <c r="A150" s="715">
        <f>A86</f>
        <v>2.5</v>
      </c>
      <c r="B150" s="1552" t="str">
        <f>B86</f>
        <v>Preventive treatment and vaccination against TB</v>
      </c>
      <c r="C150" s="1528"/>
      <c r="D150" s="1540"/>
      <c r="E150" s="1540"/>
      <c r="F150" s="1540"/>
      <c r="G150" s="1540"/>
      <c r="H150" s="1563"/>
      <c r="I150" s="1564">
        <f>I86</f>
        <v>142983.65</v>
      </c>
      <c r="J150" s="1564">
        <f>J86</f>
        <v>128455.4</v>
      </c>
      <c r="K150" s="1564">
        <f>K86</f>
        <v>149881.54999999999</v>
      </c>
      <c r="L150" s="1564">
        <f>L86</f>
        <v>128050.7</v>
      </c>
      <c r="M150" s="1565">
        <f t="shared" si="163"/>
        <v>549371.29999999993</v>
      </c>
      <c r="N150" s="1603"/>
      <c r="O150" s="1603"/>
      <c r="P150" s="719"/>
      <c r="Q150" s="719"/>
      <c r="R150" s="1119"/>
      <c r="S150" s="719"/>
      <c r="T150" s="348"/>
      <c r="U150" s="719"/>
      <c r="V150" s="719"/>
      <c r="W150" s="1119"/>
      <c r="X150" s="719"/>
      <c r="Y150" s="348"/>
      <c r="Z150" s="719"/>
      <c r="AA150" s="719"/>
      <c r="AB150" s="1119"/>
      <c r="AC150" s="719"/>
      <c r="AD150" s="348"/>
      <c r="AE150" s="719"/>
      <c r="AF150" s="719"/>
      <c r="AG150" s="1119"/>
      <c r="AH150" s="719"/>
      <c r="AI150" s="348"/>
      <c r="AJ150" s="719"/>
      <c r="AK150" s="719"/>
      <c r="AL150" s="1119"/>
      <c r="AM150" s="719"/>
      <c r="AN150" s="348"/>
      <c r="AO150" s="821">
        <f t="shared" si="160"/>
        <v>0</v>
      </c>
      <c r="AP150" s="330"/>
    </row>
    <row r="151" spans="1:42">
      <c r="A151" s="715">
        <f>A92</f>
        <v>2.6</v>
      </c>
      <c r="B151" s="1552" t="str">
        <f>B92</f>
        <v>Support to operations of TB treatment institutions</v>
      </c>
      <c r="C151" s="1528"/>
      <c r="D151" s="1540"/>
      <c r="E151" s="1540"/>
      <c r="F151" s="1540"/>
      <c r="G151" s="1540"/>
      <c r="H151" s="1563"/>
      <c r="I151" s="1564">
        <f>I92</f>
        <v>4699238.5008493774</v>
      </c>
      <c r="J151" s="1564">
        <f>J92</f>
        <v>4213038.5008493774</v>
      </c>
      <c r="K151" s="1564">
        <f>K92</f>
        <v>4213038.5008493774</v>
      </c>
      <c r="L151" s="1564">
        <f>L92</f>
        <v>4213038.5008493774</v>
      </c>
      <c r="M151" s="1565">
        <f t="shared" si="163"/>
        <v>17338354.003397509</v>
      </c>
      <c r="N151" s="1603"/>
      <c r="O151" s="1603"/>
      <c r="P151" s="719"/>
      <c r="Q151" s="719"/>
      <c r="R151" s="1119"/>
      <c r="S151" s="719"/>
      <c r="T151" s="348"/>
      <c r="U151" s="719"/>
      <c r="V151" s="719"/>
      <c r="W151" s="1119"/>
      <c r="X151" s="719"/>
      <c r="Y151" s="348"/>
      <c r="Z151" s="719"/>
      <c r="AA151" s="719"/>
      <c r="AB151" s="1119"/>
      <c r="AC151" s="719"/>
      <c r="AD151" s="348"/>
      <c r="AE151" s="719"/>
      <c r="AF151" s="719"/>
      <c r="AG151" s="1119"/>
      <c r="AH151" s="719"/>
      <c r="AI151" s="348"/>
      <c r="AJ151" s="719"/>
      <c r="AK151" s="719"/>
      <c r="AL151" s="1119"/>
      <c r="AM151" s="719"/>
      <c r="AN151" s="348"/>
      <c r="AO151" s="821">
        <f t="shared" si="160"/>
        <v>0</v>
      </c>
      <c r="AP151" s="330"/>
    </row>
    <row r="152" spans="1:42" ht="31.5">
      <c r="A152" s="336">
        <f>A96</f>
        <v>3</v>
      </c>
      <c r="B152" s="1547" t="str">
        <f>B96</f>
        <v>To enable supportive environment and systems for effective TB control</v>
      </c>
      <c r="C152" s="1526"/>
      <c r="D152" s="1538"/>
      <c r="E152" s="1538"/>
      <c r="F152" s="1538"/>
      <c r="G152" s="1538"/>
      <c r="H152" s="1548"/>
      <c r="I152" s="1561">
        <f>SUM(I153:I156)</f>
        <v>2080047.3150684931</v>
      </c>
      <c r="J152" s="1561">
        <f>SUM(J153:J156)</f>
        <v>1760623</v>
      </c>
      <c r="K152" s="1561">
        <f>SUM(K153:K156)</f>
        <v>1836923</v>
      </c>
      <c r="L152" s="1561">
        <f>SUM(L153:L156)</f>
        <v>1576010</v>
      </c>
      <c r="M152" s="1562">
        <f>SUM(M153,M154,M155,M156)</f>
        <v>7253603.3150684927</v>
      </c>
      <c r="N152" s="1602"/>
      <c r="O152" s="1602"/>
      <c r="P152" s="339">
        <f>P96</f>
        <v>143880</v>
      </c>
      <c r="Q152" s="339">
        <f>Q96</f>
        <v>144410</v>
      </c>
      <c r="R152" s="339">
        <f>R96</f>
        <v>303140</v>
      </c>
      <c r="S152" s="339">
        <f>S96</f>
        <v>311730</v>
      </c>
      <c r="T152" s="340">
        <f>SUM(P152:S152)</f>
        <v>903160</v>
      </c>
      <c r="U152" s="339">
        <f>U96</f>
        <v>1671936.5298630137</v>
      </c>
      <c r="V152" s="339">
        <f>V96</f>
        <v>1253897.05</v>
      </c>
      <c r="W152" s="339">
        <f>W96</f>
        <v>1241178.4000000001</v>
      </c>
      <c r="X152" s="339">
        <f>X96</f>
        <v>967920</v>
      </c>
      <c r="Y152" s="340">
        <f>SUM(U152:X152)</f>
        <v>5134931.9798630141</v>
      </c>
      <c r="Z152" s="339">
        <f>Z96</f>
        <v>0</v>
      </c>
      <c r="AA152" s="339">
        <f>AA96</f>
        <v>0</v>
      </c>
      <c r="AB152" s="339">
        <f>AB96</f>
        <v>0</v>
      </c>
      <c r="AC152" s="339">
        <f>AC96</f>
        <v>0</v>
      </c>
      <c r="AD152" s="340">
        <f>SUM(Z152:AC152)</f>
        <v>0</v>
      </c>
      <c r="AE152" s="339">
        <f>AE96</f>
        <v>1671936.5298630137</v>
      </c>
      <c r="AF152" s="339">
        <f>AF96</f>
        <v>1253897.05</v>
      </c>
      <c r="AG152" s="339">
        <f>AG96</f>
        <v>1241178.4000000001</v>
      </c>
      <c r="AH152" s="339">
        <f>AH96</f>
        <v>967920</v>
      </c>
      <c r="AI152" s="340">
        <f>SUM(AE152:AH152)</f>
        <v>5134931.9798630141</v>
      </c>
      <c r="AJ152" s="339">
        <f>AJ96</f>
        <v>264230.78520547948</v>
      </c>
      <c r="AK152" s="339">
        <f>AK96</f>
        <v>362315.94999999995</v>
      </c>
      <c r="AL152" s="339">
        <f>AL96</f>
        <v>292604.59999999986</v>
      </c>
      <c r="AM152" s="339">
        <f>AM96</f>
        <v>296360</v>
      </c>
      <c r="AN152" s="340">
        <f>SUM(AJ152:AM152)</f>
        <v>1215511.3352054793</v>
      </c>
      <c r="AO152" s="820">
        <f t="shared" si="160"/>
        <v>16.757345038160551</v>
      </c>
      <c r="AP152" s="330"/>
    </row>
    <row r="153" spans="1:42">
      <c r="A153" s="715">
        <f>A97</f>
        <v>3.1</v>
      </c>
      <c r="B153" s="1552" t="str">
        <f>B97</f>
        <v>Strengthening core health system functions for TB control</v>
      </c>
      <c r="C153" s="1528"/>
      <c r="D153" s="1540"/>
      <c r="E153" s="1540"/>
      <c r="F153" s="1540"/>
      <c r="G153" s="1540"/>
      <c r="H153" s="1563"/>
      <c r="I153" s="1564">
        <f>I97</f>
        <v>808562.31506849313</v>
      </c>
      <c r="J153" s="1564">
        <f>J97</f>
        <v>563713</v>
      </c>
      <c r="K153" s="1564">
        <f>K97</f>
        <v>542713</v>
      </c>
      <c r="L153" s="1564">
        <f>L97</f>
        <v>349100</v>
      </c>
      <c r="M153" s="1565">
        <f t="shared" ref="M153:M156" si="164">SUM(I153:L153)</f>
        <v>2264088.3150684931</v>
      </c>
      <c r="N153" s="1603"/>
      <c r="O153" s="1603"/>
      <c r="P153" s="719"/>
      <c r="Q153" s="719"/>
      <c r="R153" s="1119"/>
      <c r="S153" s="719"/>
      <c r="T153" s="348">
        <f t="shared" ref="T153:T156" si="165">SUM(P153:S153)</f>
        <v>0</v>
      </c>
      <c r="U153" s="719"/>
      <c r="V153" s="719"/>
      <c r="W153" s="1119"/>
      <c r="X153" s="719"/>
      <c r="Y153" s="348">
        <f>U153+V153+W153+X153</f>
        <v>0</v>
      </c>
      <c r="Z153" s="719"/>
      <c r="AA153" s="719"/>
      <c r="AB153" s="1119"/>
      <c r="AC153" s="719"/>
      <c r="AD153" s="348"/>
      <c r="AE153" s="719"/>
      <c r="AF153" s="719"/>
      <c r="AG153" s="1119"/>
      <c r="AH153" s="719"/>
      <c r="AI153" s="348"/>
      <c r="AJ153" s="719"/>
      <c r="AK153" s="719"/>
      <c r="AL153" s="1119"/>
      <c r="AM153" s="719"/>
      <c r="AN153" s="348"/>
      <c r="AO153" s="821">
        <f t="shared" si="160"/>
        <v>0</v>
      </c>
      <c r="AP153" s="330"/>
    </row>
    <row r="154" spans="1:42" ht="30">
      <c r="A154" s="715">
        <f>A108</f>
        <v>3.2</v>
      </c>
      <c r="B154" s="1552" t="str">
        <f>B108</f>
        <v>Supervision, monitoring and evaluation of the National TB Program</v>
      </c>
      <c r="C154" s="1528"/>
      <c r="D154" s="1540"/>
      <c r="E154" s="1540"/>
      <c r="F154" s="1540"/>
      <c r="G154" s="1540"/>
      <c r="H154" s="1563"/>
      <c r="I154" s="1564">
        <f>I108</f>
        <v>591760</v>
      </c>
      <c r="J154" s="1564">
        <f>J108</f>
        <v>494460</v>
      </c>
      <c r="K154" s="1564">
        <f>K108</f>
        <v>591760</v>
      </c>
      <c r="L154" s="1564">
        <f>L108</f>
        <v>494460</v>
      </c>
      <c r="M154" s="1565">
        <f t="shared" si="164"/>
        <v>2172440</v>
      </c>
      <c r="N154" s="1603"/>
      <c r="O154" s="1603"/>
      <c r="P154" s="719"/>
      <c r="Q154" s="719"/>
      <c r="R154" s="1119"/>
      <c r="S154" s="719"/>
      <c r="T154" s="348">
        <f t="shared" si="165"/>
        <v>0</v>
      </c>
      <c r="U154" s="719"/>
      <c r="V154" s="719"/>
      <c r="W154" s="1119"/>
      <c r="X154" s="719"/>
      <c r="Y154" s="348">
        <f t="shared" ref="Y154:Y156" si="166">U154+V154+W154+X154</f>
        <v>0</v>
      </c>
      <c r="Z154" s="719"/>
      <c r="AA154" s="719"/>
      <c r="AB154" s="1119"/>
      <c r="AC154" s="719"/>
      <c r="AD154" s="348"/>
      <c r="AE154" s="719"/>
      <c r="AF154" s="719"/>
      <c r="AG154" s="1119"/>
      <c r="AH154" s="719"/>
      <c r="AI154" s="348"/>
      <c r="AJ154" s="719"/>
      <c r="AK154" s="719"/>
      <c r="AL154" s="1119"/>
      <c r="AM154" s="719"/>
      <c r="AN154" s="348"/>
      <c r="AO154" s="821">
        <f t="shared" si="160"/>
        <v>0</v>
      </c>
      <c r="AP154" s="330"/>
    </row>
    <row r="155" spans="1:42" ht="30">
      <c r="A155" s="715">
        <f>A119</f>
        <v>3.3</v>
      </c>
      <c r="B155" s="1552" t="str">
        <f>B119</f>
        <v>Advocacy, communication, social mobilization (ACSM) and civil society engagement for TB control</v>
      </c>
      <c r="C155" s="1528"/>
      <c r="D155" s="1540"/>
      <c r="E155" s="1540"/>
      <c r="F155" s="1540"/>
      <c r="G155" s="1540"/>
      <c r="H155" s="1563"/>
      <c r="I155" s="1564">
        <f>I119</f>
        <v>459725</v>
      </c>
      <c r="J155" s="1564">
        <f>J119</f>
        <v>482450</v>
      </c>
      <c r="K155" s="1564">
        <f>K119</f>
        <v>482450</v>
      </c>
      <c r="L155" s="1564">
        <f>L119</f>
        <v>512450</v>
      </c>
      <c r="M155" s="1565">
        <f t="shared" si="164"/>
        <v>1937075</v>
      </c>
      <c r="N155" s="1603"/>
      <c r="O155" s="1603"/>
      <c r="P155" s="719"/>
      <c r="Q155" s="719"/>
      <c r="R155" s="1119"/>
      <c r="S155" s="719"/>
      <c r="T155" s="348">
        <f t="shared" si="165"/>
        <v>0</v>
      </c>
      <c r="U155" s="719"/>
      <c r="V155" s="719"/>
      <c r="W155" s="1119"/>
      <c r="X155" s="719"/>
      <c r="Y155" s="348">
        <f t="shared" si="166"/>
        <v>0</v>
      </c>
      <c r="Z155" s="719"/>
      <c r="AA155" s="719"/>
      <c r="AB155" s="1119"/>
      <c r="AC155" s="719"/>
      <c r="AD155" s="348"/>
      <c r="AE155" s="719"/>
      <c r="AF155" s="719"/>
      <c r="AG155" s="1119"/>
      <c r="AH155" s="719"/>
      <c r="AI155" s="348"/>
      <c r="AJ155" s="719"/>
      <c r="AK155" s="719"/>
      <c r="AL155" s="1119"/>
      <c r="AM155" s="719"/>
      <c r="AN155" s="348"/>
      <c r="AO155" s="821">
        <f t="shared" si="160"/>
        <v>0</v>
      </c>
      <c r="AP155" s="330"/>
    </row>
    <row r="156" spans="1:42">
      <c r="A156" s="715">
        <f>A129</f>
        <v>3.4</v>
      </c>
      <c r="B156" s="1552" t="str">
        <f>B129</f>
        <v>Research on priority issues of TB control</v>
      </c>
      <c r="C156" s="1528"/>
      <c r="D156" s="1540"/>
      <c r="E156" s="1540"/>
      <c r="F156" s="1540"/>
      <c r="G156" s="1540"/>
      <c r="H156" s="1563"/>
      <c r="I156" s="1564">
        <f>I129</f>
        <v>220000</v>
      </c>
      <c r="J156" s="1564">
        <f>J129</f>
        <v>220000</v>
      </c>
      <c r="K156" s="1564">
        <f>K129</f>
        <v>220000</v>
      </c>
      <c r="L156" s="1564">
        <f>L129</f>
        <v>220000</v>
      </c>
      <c r="M156" s="1565">
        <f t="shared" si="164"/>
        <v>880000</v>
      </c>
      <c r="N156" s="1603"/>
      <c r="O156" s="1603"/>
      <c r="P156" s="719"/>
      <c r="Q156" s="719"/>
      <c r="R156" s="1119"/>
      <c r="S156" s="719"/>
      <c r="T156" s="348">
        <f t="shared" si="165"/>
        <v>0</v>
      </c>
      <c r="U156" s="719"/>
      <c r="V156" s="719"/>
      <c r="W156" s="1119"/>
      <c r="X156" s="719"/>
      <c r="Y156" s="348">
        <f t="shared" si="166"/>
        <v>0</v>
      </c>
      <c r="Z156" s="719"/>
      <c r="AA156" s="719"/>
      <c r="AB156" s="1119"/>
      <c r="AC156" s="719"/>
      <c r="AD156" s="348"/>
      <c r="AE156" s="719"/>
      <c r="AF156" s="719"/>
      <c r="AG156" s="1119"/>
      <c r="AH156" s="719"/>
      <c r="AI156" s="348"/>
      <c r="AJ156" s="719"/>
      <c r="AK156" s="719"/>
      <c r="AL156" s="1119"/>
      <c r="AM156" s="719"/>
      <c r="AN156" s="348"/>
      <c r="AO156" s="821">
        <f t="shared" si="160"/>
        <v>0</v>
      </c>
      <c r="AP156" s="330"/>
    </row>
    <row r="157" spans="1:42" ht="14.45" customHeight="1">
      <c r="A157" s="482"/>
      <c r="B157" s="1553" t="s">
        <v>1008</v>
      </c>
      <c r="C157" s="1529"/>
      <c r="D157" s="1541"/>
      <c r="E157" s="1541"/>
      <c r="F157" s="1541"/>
      <c r="G157" s="1541"/>
      <c r="H157" s="1554"/>
      <c r="I157" s="1566">
        <f t="shared" ref="I157:S157" si="167">SUM(I140,I145,I152)</f>
        <v>11913760.761032369</v>
      </c>
      <c r="J157" s="1566">
        <f t="shared" si="167"/>
        <v>11066107.466634294</v>
      </c>
      <c r="K157" s="1566">
        <f t="shared" si="167"/>
        <v>11178552.011357017</v>
      </c>
      <c r="L157" s="1566">
        <f t="shared" si="167"/>
        <v>10879669.616531968</v>
      </c>
      <c r="M157" s="1567">
        <f t="shared" si="167"/>
        <v>45038089.855555646</v>
      </c>
      <c r="N157" s="1604"/>
      <c r="O157" s="1604"/>
      <c r="P157" s="477">
        <f t="shared" si="167"/>
        <v>7121980</v>
      </c>
      <c r="Q157" s="477">
        <f t="shared" si="167"/>
        <v>7148420</v>
      </c>
      <c r="R157" s="477">
        <f t="shared" si="167"/>
        <v>7502790</v>
      </c>
      <c r="S157" s="477">
        <f t="shared" si="167"/>
        <v>7715200</v>
      </c>
      <c r="T157" s="351">
        <f>SUM(P157:S157)</f>
        <v>29488390</v>
      </c>
      <c r="U157" s="477">
        <f>SUM(U140,U145,U152)</f>
        <v>2783009.4774787817</v>
      </c>
      <c r="V157" s="477">
        <f>SUM(V140,V145,V152)</f>
        <v>2176999.2171663069</v>
      </c>
      <c r="W157" s="477">
        <f>SUM(W140,W145,W152)</f>
        <v>2161638.5989904278</v>
      </c>
      <c r="X157" s="477">
        <f>SUM(X140,X145,X152)</f>
        <v>1699841.5523128412</v>
      </c>
      <c r="Y157" s="351">
        <f>SUM(U157:X157)</f>
        <v>8821488.8459483571</v>
      </c>
      <c r="Z157" s="477">
        <f>SUM(Z140,Z145,Z152)</f>
        <v>774428.441780822</v>
      </c>
      <c r="AA157" s="477">
        <f>SUM(AA140,AA145,AA152)</f>
        <v>0</v>
      </c>
      <c r="AB157" s="477">
        <f>SUM(AB140,AB145,AB152)</f>
        <v>0</v>
      </c>
      <c r="AC157" s="477">
        <f>SUM(AC140,AC145,AC152)</f>
        <v>0</v>
      </c>
      <c r="AD157" s="351">
        <f>SUM(Z157:AC157)</f>
        <v>774428.441780822</v>
      </c>
      <c r="AE157" s="477">
        <f>SUM(AE140,AE145,AE152)</f>
        <v>3557437.9192596041</v>
      </c>
      <c r="AF157" s="477">
        <f>SUM(AF140,AF145,AF152)</f>
        <v>2176999.2171663069</v>
      </c>
      <c r="AG157" s="477">
        <f>SUM(AG140,AG145,AG152)</f>
        <v>2161638.5989904278</v>
      </c>
      <c r="AH157" s="477">
        <f>SUM(AH140,AH145,AH152)</f>
        <v>1699841.5523128412</v>
      </c>
      <c r="AI157" s="351">
        <f>SUM(AE157:AH157)</f>
        <v>9595917.2877291795</v>
      </c>
      <c r="AJ157" s="477">
        <f>SUM(AJ140,AJ145,AJ152)</f>
        <v>1234342.8417727656</v>
      </c>
      <c r="AK157" s="477">
        <f>SUM(AK140,AK145,AK152)</f>
        <v>1740688.2494679878</v>
      </c>
      <c r="AL157" s="477">
        <f>SUM(AL140,AL145,AL152)</f>
        <v>1514123.4123665893</v>
      </c>
      <c r="AM157" s="477">
        <f>SUM(AM140,AM145,AM152)</f>
        <v>1464628.0642191269</v>
      </c>
      <c r="AN157" s="351">
        <f>SUM(AJ157:AM157)</f>
        <v>5953782.5678264704</v>
      </c>
      <c r="AO157" s="820">
        <f t="shared" si="160"/>
        <v>13.219438450700734</v>
      </c>
      <c r="AP157" s="330"/>
    </row>
    <row r="158" spans="1:42" ht="14.45" customHeight="1">
      <c r="A158" s="344">
        <v>4</v>
      </c>
      <c r="B158" s="1550" t="s">
        <v>1009</v>
      </c>
      <c r="C158" s="1527"/>
      <c r="D158" s="1539"/>
      <c r="E158" s="1539"/>
      <c r="F158" s="1539"/>
      <c r="G158" s="1539"/>
      <c r="H158" s="1551"/>
      <c r="I158" s="1568">
        <f>I133</f>
        <v>595688.0380516185</v>
      </c>
      <c r="J158" s="1568">
        <f>J133</f>
        <v>553305.37333171477</v>
      </c>
      <c r="K158" s="1568">
        <f>K133</f>
        <v>558927.60056785087</v>
      </c>
      <c r="L158" s="1568">
        <f>L133</f>
        <v>543983.48082659848</v>
      </c>
      <c r="M158" s="1565">
        <f t="shared" ref="M158" si="168">SUM(I158:L158)</f>
        <v>2251904.4927777825</v>
      </c>
      <c r="N158" s="1603"/>
      <c r="O158" s="1603"/>
      <c r="P158" s="347">
        <f>P157*5%</f>
        <v>356099</v>
      </c>
      <c r="Q158" s="347">
        <f>Q157*5%</f>
        <v>357421</v>
      </c>
      <c r="R158" s="347">
        <f>R157*5%</f>
        <v>375139.5</v>
      </c>
      <c r="S158" s="347">
        <f>S157*5%</f>
        <v>385760</v>
      </c>
      <c r="T158" s="348">
        <f>SUM(P158:S158)</f>
        <v>1474419.5</v>
      </c>
      <c r="U158" s="347">
        <f>U157*5%</f>
        <v>139150.4738739391</v>
      </c>
      <c r="V158" s="347">
        <f>V157*5%</f>
        <v>108849.96085831535</v>
      </c>
      <c r="W158" s="1117">
        <f>W157*5%</f>
        <v>108081.92994952139</v>
      </c>
      <c r="X158" s="347">
        <f>X157*5%</f>
        <v>84992.077615642062</v>
      </c>
      <c r="Y158" s="348">
        <f>SUM(U158:X158)</f>
        <v>441074.4422974179</v>
      </c>
      <c r="Z158" s="347">
        <f>Z157*5%</f>
        <v>38721.422089041102</v>
      </c>
      <c r="AA158" s="347">
        <f>AA133</f>
        <v>0</v>
      </c>
      <c r="AB158" s="1117"/>
      <c r="AC158" s="347">
        <f>AC133</f>
        <v>0</v>
      </c>
      <c r="AD158" s="348">
        <f>SUM(Z158:AC158)</f>
        <v>38721.422089041102</v>
      </c>
      <c r="AE158" s="347">
        <f>U158+Z158</f>
        <v>177871.8959629802</v>
      </c>
      <c r="AF158" s="347">
        <f t="shared" ref="AF158:AH158" si="169">V158+AA158</f>
        <v>108849.96085831535</v>
      </c>
      <c r="AG158" s="347">
        <f t="shared" si="169"/>
        <v>108081.92994952139</v>
      </c>
      <c r="AH158" s="347">
        <f t="shared" si="169"/>
        <v>84992.077615642062</v>
      </c>
      <c r="AI158" s="348">
        <f>SUM(AE158:AH158)</f>
        <v>479795.864386459</v>
      </c>
      <c r="AJ158" s="347">
        <f>AJ133</f>
        <v>61717.142088638269</v>
      </c>
      <c r="AK158" s="347">
        <f>AK133</f>
        <v>87034.412473399425</v>
      </c>
      <c r="AL158" s="347">
        <f>AL133</f>
        <v>75706.170618329488</v>
      </c>
      <c r="AM158" s="347">
        <f>AM133</f>
        <v>73231.403210956429</v>
      </c>
      <c r="AN158" s="348">
        <f>SUM(AJ158:AM158)</f>
        <v>297689.12839132361</v>
      </c>
      <c r="AO158" s="821">
        <f t="shared" si="160"/>
        <v>13.219438450700739</v>
      </c>
      <c r="AP158" s="330"/>
    </row>
    <row r="159" spans="1:42" ht="15.75">
      <c r="A159" s="349"/>
      <c r="B159" s="1555" t="s">
        <v>809</v>
      </c>
      <c r="C159" s="1530"/>
      <c r="D159" s="1542"/>
      <c r="E159" s="1542"/>
      <c r="F159" s="1542"/>
      <c r="G159" s="1542"/>
      <c r="H159" s="1556"/>
      <c r="I159" s="1567">
        <f>I157+I158</f>
        <v>12509448.799083987</v>
      </c>
      <c r="J159" s="1567">
        <f>J157+J158</f>
        <v>11619412.839966008</v>
      </c>
      <c r="K159" s="1567">
        <f>K157+K158</f>
        <v>11737479.611924868</v>
      </c>
      <c r="L159" s="1567">
        <f>L157+L158</f>
        <v>11423653.097358566</v>
      </c>
      <c r="M159" s="1569">
        <f>M157+M158</f>
        <v>47289994.348333426</v>
      </c>
      <c r="N159" s="1605"/>
      <c r="O159" s="1605"/>
      <c r="P159" s="351">
        <f>P157+P158</f>
        <v>7478079</v>
      </c>
      <c r="Q159" s="351">
        <f t="shared" ref="Q159:T159" si="170">Q157+Q158</f>
        <v>7505841</v>
      </c>
      <c r="R159" s="351">
        <f t="shared" si="170"/>
        <v>7877929.5</v>
      </c>
      <c r="S159" s="351">
        <f t="shared" si="170"/>
        <v>8100960</v>
      </c>
      <c r="T159" s="352">
        <f t="shared" si="170"/>
        <v>30962809.5</v>
      </c>
      <c r="U159" s="351">
        <f>U157+U158</f>
        <v>2922159.9513527206</v>
      </c>
      <c r="V159" s="351">
        <f t="shared" ref="V159:Y159" si="171">V157+V158</f>
        <v>2285849.1780246221</v>
      </c>
      <c r="W159" s="351">
        <f t="shared" si="171"/>
        <v>2269720.5289399493</v>
      </c>
      <c r="X159" s="351">
        <f t="shared" si="171"/>
        <v>1784833.6299284832</v>
      </c>
      <c r="Y159" s="352">
        <f t="shared" si="171"/>
        <v>9262563.2882457748</v>
      </c>
      <c r="Z159" s="351">
        <f>Z157+Z158</f>
        <v>813149.8638698631</v>
      </c>
      <c r="AA159" s="351">
        <f t="shared" ref="AA159:AD159" si="172">AA157+AA158</f>
        <v>0</v>
      </c>
      <c r="AB159" s="351">
        <f t="shared" si="172"/>
        <v>0</v>
      </c>
      <c r="AC159" s="351">
        <f t="shared" si="172"/>
        <v>0</v>
      </c>
      <c r="AD159" s="352">
        <f t="shared" si="172"/>
        <v>813149.8638698631</v>
      </c>
      <c r="AE159" s="351">
        <f>AE157+AE158</f>
        <v>3735309.8152225842</v>
      </c>
      <c r="AF159" s="351">
        <f t="shared" ref="AF159:AI159" si="173">AF157+AF158</f>
        <v>2285849.1780246221</v>
      </c>
      <c r="AG159" s="351">
        <f t="shared" si="173"/>
        <v>2269720.5289399493</v>
      </c>
      <c r="AH159" s="351">
        <f t="shared" si="173"/>
        <v>1784833.6299284832</v>
      </c>
      <c r="AI159" s="352">
        <f t="shared" si="173"/>
        <v>10075713.152115639</v>
      </c>
      <c r="AJ159" s="351">
        <f>AJ157+AJ158</f>
        <v>1296059.983861404</v>
      </c>
      <c r="AK159" s="351">
        <f t="shared" ref="AK159:AN159" si="174">AK157+AK158</f>
        <v>1827722.6619413872</v>
      </c>
      <c r="AL159" s="351">
        <f t="shared" si="174"/>
        <v>1589829.5829849187</v>
      </c>
      <c r="AM159" s="351">
        <f t="shared" si="174"/>
        <v>1537859.4674300833</v>
      </c>
      <c r="AN159" s="352">
        <f t="shared" si="174"/>
        <v>6251471.696217794</v>
      </c>
      <c r="AO159" s="820">
        <f>AN159/M159%</f>
        <v>13.219438450700736</v>
      </c>
      <c r="AP159" s="330"/>
    </row>
    <row r="160" spans="1:42">
      <c r="H160" s="1570"/>
      <c r="M160" s="1559">
        <f>I159/3700000</f>
        <v>3.380932107860537</v>
      </c>
      <c r="AA160" s="359"/>
      <c r="AF160" s="359"/>
      <c r="AK160" s="359"/>
    </row>
    <row r="161" spans="1:46">
      <c r="A161" s="478"/>
      <c r="B161" s="1533" t="s">
        <v>26</v>
      </c>
      <c r="C161" s="1533"/>
      <c r="H161" s="1571"/>
      <c r="I161" s="1572">
        <f>I134-I159</f>
        <v>0</v>
      </c>
      <c r="J161" s="1572">
        <f>J134-J159</f>
        <v>0</v>
      </c>
      <c r="K161" s="1572"/>
      <c r="L161" s="1572">
        <f>L134-L159</f>
        <v>0</v>
      </c>
      <c r="M161" s="1572">
        <f>M134-M159</f>
        <v>0</v>
      </c>
      <c r="N161" s="1572"/>
      <c r="O161" s="1572"/>
      <c r="P161" s="481">
        <f>P134-P159</f>
        <v>0</v>
      </c>
      <c r="Q161" s="481">
        <f>Q134-Q159</f>
        <v>0</v>
      </c>
      <c r="R161" s="481"/>
      <c r="S161" s="481">
        <f>S134-S159</f>
        <v>0</v>
      </c>
      <c r="T161" s="481">
        <f>T134-T159</f>
        <v>0</v>
      </c>
      <c r="U161" s="481"/>
      <c r="V161" s="481"/>
      <c r="W161" s="481">
        <f>U134-U159</f>
        <v>0</v>
      </c>
      <c r="X161" s="481"/>
      <c r="Y161" s="481">
        <f>V134-V159</f>
        <v>0</v>
      </c>
      <c r="Z161" s="481">
        <f>X134-X159</f>
        <v>0</v>
      </c>
      <c r="AA161" s="481">
        <f>Y134-Y159</f>
        <v>0</v>
      </c>
      <c r="AB161" s="481">
        <f>Z134-Z159</f>
        <v>0</v>
      </c>
      <c r="AC161" s="481"/>
      <c r="AD161" s="481">
        <f>AA134-AA159</f>
        <v>0</v>
      </c>
      <c r="AE161" s="481">
        <f>AC134-AC159</f>
        <v>0</v>
      </c>
      <c r="AF161" s="481">
        <f>AD134-AD159</f>
        <v>0</v>
      </c>
      <c r="AG161" s="481">
        <f>AE134-AE159</f>
        <v>0</v>
      </c>
      <c r="AH161" s="481"/>
      <c r="AI161" s="481">
        <f>AF134-AF159</f>
        <v>0</v>
      </c>
      <c r="AJ161" s="481">
        <f>AH134-AH159</f>
        <v>0</v>
      </c>
      <c r="AK161" s="481">
        <f>AI134-AI159</f>
        <v>0</v>
      </c>
      <c r="AL161" s="481">
        <f>AJ134-AJ159</f>
        <v>0</v>
      </c>
      <c r="AM161" s="481"/>
      <c r="AN161" s="481">
        <f>AK134-AK159</f>
        <v>0</v>
      </c>
      <c r="AO161" s="481">
        <f>AM134-AM159</f>
        <v>0</v>
      </c>
      <c r="AP161" s="481">
        <f>AN134-AN159</f>
        <v>0</v>
      </c>
      <c r="AQ161" s="479"/>
      <c r="AR161" s="479"/>
    </row>
    <row r="162" spans="1:46" hidden="1">
      <c r="A162" s="360"/>
      <c r="B162" s="1534"/>
      <c r="C162" s="1534"/>
      <c r="H162" s="1573"/>
      <c r="I162" s="1574"/>
      <c r="J162" s="1574"/>
      <c r="K162" s="1574"/>
      <c r="L162" s="1574"/>
      <c r="M162" s="1574"/>
      <c r="N162" s="1574"/>
      <c r="O162" s="1574"/>
      <c r="P162" s="363"/>
      <c r="Q162" s="363"/>
      <c r="R162" s="363"/>
      <c r="S162" s="363"/>
      <c r="T162" s="363"/>
      <c r="U162" s="363"/>
      <c r="V162" s="363"/>
      <c r="W162" s="363"/>
      <c r="X162" s="363"/>
      <c r="Y162" s="363"/>
      <c r="Z162" s="363"/>
      <c r="AA162" s="364"/>
      <c r="AB162" s="363"/>
      <c r="AC162" s="363"/>
      <c r="AD162" s="363"/>
      <c r="AE162" s="363"/>
      <c r="AF162" s="363"/>
      <c r="AG162" s="363"/>
      <c r="AH162" s="363"/>
      <c r="AI162" s="363"/>
      <c r="AJ162" s="363"/>
      <c r="AK162" s="363"/>
      <c r="AL162" s="363"/>
      <c r="AM162" s="363"/>
      <c r="AN162" s="363"/>
      <c r="AO162" s="363"/>
      <c r="AP162" s="363"/>
    </row>
    <row r="163" spans="1:46" ht="15.75" hidden="1">
      <c r="A163" s="484" t="s">
        <v>45</v>
      </c>
      <c r="B163" s="1532" t="s">
        <v>1011</v>
      </c>
      <c r="C163" s="1532"/>
      <c r="D163" s="1543"/>
      <c r="E163" s="1543"/>
      <c r="F163" s="1543"/>
      <c r="G163" s="1543"/>
      <c r="H163" s="1570"/>
    </row>
    <row r="164" spans="1:46" hidden="1">
      <c r="H164" s="1570"/>
    </row>
    <row r="165" spans="1:46" ht="15.6" hidden="1" customHeight="1">
      <c r="A165" s="1762" t="s">
        <v>243</v>
      </c>
      <c r="B165" s="1753" t="s">
        <v>1627</v>
      </c>
      <c r="C165" s="1522"/>
      <c r="D165" s="1537"/>
      <c r="E165" s="1537"/>
      <c r="F165" s="1537"/>
      <c r="G165" s="1537"/>
      <c r="H165" s="1753"/>
      <c r="I165" s="1764" t="str">
        <f>I8</f>
        <v>Total funding needs</v>
      </c>
      <c r="J165" s="1765"/>
      <c r="K165" s="1766"/>
      <c r="L165" s="1765"/>
      <c r="M165" s="1767"/>
      <c r="N165" s="1595"/>
      <c r="O165" s="1595"/>
      <c r="P165" s="1758" t="str">
        <f>P8</f>
        <v>Government funding</v>
      </c>
      <c r="Q165" s="1759"/>
      <c r="R165" s="1760"/>
      <c r="S165" s="1759"/>
      <c r="T165" s="1761"/>
      <c r="U165" s="1041"/>
      <c r="V165" s="1041"/>
      <c r="W165" s="1758" t="str">
        <f>U8</f>
        <v xml:space="preserve">External funding: Global Fund </v>
      </c>
      <c r="X165" s="1760"/>
      <c r="Y165" s="1759"/>
      <c r="Z165" s="1759"/>
      <c r="AA165" s="1761"/>
      <c r="AB165" s="1758" t="str">
        <f>Z8</f>
        <v>External funding: other partners</v>
      </c>
      <c r="AC165" s="1760"/>
      <c r="AD165" s="1759"/>
      <c r="AE165" s="1759"/>
      <c r="AF165" s="1761"/>
      <c r="AG165" s="1758" t="str">
        <f>AE8</f>
        <v>External funding: TOTAL</v>
      </c>
      <c r="AH165" s="1760"/>
      <c r="AI165" s="1759"/>
      <c r="AJ165" s="1759"/>
      <c r="AK165" s="1761"/>
      <c r="AL165" s="1758" t="str">
        <f>AJ8</f>
        <v>Funding gap</v>
      </c>
      <c r="AM165" s="1760"/>
      <c r="AN165" s="1759"/>
      <c r="AO165" s="1759"/>
      <c r="AP165" s="1761"/>
      <c r="AQ165" s="1777" t="s">
        <v>1633</v>
      </c>
      <c r="AR165" s="1778"/>
      <c r="AS165" s="1778"/>
      <c r="AT165" s="1779"/>
    </row>
    <row r="166" spans="1:46" ht="28.9" hidden="1" customHeight="1">
      <c r="A166" s="1763"/>
      <c r="B166" s="1754"/>
      <c r="C166" s="1523"/>
      <c r="D166" s="1544"/>
      <c r="E166" s="1544"/>
      <c r="F166" s="1544"/>
      <c r="G166" s="1544"/>
      <c r="H166" s="1754"/>
      <c r="I166" s="1524" t="str">
        <f>I9</f>
        <v>Year 1 (2019)</v>
      </c>
      <c r="J166" s="1524" t="str">
        <f>J9</f>
        <v>Year 2 (2020)</v>
      </c>
      <c r="K166" s="1525"/>
      <c r="L166" s="1524" t="str">
        <f>L9</f>
        <v>Year 4 (2022)</v>
      </c>
      <c r="M166" s="1546" t="str">
        <f>M9</f>
        <v>Total 4 years (2019-2022)</v>
      </c>
      <c r="N166" s="1596"/>
      <c r="O166" s="1596"/>
      <c r="P166" s="334" t="str">
        <f>P9</f>
        <v>Year 1 (2019)</v>
      </c>
      <c r="Q166" s="334" t="str">
        <f>Q9</f>
        <v>Year 2 (2020)</v>
      </c>
      <c r="R166" s="1113"/>
      <c r="S166" s="334" t="str">
        <f>S9</f>
        <v>Year 4 (2022)</v>
      </c>
      <c r="T166" s="729" t="str">
        <f>T9</f>
        <v>Total 4 years (2019-2022)</v>
      </c>
      <c r="U166" s="1048"/>
      <c r="V166" s="1048"/>
      <c r="W166" s="334" t="str">
        <f>U9</f>
        <v>Year 1 (2019)</v>
      </c>
      <c r="X166" s="1113"/>
      <c r="Y166" s="334" t="str">
        <f>V9</f>
        <v>Year 2 (2020)</v>
      </c>
      <c r="Z166" s="334" t="str">
        <f>X9</f>
        <v>Year 4 (2022)</v>
      </c>
      <c r="AA166" s="729" t="str">
        <f>Y9</f>
        <v>Total 4 years (2019-2022)</v>
      </c>
      <c r="AB166" s="334" t="str">
        <f>Z9</f>
        <v>Year 1 (2019)</v>
      </c>
      <c r="AC166" s="1113"/>
      <c r="AD166" s="334" t="str">
        <f>AA9</f>
        <v>Year 2 (2020)</v>
      </c>
      <c r="AE166" s="334" t="str">
        <f>AC9</f>
        <v>Year 4 (2022)</v>
      </c>
      <c r="AF166" s="729" t="str">
        <f>AD9</f>
        <v>Total 4 years (2019-2022)</v>
      </c>
      <c r="AG166" s="334" t="str">
        <f>AE9</f>
        <v>Year 1 (2019)</v>
      </c>
      <c r="AH166" s="1113"/>
      <c r="AI166" s="334" t="str">
        <f>AF9</f>
        <v>Year 2 (2020)</v>
      </c>
      <c r="AJ166" s="334" t="str">
        <f>AH9</f>
        <v>Year 4 (2022)</v>
      </c>
      <c r="AK166" s="729" t="str">
        <f>AI9</f>
        <v>Total 4 years (2019-2022)</v>
      </c>
      <c r="AL166" s="334" t="str">
        <f>AJ9</f>
        <v>Year 1 (2019)</v>
      </c>
      <c r="AM166" s="1113"/>
      <c r="AN166" s="334" t="str">
        <f>AK9</f>
        <v>Year 2 (2020)</v>
      </c>
      <c r="AO166" s="334" t="str">
        <f>AM9</f>
        <v>Year 4 (2022)</v>
      </c>
      <c r="AP166" s="729" t="str">
        <f>AN9</f>
        <v>Total 4 years (2019-2022)</v>
      </c>
      <c r="AQ166" s="728" t="str">
        <f>AL166</f>
        <v>Year 1 (2019)</v>
      </c>
      <c r="AR166" s="728" t="str">
        <f>AN166</f>
        <v>Year 2 (2020)</v>
      </c>
      <c r="AS166" s="728" t="str">
        <f>AO166</f>
        <v>Year 4 (2022)</v>
      </c>
      <c r="AT166" s="730" t="str">
        <f>AP166</f>
        <v>Total 4 years (2019-2022)</v>
      </c>
    </row>
    <row r="167" spans="1:46" hidden="1">
      <c r="A167" s="344">
        <v>1</v>
      </c>
      <c r="B167" s="1550" t="s">
        <v>1012</v>
      </c>
      <c r="C167" s="1527"/>
      <c r="D167" s="1539"/>
      <c r="E167" s="1539"/>
      <c r="F167" s="1539"/>
      <c r="G167" s="1539"/>
      <c r="H167" s="1575" t="s">
        <v>770</v>
      </c>
      <c r="I167" s="1568">
        <f>SUM(I47,I49,I70,I93,I116)</f>
        <v>2810527.0243488103</v>
      </c>
      <c r="J167" s="1568">
        <f>SUM(J47,J49,J70,J93,J116)</f>
        <v>2810527.0243488103</v>
      </c>
      <c r="K167" s="1576"/>
      <c r="L167" s="1568">
        <f>SUM(L47,L49,L70,L93,L116)</f>
        <v>2816527.0243488103</v>
      </c>
      <c r="M167" s="1565">
        <f t="shared" ref="M167:M187" si="175">SUM(I167:L167)</f>
        <v>8437581.0730464309</v>
      </c>
      <c r="N167" s="1603"/>
      <c r="O167" s="1603"/>
      <c r="P167" s="347"/>
      <c r="Q167" s="347"/>
      <c r="R167" s="1117"/>
      <c r="S167" s="347"/>
      <c r="T167" s="348">
        <f t="shared" ref="T167:T185" si="176">SUM(P167:S167)</f>
        <v>0</v>
      </c>
      <c r="U167" s="1045"/>
      <c r="V167" s="1045"/>
      <c r="W167" s="347"/>
      <c r="X167" s="1117"/>
      <c r="Y167" s="347"/>
      <c r="Z167" s="347"/>
      <c r="AA167" s="348">
        <f t="shared" ref="AA167:AA185" si="177">SUM(W167:Z167)</f>
        <v>0</v>
      </c>
      <c r="AB167" s="347"/>
      <c r="AC167" s="1117"/>
      <c r="AD167" s="347"/>
      <c r="AE167" s="347"/>
      <c r="AF167" s="348">
        <f t="shared" ref="AF167:AF185" si="178">SUM(AB167:AE167)</f>
        <v>0</v>
      </c>
      <c r="AG167" s="347">
        <f t="shared" ref="AG167:AG185" si="179">SUM(W167,AB167)</f>
        <v>0</v>
      </c>
      <c r="AH167" s="1117"/>
      <c r="AI167" s="347">
        <f t="shared" ref="AI167:AI185" si="180">SUM(Y167,AD167)</f>
        <v>0</v>
      </c>
      <c r="AJ167" s="347">
        <f t="shared" ref="AJ167:AJ185" si="181">SUM(Z167,AE167)</f>
        <v>0</v>
      </c>
      <c r="AK167" s="348">
        <f t="shared" ref="AK167:AK185" si="182">SUM(AG167:AJ167)</f>
        <v>0</v>
      </c>
      <c r="AL167" s="347">
        <f t="shared" ref="AL167:AL185" si="183">I167-(P167+AG167)</f>
        <v>2810527.0243488103</v>
      </c>
      <c r="AM167" s="1117"/>
      <c r="AN167" s="347">
        <f t="shared" ref="AN167:AN185" si="184">J167-(Q167+AI167)</f>
        <v>2810527.0243488103</v>
      </c>
      <c r="AO167" s="347">
        <f t="shared" ref="AO167:AO182" si="185">L167-(S167+AJ167)</f>
        <v>2816527.0243488103</v>
      </c>
      <c r="AP167" s="348">
        <f t="shared" ref="AP167:AP185" si="186">SUM(AL167:AO167)</f>
        <v>8437581.0730464309</v>
      </c>
      <c r="AQ167" s="726" t="e">
        <f t="shared" ref="AQ167:AQ186" si="187">I167/I$186%</f>
        <v>#REF!</v>
      </c>
      <c r="AR167" s="726" t="e">
        <f t="shared" ref="AR167:AR186" si="188">J167/J$186%</f>
        <v>#REF!</v>
      </c>
      <c r="AS167" s="726" t="e">
        <f t="shared" ref="AS167:AS186" si="189">L167/L$186%</f>
        <v>#REF!</v>
      </c>
      <c r="AT167" s="727" t="e">
        <f t="shared" ref="AT167:AT186" si="190">M167/M$186%</f>
        <v>#REF!</v>
      </c>
    </row>
    <row r="168" spans="1:46" hidden="1">
      <c r="A168" s="344">
        <v>2</v>
      </c>
      <c r="B168" s="1550" t="s">
        <v>1013</v>
      </c>
      <c r="C168" s="1527"/>
      <c r="D168" s="1539"/>
      <c r="E168" s="1539"/>
      <c r="F168" s="1539"/>
      <c r="G168" s="1539"/>
      <c r="H168" s="1575" t="s">
        <v>998</v>
      </c>
      <c r="I168" s="1568" t="e">
        <f>SUM(#REF!,I34,I59,I98,I117,#REF!)</f>
        <v>#REF!</v>
      </c>
      <c r="J168" s="1568" t="e">
        <f>SUM(#REF!,J34,J59,J98,J117,#REF!)</f>
        <v>#REF!</v>
      </c>
      <c r="K168" s="1576"/>
      <c r="L168" s="1568" t="e">
        <f>SUM(#REF!,L34,L59,L98,L117,#REF!)</f>
        <v>#REF!</v>
      </c>
      <c r="M168" s="1565" t="e">
        <f t="shared" si="175"/>
        <v>#REF!</v>
      </c>
      <c r="N168" s="1603"/>
      <c r="O168" s="1603"/>
      <c r="P168" s="347"/>
      <c r="Q168" s="347"/>
      <c r="R168" s="1117"/>
      <c r="S168" s="347"/>
      <c r="T168" s="348">
        <f t="shared" si="176"/>
        <v>0</v>
      </c>
      <c r="U168" s="1045"/>
      <c r="V168" s="1045"/>
      <c r="W168" s="347"/>
      <c r="X168" s="1117"/>
      <c r="Y168" s="347"/>
      <c r="Z168" s="347"/>
      <c r="AA168" s="348">
        <f t="shared" si="177"/>
        <v>0</v>
      </c>
      <c r="AB168" s="347"/>
      <c r="AC168" s="1117"/>
      <c r="AD168" s="347"/>
      <c r="AE168" s="347"/>
      <c r="AF168" s="348">
        <f t="shared" si="178"/>
        <v>0</v>
      </c>
      <c r="AG168" s="347">
        <f t="shared" si="179"/>
        <v>0</v>
      </c>
      <c r="AH168" s="1117"/>
      <c r="AI168" s="347">
        <f t="shared" si="180"/>
        <v>0</v>
      </c>
      <c r="AJ168" s="347">
        <f t="shared" si="181"/>
        <v>0</v>
      </c>
      <c r="AK168" s="348">
        <f t="shared" si="182"/>
        <v>0</v>
      </c>
      <c r="AL168" s="347" t="e">
        <f t="shared" si="183"/>
        <v>#REF!</v>
      </c>
      <c r="AM168" s="1117"/>
      <c r="AN168" s="347" t="e">
        <f t="shared" si="184"/>
        <v>#REF!</v>
      </c>
      <c r="AO168" s="347" t="e">
        <f t="shared" si="185"/>
        <v>#REF!</v>
      </c>
      <c r="AP168" s="348" t="e">
        <f t="shared" si="186"/>
        <v>#REF!</v>
      </c>
      <c r="AQ168" s="726" t="e">
        <f t="shared" si="187"/>
        <v>#REF!</v>
      </c>
      <c r="AR168" s="726" t="e">
        <f t="shared" si="188"/>
        <v>#REF!</v>
      </c>
      <c r="AS168" s="726" t="e">
        <f t="shared" si="189"/>
        <v>#REF!</v>
      </c>
      <c r="AT168" s="727" t="e">
        <f t="shared" si="190"/>
        <v>#REF!</v>
      </c>
    </row>
    <row r="169" spans="1:46" hidden="1">
      <c r="A169" s="344">
        <v>3</v>
      </c>
      <c r="B169" s="1550" t="s">
        <v>1014</v>
      </c>
      <c r="C169" s="1527"/>
      <c r="D169" s="1539"/>
      <c r="E169" s="1539"/>
      <c r="F169" s="1539"/>
      <c r="G169" s="1539"/>
      <c r="H169" s="1575" t="s">
        <v>999</v>
      </c>
      <c r="I169" s="1568" t="e">
        <f>SUM(#REF!,#REF!,#REF!,I120,#REF!)</f>
        <v>#REF!</v>
      </c>
      <c r="J169" s="1568" t="e">
        <f>SUM(#REF!,#REF!,#REF!,J120,#REF!)</f>
        <v>#REF!</v>
      </c>
      <c r="K169" s="1576"/>
      <c r="L169" s="1568" t="e">
        <f>SUM(#REF!,#REF!,#REF!,L120,#REF!)</f>
        <v>#REF!</v>
      </c>
      <c r="M169" s="1565" t="e">
        <f t="shared" si="175"/>
        <v>#REF!</v>
      </c>
      <c r="N169" s="1603"/>
      <c r="O169" s="1603"/>
      <c r="P169" s="347"/>
      <c r="Q169" s="347"/>
      <c r="R169" s="1117"/>
      <c r="S169" s="347"/>
      <c r="T169" s="348">
        <f t="shared" si="176"/>
        <v>0</v>
      </c>
      <c r="U169" s="1045"/>
      <c r="V169" s="1045"/>
      <c r="W169" s="347"/>
      <c r="X169" s="1117"/>
      <c r="Y169" s="347"/>
      <c r="Z169" s="347"/>
      <c r="AA169" s="348">
        <f t="shared" si="177"/>
        <v>0</v>
      </c>
      <c r="AB169" s="347"/>
      <c r="AC169" s="1117"/>
      <c r="AD169" s="347"/>
      <c r="AE169" s="347"/>
      <c r="AF169" s="348">
        <f t="shared" si="178"/>
        <v>0</v>
      </c>
      <c r="AG169" s="347">
        <f t="shared" si="179"/>
        <v>0</v>
      </c>
      <c r="AH169" s="1117"/>
      <c r="AI169" s="347">
        <f t="shared" si="180"/>
        <v>0</v>
      </c>
      <c r="AJ169" s="347">
        <f t="shared" si="181"/>
        <v>0</v>
      </c>
      <c r="AK169" s="348">
        <f t="shared" si="182"/>
        <v>0</v>
      </c>
      <c r="AL169" s="347" t="e">
        <f t="shared" si="183"/>
        <v>#REF!</v>
      </c>
      <c r="AM169" s="1117"/>
      <c r="AN169" s="347" t="e">
        <f t="shared" si="184"/>
        <v>#REF!</v>
      </c>
      <c r="AO169" s="347" t="e">
        <f t="shared" si="185"/>
        <v>#REF!</v>
      </c>
      <c r="AP169" s="348" t="e">
        <f t="shared" si="186"/>
        <v>#REF!</v>
      </c>
      <c r="AQ169" s="726" t="e">
        <f t="shared" si="187"/>
        <v>#REF!</v>
      </c>
      <c r="AR169" s="726" t="e">
        <f t="shared" si="188"/>
        <v>#REF!</v>
      </c>
      <c r="AS169" s="726" t="e">
        <f t="shared" si="189"/>
        <v>#REF!</v>
      </c>
      <c r="AT169" s="727" t="e">
        <f t="shared" si="190"/>
        <v>#REF!</v>
      </c>
    </row>
    <row r="170" spans="1:46" hidden="1">
      <c r="A170" s="344">
        <v>4</v>
      </c>
      <c r="B170" s="1550" t="s">
        <v>1015</v>
      </c>
      <c r="C170" s="1527"/>
      <c r="D170" s="1539"/>
      <c r="E170" s="1539"/>
      <c r="F170" s="1539"/>
      <c r="G170" s="1539"/>
      <c r="H170" s="1575" t="s">
        <v>1000</v>
      </c>
      <c r="I170" s="1568" t="e">
        <f>SUM(I12,I37,I43,#REF!,I60,#REF!,I83,I87,I99,I113,#REF!,I105)</f>
        <v>#REF!</v>
      </c>
      <c r="J170" s="1568" t="e">
        <f>SUM(J12,J37,J43,#REF!,J60,#REF!,J83,J87,J99,J113,#REF!,J105)</f>
        <v>#REF!</v>
      </c>
      <c r="K170" s="1576"/>
      <c r="L170" s="1568" t="e">
        <f>SUM(L12,L37,L43,#REF!,L60,#REF!,L83,L87,L99,L113,#REF!,L105)</f>
        <v>#REF!</v>
      </c>
      <c r="M170" s="1565" t="e">
        <f t="shared" si="175"/>
        <v>#REF!</v>
      </c>
      <c r="N170" s="1603"/>
      <c r="O170" s="1603"/>
      <c r="P170" s="347"/>
      <c r="Q170" s="347"/>
      <c r="R170" s="1117"/>
      <c r="S170" s="347"/>
      <c r="T170" s="348">
        <f t="shared" si="176"/>
        <v>0</v>
      </c>
      <c r="U170" s="1045"/>
      <c r="V170" s="1045"/>
      <c r="W170" s="347"/>
      <c r="X170" s="1117"/>
      <c r="Y170" s="347"/>
      <c r="Z170" s="347"/>
      <c r="AA170" s="348">
        <f t="shared" si="177"/>
        <v>0</v>
      </c>
      <c r="AB170" s="347"/>
      <c r="AC170" s="1117"/>
      <c r="AD170" s="347"/>
      <c r="AE170" s="347"/>
      <c r="AF170" s="348">
        <f t="shared" si="178"/>
        <v>0</v>
      </c>
      <c r="AG170" s="347">
        <f t="shared" si="179"/>
        <v>0</v>
      </c>
      <c r="AH170" s="1117"/>
      <c r="AI170" s="347">
        <f t="shared" si="180"/>
        <v>0</v>
      </c>
      <c r="AJ170" s="347">
        <f t="shared" si="181"/>
        <v>0</v>
      </c>
      <c r="AK170" s="348">
        <f t="shared" si="182"/>
        <v>0</v>
      </c>
      <c r="AL170" s="347" t="e">
        <f t="shared" si="183"/>
        <v>#REF!</v>
      </c>
      <c r="AM170" s="1117"/>
      <c r="AN170" s="347" t="e">
        <f t="shared" si="184"/>
        <v>#REF!</v>
      </c>
      <c r="AO170" s="347" t="e">
        <f t="shared" si="185"/>
        <v>#REF!</v>
      </c>
      <c r="AP170" s="348" t="e">
        <f t="shared" si="186"/>
        <v>#REF!</v>
      </c>
      <c r="AQ170" s="726" t="e">
        <f t="shared" si="187"/>
        <v>#REF!</v>
      </c>
      <c r="AR170" s="726" t="e">
        <f t="shared" si="188"/>
        <v>#REF!</v>
      </c>
      <c r="AS170" s="726" t="e">
        <f t="shared" si="189"/>
        <v>#REF!</v>
      </c>
      <c r="AT170" s="727" t="e">
        <f t="shared" si="190"/>
        <v>#REF!</v>
      </c>
    </row>
    <row r="171" spans="1:46" hidden="1">
      <c r="A171" s="344">
        <v>5</v>
      </c>
      <c r="B171" s="1550" t="s">
        <v>1016</v>
      </c>
      <c r="C171" s="1527"/>
      <c r="D171" s="1539"/>
      <c r="E171" s="1539"/>
      <c r="F171" s="1539"/>
      <c r="G171" s="1539"/>
      <c r="H171" s="1575" t="s">
        <v>754</v>
      </c>
      <c r="I171" s="1568" t="e">
        <f>SUM(I13,I20,I32,I36,I62,I76,I80,#REF!,I88,I101,I102,I103,I104,#REF!,I123,I126,I106)</f>
        <v>#REF!</v>
      </c>
      <c r="J171" s="1568" t="e">
        <f>SUM(J13,J20,J32,J36,J62,J76,J80,#REF!,J88,J101,J102,J103,J104,#REF!,J123,J126,J106)</f>
        <v>#REF!</v>
      </c>
      <c r="K171" s="1576"/>
      <c r="L171" s="1568" t="e">
        <f>SUM(L13,L20,L32,L36,L62,L76,L80,#REF!,L88,L101,L102,L103,L104,#REF!,L123,L126,L106)</f>
        <v>#REF!</v>
      </c>
      <c r="M171" s="1565" t="e">
        <f t="shared" si="175"/>
        <v>#REF!</v>
      </c>
      <c r="N171" s="1603"/>
      <c r="O171" s="1603"/>
      <c r="P171" s="347"/>
      <c r="Q171" s="347"/>
      <c r="R171" s="1117"/>
      <c r="S171" s="347"/>
      <c r="T171" s="348">
        <f t="shared" si="176"/>
        <v>0</v>
      </c>
      <c r="U171" s="1045"/>
      <c r="V171" s="1045"/>
      <c r="W171" s="347"/>
      <c r="X171" s="1117"/>
      <c r="Y171" s="347"/>
      <c r="Z171" s="347"/>
      <c r="AA171" s="348">
        <f t="shared" si="177"/>
        <v>0</v>
      </c>
      <c r="AB171" s="347"/>
      <c r="AC171" s="1117"/>
      <c r="AD171" s="347"/>
      <c r="AE171" s="347"/>
      <c r="AF171" s="348">
        <f t="shared" si="178"/>
        <v>0</v>
      </c>
      <c r="AG171" s="347">
        <f t="shared" si="179"/>
        <v>0</v>
      </c>
      <c r="AH171" s="1117"/>
      <c r="AI171" s="347">
        <f t="shared" si="180"/>
        <v>0</v>
      </c>
      <c r="AJ171" s="347">
        <f t="shared" si="181"/>
        <v>0</v>
      </c>
      <c r="AK171" s="348">
        <f t="shared" si="182"/>
        <v>0</v>
      </c>
      <c r="AL171" s="347" t="e">
        <f t="shared" si="183"/>
        <v>#REF!</v>
      </c>
      <c r="AM171" s="1117"/>
      <c r="AN171" s="347" t="e">
        <f t="shared" si="184"/>
        <v>#REF!</v>
      </c>
      <c r="AO171" s="347" t="e">
        <f t="shared" si="185"/>
        <v>#REF!</v>
      </c>
      <c r="AP171" s="348" t="e">
        <f t="shared" si="186"/>
        <v>#REF!</v>
      </c>
      <c r="AQ171" s="726" t="e">
        <f t="shared" si="187"/>
        <v>#REF!</v>
      </c>
      <c r="AR171" s="726" t="e">
        <f t="shared" si="188"/>
        <v>#REF!</v>
      </c>
      <c r="AS171" s="726" t="e">
        <f t="shared" si="189"/>
        <v>#REF!</v>
      </c>
      <c r="AT171" s="727" t="e">
        <f t="shared" si="190"/>
        <v>#REF!</v>
      </c>
    </row>
    <row r="172" spans="1:46" hidden="1">
      <c r="A172" s="344">
        <v>6</v>
      </c>
      <c r="B172" s="1550" t="s">
        <v>1017</v>
      </c>
      <c r="C172" s="1527"/>
      <c r="D172" s="1539"/>
      <c r="E172" s="1539"/>
      <c r="F172" s="1539"/>
      <c r="G172" s="1539"/>
      <c r="H172" s="1575" t="s">
        <v>1002</v>
      </c>
      <c r="I172" s="1568">
        <f>SUM(I35,I33,I61,I100)</f>
        <v>306049.31506849313</v>
      </c>
      <c r="J172" s="1568">
        <f>SUM(J35,J33,J61,J100)</f>
        <v>49200</v>
      </c>
      <c r="K172" s="1576"/>
      <c r="L172" s="1568">
        <f>SUM(L35,L33,L61,L100)</f>
        <v>49200</v>
      </c>
      <c r="M172" s="1565">
        <f t="shared" si="175"/>
        <v>404449.31506849313</v>
      </c>
      <c r="N172" s="1603"/>
      <c r="O172" s="1603"/>
      <c r="P172" s="347"/>
      <c r="Q172" s="347"/>
      <c r="R172" s="1117"/>
      <c r="S172" s="347"/>
      <c r="T172" s="348">
        <f t="shared" si="176"/>
        <v>0</v>
      </c>
      <c r="U172" s="1045"/>
      <c r="V172" s="1045"/>
      <c r="W172" s="347"/>
      <c r="X172" s="1117"/>
      <c r="Y172" s="347"/>
      <c r="Z172" s="347"/>
      <c r="AA172" s="348">
        <f t="shared" si="177"/>
        <v>0</v>
      </c>
      <c r="AB172" s="347"/>
      <c r="AC172" s="1117"/>
      <c r="AD172" s="347"/>
      <c r="AE172" s="347"/>
      <c r="AF172" s="348">
        <f t="shared" si="178"/>
        <v>0</v>
      </c>
      <c r="AG172" s="347">
        <f t="shared" si="179"/>
        <v>0</v>
      </c>
      <c r="AH172" s="1117"/>
      <c r="AI172" s="347">
        <f t="shared" si="180"/>
        <v>0</v>
      </c>
      <c r="AJ172" s="347">
        <f t="shared" si="181"/>
        <v>0</v>
      </c>
      <c r="AK172" s="348">
        <f t="shared" si="182"/>
        <v>0</v>
      </c>
      <c r="AL172" s="347">
        <f t="shared" si="183"/>
        <v>306049.31506849313</v>
      </c>
      <c r="AM172" s="1117"/>
      <c r="AN172" s="347">
        <f t="shared" si="184"/>
        <v>49200</v>
      </c>
      <c r="AO172" s="347">
        <f t="shared" si="185"/>
        <v>49200</v>
      </c>
      <c r="AP172" s="348">
        <f t="shared" si="186"/>
        <v>404449.31506849313</v>
      </c>
      <c r="AQ172" s="726" t="e">
        <f t="shared" si="187"/>
        <v>#REF!</v>
      </c>
      <c r="AR172" s="726" t="e">
        <f t="shared" si="188"/>
        <v>#REF!</v>
      </c>
      <c r="AS172" s="726" t="e">
        <f t="shared" si="189"/>
        <v>#REF!</v>
      </c>
      <c r="AT172" s="727" t="e">
        <f t="shared" si="190"/>
        <v>#REF!</v>
      </c>
    </row>
    <row r="173" spans="1:46" hidden="1">
      <c r="A173" s="344">
        <v>7</v>
      </c>
      <c r="B173" s="1550" t="s">
        <v>1018</v>
      </c>
      <c r="C173" s="1527"/>
      <c r="D173" s="1539"/>
      <c r="E173" s="1539"/>
      <c r="F173" s="1539"/>
      <c r="G173" s="1539"/>
      <c r="H173" s="1575" t="s">
        <v>1005</v>
      </c>
      <c r="I173" s="1568">
        <f>SUM(I53,I54,I55,I56,I57,I90)</f>
        <v>1157023.6000000001</v>
      </c>
      <c r="J173" s="1568">
        <f>SUM(J53,J54,J55,J56,J57,J90)</f>
        <v>1140383.2</v>
      </c>
      <c r="K173" s="1576"/>
      <c r="L173" s="1568">
        <f>SUM(L53,L54,L55,L56,L57,L90)</f>
        <v>1095183.3999999999</v>
      </c>
      <c r="M173" s="1565">
        <f t="shared" si="175"/>
        <v>3392590.1999999997</v>
      </c>
      <c r="N173" s="1603"/>
      <c r="O173" s="1603"/>
      <c r="P173" s="347"/>
      <c r="Q173" s="347"/>
      <c r="R173" s="1117"/>
      <c r="S173" s="347"/>
      <c r="T173" s="348">
        <f t="shared" si="176"/>
        <v>0</v>
      </c>
      <c r="U173" s="1045"/>
      <c r="V173" s="1045"/>
      <c r="W173" s="347"/>
      <c r="X173" s="1117"/>
      <c r="Y173" s="347"/>
      <c r="Z173" s="347"/>
      <c r="AA173" s="348">
        <f t="shared" si="177"/>
        <v>0</v>
      </c>
      <c r="AB173" s="347"/>
      <c r="AC173" s="1117"/>
      <c r="AD173" s="347"/>
      <c r="AE173" s="347"/>
      <c r="AF173" s="348">
        <f t="shared" si="178"/>
        <v>0</v>
      </c>
      <c r="AG173" s="347">
        <f t="shared" si="179"/>
        <v>0</v>
      </c>
      <c r="AH173" s="1117"/>
      <c r="AI173" s="347">
        <f t="shared" si="180"/>
        <v>0</v>
      </c>
      <c r="AJ173" s="347">
        <f t="shared" si="181"/>
        <v>0</v>
      </c>
      <c r="AK173" s="348">
        <f t="shared" si="182"/>
        <v>0</v>
      </c>
      <c r="AL173" s="347">
        <f t="shared" si="183"/>
        <v>1157023.6000000001</v>
      </c>
      <c r="AM173" s="1117"/>
      <c r="AN173" s="347">
        <f t="shared" si="184"/>
        <v>1140383.2</v>
      </c>
      <c r="AO173" s="347">
        <f t="shared" si="185"/>
        <v>1095183.3999999999</v>
      </c>
      <c r="AP173" s="348">
        <f t="shared" si="186"/>
        <v>3392590.1999999997</v>
      </c>
      <c r="AQ173" s="726" t="e">
        <f t="shared" si="187"/>
        <v>#REF!</v>
      </c>
      <c r="AR173" s="726" t="e">
        <f t="shared" si="188"/>
        <v>#REF!</v>
      </c>
      <c r="AS173" s="726" t="e">
        <f t="shared" si="189"/>
        <v>#REF!</v>
      </c>
      <c r="AT173" s="727" t="e">
        <f t="shared" si="190"/>
        <v>#REF!</v>
      </c>
    </row>
    <row r="174" spans="1:46" hidden="1">
      <c r="A174" s="344">
        <v>8</v>
      </c>
      <c r="B174" s="1550" t="s">
        <v>1019</v>
      </c>
      <c r="C174" s="1527"/>
      <c r="D174" s="1539"/>
      <c r="E174" s="1539"/>
      <c r="F174" s="1539"/>
      <c r="G174" s="1539"/>
      <c r="H174" s="1575" t="s">
        <v>1020</v>
      </c>
      <c r="I174" s="1568">
        <f>SUM(I78,I81,I91)</f>
        <v>100303.65000000002</v>
      </c>
      <c r="J174" s="1568">
        <f>SUM(J78,J81,J91)</f>
        <v>97205.4</v>
      </c>
      <c r="K174" s="1576"/>
      <c r="L174" s="1568">
        <f>SUM(L78,L81,L91)</f>
        <v>92330.7</v>
      </c>
      <c r="M174" s="1565">
        <f t="shared" si="175"/>
        <v>289839.75</v>
      </c>
      <c r="N174" s="1603"/>
      <c r="O174" s="1603"/>
      <c r="P174" s="347"/>
      <c r="Q174" s="347"/>
      <c r="R174" s="1117"/>
      <c r="S174" s="347"/>
      <c r="T174" s="348">
        <f t="shared" si="176"/>
        <v>0</v>
      </c>
      <c r="U174" s="1045"/>
      <c r="V174" s="1045"/>
      <c r="W174" s="347"/>
      <c r="X174" s="1117"/>
      <c r="Y174" s="347"/>
      <c r="Z174" s="347"/>
      <c r="AA174" s="348">
        <f t="shared" si="177"/>
        <v>0</v>
      </c>
      <c r="AB174" s="347"/>
      <c r="AC174" s="1117"/>
      <c r="AD174" s="347"/>
      <c r="AE174" s="347"/>
      <c r="AF174" s="348">
        <f t="shared" si="178"/>
        <v>0</v>
      </c>
      <c r="AG174" s="347">
        <f t="shared" si="179"/>
        <v>0</v>
      </c>
      <c r="AH174" s="1117"/>
      <c r="AI174" s="347">
        <f t="shared" si="180"/>
        <v>0</v>
      </c>
      <c r="AJ174" s="347">
        <f t="shared" si="181"/>
        <v>0</v>
      </c>
      <c r="AK174" s="348">
        <f t="shared" si="182"/>
        <v>0</v>
      </c>
      <c r="AL174" s="347">
        <f t="shared" si="183"/>
        <v>100303.65000000002</v>
      </c>
      <c r="AM174" s="1117"/>
      <c r="AN174" s="347">
        <f t="shared" si="184"/>
        <v>97205.4</v>
      </c>
      <c r="AO174" s="347">
        <f t="shared" si="185"/>
        <v>92330.7</v>
      </c>
      <c r="AP174" s="348">
        <f t="shared" si="186"/>
        <v>289839.75</v>
      </c>
      <c r="AQ174" s="726" t="e">
        <f t="shared" si="187"/>
        <v>#REF!</v>
      </c>
      <c r="AR174" s="726" t="e">
        <f t="shared" si="188"/>
        <v>#REF!</v>
      </c>
      <c r="AS174" s="726" t="e">
        <f t="shared" si="189"/>
        <v>#REF!</v>
      </c>
      <c r="AT174" s="727" t="e">
        <f t="shared" si="190"/>
        <v>#REF!</v>
      </c>
    </row>
    <row r="175" spans="1:46" hidden="1">
      <c r="A175" s="344">
        <v>9</v>
      </c>
      <c r="B175" s="1550" t="s">
        <v>1630</v>
      </c>
      <c r="C175" s="1527"/>
      <c r="D175" s="1539"/>
      <c r="E175" s="1539"/>
      <c r="F175" s="1539"/>
      <c r="G175" s="1539"/>
      <c r="H175" s="1575" t="s">
        <v>49</v>
      </c>
      <c r="I175" s="1577" t="e">
        <f>SUM(I14,I15,I17,I18,I22,I30,I38,I40,I84,#REF!,#REF!,I94*20%)</f>
        <v>#REF!</v>
      </c>
      <c r="J175" s="1577" t="e">
        <f>SUM(J14,J15,J17,J18,J22,J30,J38,J40,J84,#REF!,#REF!,J94*20%)</f>
        <v>#REF!</v>
      </c>
      <c r="K175" s="1578"/>
      <c r="L175" s="1577" t="e">
        <f>SUM(L14,L15,L17,L18,L22,L30,L38,L40,L84,#REF!,#REF!,L94*20%)</f>
        <v>#REF!</v>
      </c>
      <c r="M175" s="1565" t="e">
        <f t="shared" si="175"/>
        <v>#REF!</v>
      </c>
      <c r="N175" s="1603"/>
      <c r="O175" s="1603"/>
      <c r="P175" s="347"/>
      <c r="Q175" s="347"/>
      <c r="R175" s="1117"/>
      <c r="S175" s="347"/>
      <c r="T175" s="348">
        <f t="shared" si="176"/>
        <v>0</v>
      </c>
      <c r="U175" s="1045"/>
      <c r="V175" s="1045"/>
      <c r="W175" s="347"/>
      <c r="X175" s="1117"/>
      <c r="Y175" s="347"/>
      <c r="Z175" s="347"/>
      <c r="AA175" s="348">
        <f t="shared" si="177"/>
        <v>0</v>
      </c>
      <c r="AB175" s="347"/>
      <c r="AC175" s="1117"/>
      <c r="AD175" s="347"/>
      <c r="AE175" s="347"/>
      <c r="AF175" s="348">
        <f t="shared" si="178"/>
        <v>0</v>
      </c>
      <c r="AG175" s="347">
        <f t="shared" si="179"/>
        <v>0</v>
      </c>
      <c r="AH175" s="1117"/>
      <c r="AI175" s="347">
        <f t="shared" si="180"/>
        <v>0</v>
      </c>
      <c r="AJ175" s="347">
        <f t="shared" si="181"/>
        <v>0</v>
      </c>
      <c r="AK175" s="348">
        <f t="shared" si="182"/>
        <v>0</v>
      </c>
      <c r="AL175" s="347" t="e">
        <f t="shared" si="183"/>
        <v>#REF!</v>
      </c>
      <c r="AM175" s="1117"/>
      <c r="AN175" s="347" t="e">
        <f t="shared" si="184"/>
        <v>#REF!</v>
      </c>
      <c r="AO175" s="347" t="e">
        <f t="shared" si="185"/>
        <v>#REF!</v>
      </c>
      <c r="AP175" s="348" t="e">
        <f t="shared" si="186"/>
        <v>#REF!</v>
      </c>
      <c r="AQ175" s="726" t="e">
        <f t="shared" si="187"/>
        <v>#REF!</v>
      </c>
      <c r="AR175" s="726" t="e">
        <f t="shared" si="188"/>
        <v>#REF!</v>
      </c>
      <c r="AS175" s="726" t="e">
        <f t="shared" si="189"/>
        <v>#REF!</v>
      </c>
      <c r="AT175" s="727" t="e">
        <f t="shared" si="190"/>
        <v>#REF!</v>
      </c>
    </row>
    <row r="176" spans="1:46" hidden="1">
      <c r="A176" s="344">
        <v>10</v>
      </c>
      <c r="B176" s="1550" t="s">
        <v>1021</v>
      </c>
      <c r="C176" s="1527"/>
      <c r="D176" s="1539"/>
      <c r="E176" s="1539"/>
      <c r="F176" s="1539"/>
      <c r="G176" s="1539"/>
      <c r="H176" s="1575" t="s">
        <v>156</v>
      </c>
      <c r="I176" s="1568">
        <f>SUM(I16,I24,I29,I27,I25,I26,I31,I28,I45,I74,I75,I77,I79,I85,I89)</f>
        <v>937728.29739963787</v>
      </c>
      <c r="J176" s="1568">
        <f>SUM(J16,J24,J29,J27,J25,J26,J31,J28,J45,J74,J75,J77,J79,J85,J89)</f>
        <v>921368.33027717797</v>
      </c>
      <c r="K176" s="1576"/>
      <c r="L176" s="1568">
        <f>SUM(L16,L24,L29,L27,L25,L26,L31,L28,L45,L74,L75,L77,L79,L85,L89)</f>
        <v>909701.12862568267</v>
      </c>
      <c r="M176" s="1565">
        <f t="shared" si="175"/>
        <v>2768797.7563024983</v>
      </c>
      <c r="N176" s="1603"/>
      <c r="O176" s="1603"/>
      <c r="P176" s="347"/>
      <c r="Q176" s="347"/>
      <c r="R176" s="1117"/>
      <c r="S176" s="347"/>
      <c r="T176" s="348">
        <f t="shared" si="176"/>
        <v>0</v>
      </c>
      <c r="U176" s="1045"/>
      <c r="V176" s="1045"/>
      <c r="W176" s="347"/>
      <c r="X176" s="1117"/>
      <c r="Y176" s="347"/>
      <c r="Z176" s="347"/>
      <c r="AA176" s="348">
        <f t="shared" si="177"/>
        <v>0</v>
      </c>
      <c r="AB176" s="347"/>
      <c r="AC176" s="1117"/>
      <c r="AD176" s="347"/>
      <c r="AE176" s="347"/>
      <c r="AF176" s="348">
        <f t="shared" si="178"/>
        <v>0</v>
      </c>
      <c r="AG176" s="347">
        <f t="shared" si="179"/>
        <v>0</v>
      </c>
      <c r="AH176" s="1117"/>
      <c r="AI176" s="347">
        <f t="shared" si="180"/>
        <v>0</v>
      </c>
      <c r="AJ176" s="347">
        <f t="shared" si="181"/>
        <v>0</v>
      </c>
      <c r="AK176" s="348">
        <f t="shared" si="182"/>
        <v>0</v>
      </c>
      <c r="AL176" s="347">
        <f t="shared" si="183"/>
        <v>937728.29739963787</v>
      </c>
      <c r="AM176" s="1117"/>
      <c r="AN176" s="347">
        <f t="shared" si="184"/>
        <v>921368.33027717797</v>
      </c>
      <c r="AO176" s="347">
        <f t="shared" si="185"/>
        <v>909701.12862568267</v>
      </c>
      <c r="AP176" s="348">
        <f t="shared" si="186"/>
        <v>2768797.7563024983</v>
      </c>
      <c r="AQ176" s="726" t="e">
        <f t="shared" si="187"/>
        <v>#REF!</v>
      </c>
      <c r="AR176" s="726" t="e">
        <f t="shared" si="188"/>
        <v>#REF!</v>
      </c>
      <c r="AS176" s="726" t="e">
        <f t="shared" si="189"/>
        <v>#REF!</v>
      </c>
      <c r="AT176" s="727" t="e">
        <f t="shared" si="190"/>
        <v>#REF!</v>
      </c>
    </row>
    <row r="177" spans="1:46" hidden="1">
      <c r="A177" s="344">
        <v>11</v>
      </c>
      <c r="B177" s="1550" t="s">
        <v>1022</v>
      </c>
      <c r="C177" s="1527"/>
      <c r="D177" s="1539"/>
      <c r="E177" s="1539"/>
      <c r="F177" s="1539"/>
      <c r="G177" s="1539"/>
      <c r="H177" s="1575" t="s">
        <v>1631</v>
      </c>
      <c r="I177" s="1568">
        <f>SUM(I58)</f>
        <v>6000</v>
      </c>
      <c r="J177" s="1568">
        <f>SUM(J58)</f>
        <v>6000</v>
      </c>
      <c r="K177" s="1576"/>
      <c r="L177" s="1568">
        <f>SUM(L58)</f>
        <v>6000</v>
      </c>
      <c r="M177" s="1565">
        <f t="shared" si="175"/>
        <v>18000</v>
      </c>
      <c r="N177" s="1603"/>
      <c r="O177" s="1603"/>
      <c r="P177" s="347"/>
      <c r="Q177" s="347"/>
      <c r="R177" s="1117"/>
      <c r="S177" s="347"/>
      <c r="T177" s="348">
        <f t="shared" si="176"/>
        <v>0</v>
      </c>
      <c r="U177" s="1045"/>
      <c r="V177" s="1045"/>
      <c r="W177" s="347"/>
      <c r="X177" s="1117"/>
      <c r="Y177" s="347"/>
      <c r="Z177" s="347"/>
      <c r="AA177" s="348">
        <f t="shared" si="177"/>
        <v>0</v>
      </c>
      <c r="AB177" s="347"/>
      <c r="AC177" s="1117"/>
      <c r="AD177" s="347"/>
      <c r="AE177" s="347"/>
      <c r="AF177" s="348">
        <f t="shared" si="178"/>
        <v>0</v>
      </c>
      <c r="AG177" s="347">
        <f t="shared" si="179"/>
        <v>0</v>
      </c>
      <c r="AH177" s="1117"/>
      <c r="AI177" s="347">
        <f t="shared" si="180"/>
        <v>0</v>
      </c>
      <c r="AJ177" s="347">
        <f t="shared" si="181"/>
        <v>0</v>
      </c>
      <c r="AK177" s="348">
        <f t="shared" si="182"/>
        <v>0</v>
      </c>
      <c r="AL177" s="347">
        <f t="shared" si="183"/>
        <v>6000</v>
      </c>
      <c r="AM177" s="1117"/>
      <c r="AN177" s="347">
        <f t="shared" si="184"/>
        <v>6000</v>
      </c>
      <c r="AO177" s="347">
        <f t="shared" si="185"/>
        <v>6000</v>
      </c>
      <c r="AP177" s="348">
        <f t="shared" si="186"/>
        <v>18000</v>
      </c>
      <c r="AQ177" s="726" t="e">
        <f t="shared" si="187"/>
        <v>#REF!</v>
      </c>
      <c r="AR177" s="726" t="e">
        <f t="shared" si="188"/>
        <v>#REF!</v>
      </c>
      <c r="AS177" s="726" t="e">
        <f t="shared" si="189"/>
        <v>#REF!</v>
      </c>
      <c r="AT177" s="727" t="e">
        <f t="shared" si="190"/>
        <v>#REF!</v>
      </c>
    </row>
    <row r="178" spans="1:46" hidden="1">
      <c r="A178" s="344">
        <v>12</v>
      </c>
      <c r="B178" s="1550" t="s">
        <v>1023</v>
      </c>
      <c r="C178" s="1527"/>
      <c r="D178" s="1539"/>
      <c r="E178" s="1539"/>
      <c r="F178" s="1539"/>
      <c r="G178" s="1539"/>
      <c r="H178" s="1575" t="s">
        <v>757</v>
      </c>
      <c r="I178" s="1577">
        <f>SUM(I94*80%)</f>
        <v>388960</v>
      </c>
      <c r="J178" s="1577">
        <f>SUM(J94*80%)</f>
        <v>0</v>
      </c>
      <c r="K178" s="1578"/>
      <c r="L178" s="1577">
        <f>SUM(L94*80%)</f>
        <v>0</v>
      </c>
      <c r="M178" s="1565">
        <f t="shared" si="175"/>
        <v>388960</v>
      </c>
      <c r="N178" s="1603"/>
      <c r="O178" s="1603"/>
      <c r="P178" s="347"/>
      <c r="Q178" s="347"/>
      <c r="R178" s="1117"/>
      <c r="S178" s="347"/>
      <c r="T178" s="348">
        <f t="shared" si="176"/>
        <v>0</v>
      </c>
      <c r="U178" s="1045"/>
      <c r="V178" s="1045"/>
      <c r="W178" s="347"/>
      <c r="X178" s="1117"/>
      <c r="Y178" s="347"/>
      <c r="Z178" s="347"/>
      <c r="AA178" s="348">
        <f t="shared" si="177"/>
        <v>0</v>
      </c>
      <c r="AB178" s="347"/>
      <c r="AC178" s="1117"/>
      <c r="AD178" s="347"/>
      <c r="AE178" s="347"/>
      <c r="AF178" s="348">
        <f t="shared" si="178"/>
        <v>0</v>
      </c>
      <c r="AG178" s="347">
        <f t="shared" si="179"/>
        <v>0</v>
      </c>
      <c r="AH178" s="1117"/>
      <c r="AI178" s="347">
        <f t="shared" si="180"/>
        <v>0</v>
      </c>
      <c r="AJ178" s="347">
        <f t="shared" si="181"/>
        <v>0</v>
      </c>
      <c r="AK178" s="348">
        <f t="shared" si="182"/>
        <v>0</v>
      </c>
      <c r="AL178" s="347">
        <f t="shared" si="183"/>
        <v>388960</v>
      </c>
      <c r="AM178" s="1117"/>
      <c r="AN178" s="347">
        <f t="shared" si="184"/>
        <v>0</v>
      </c>
      <c r="AO178" s="347">
        <f t="shared" si="185"/>
        <v>0</v>
      </c>
      <c r="AP178" s="348">
        <f t="shared" si="186"/>
        <v>388960</v>
      </c>
      <c r="AQ178" s="726" t="e">
        <f t="shared" si="187"/>
        <v>#REF!</v>
      </c>
      <c r="AR178" s="726" t="e">
        <f t="shared" si="188"/>
        <v>#REF!</v>
      </c>
      <c r="AS178" s="726" t="e">
        <f t="shared" si="189"/>
        <v>#REF!</v>
      </c>
      <c r="AT178" s="727" t="e">
        <f t="shared" si="190"/>
        <v>#REF!</v>
      </c>
    </row>
    <row r="179" spans="1:46" hidden="1">
      <c r="A179" s="344">
        <v>13</v>
      </c>
      <c r="B179" s="1550" t="s">
        <v>1024</v>
      </c>
      <c r="C179" s="1527"/>
      <c r="D179" s="1539"/>
      <c r="E179" s="1539"/>
      <c r="F179" s="1539"/>
      <c r="G179" s="1539"/>
      <c r="H179" s="1575" t="s">
        <v>50</v>
      </c>
      <c r="I179" s="1568">
        <f>SUM(I50,I95)</f>
        <v>3220825.7542154272</v>
      </c>
      <c r="J179" s="1568">
        <f>SUM(J50,J95)</f>
        <v>3266137.0720083052</v>
      </c>
      <c r="K179" s="1576"/>
      <c r="L179" s="1568">
        <f>SUM(L50,L95)</f>
        <v>3363669.6835574745</v>
      </c>
      <c r="M179" s="1565">
        <f t="shared" si="175"/>
        <v>9850632.5097812079</v>
      </c>
      <c r="N179" s="1603"/>
      <c r="O179" s="1603"/>
      <c r="P179" s="347"/>
      <c r="Q179" s="347"/>
      <c r="R179" s="1117"/>
      <c r="S179" s="347"/>
      <c r="T179" s="348">
        <f t="shared" si="176"/>
        <v>0</v>
      </c>
      <c r="U179" s="1045"/>
      <c r="V179" s="1045"/>
      <c r="W179" s="347"/>
      <c r="X179" s="1117"/>
      <c r="Y179" s="347"/>
      <c r="Z179" s="347"/>
      <c r="AA179" s="348">
        <f t="shared" si="177"/>
        <v>0</v>
      </c>
      <c r="AB179" s="347"/>
      <c r="AC179" s="1117"/>
      <c r="AD179" s="347"/>
      <c r="AE179" s="347"/>
      <c r="AF179" s="348">
        <f t="shared" si="178"/>
        <v>0</v>
      </c>
      <c r="AG179" s="347">
        <f t="shared" si="179"/>
        <v>0</v>
      </c>
      <c r="AH179" s="1117"/>
      <c r="AI179" s="347">
        <f t="shared" si="180"/>
        <v>0</v>
      </c>
      <c r="AJ179" s="347">
        <f t="shared" si="181"/>
        <v>0</v>
      </c>
      <c r="AK179" s="348">
        <f t="shared" si="182"/>
        <v>0</v>
      </c>
      <c r="AL179" s="347">
        <f t="shared" si="183"/>
        <v>3220825.7542154272</v>
      </c>
      <c r="AM179" s="1117"/>
      <c r="AN179" s="347">
        <f t="shared" si="184"/>
        <v>3266137.0720083052</v>
      </c>
      <c r="AO179" s="347">
        <f t="shared" si="185"/>
        <v>3363669.6835574745</v>
      </c>
      <c r="AP179" s="348">
        <f t="shared" si="186"/>
        <v>9850632.5097812079</v>
      </c>
      <c r="AQ179" s="726" t="e">
        <f t="shared" si="187"/>
        <v>#REF!</v>
      </c>
      <c r="AR179" s="726" t="e">
        <f t="shared" si="188"/>
        <v>#REF!</v>
      </c>
      <c r="AS179" s="726" t="e">
        <f t="shared" si="189"/>
        <v>#REF!</v>
      </c>
      <c r="AT179" s="727" t="e">
        <f t="shared" si="190"/>
        <v>#REF!</v>
      </c>
    </row>
    <row r="180" spans="1:46" hidden="1">
      <c r="A180" s="344">
        <v>14</v>
      </c>
      <c r="B180" s="1550" t="s">
        <v>1025</v>
      </c>
      <c r="C180" s="1527"/>
      <c r="D180" s="1539"/>
      <c r="E180" s="1539"/>
      <c r="F180" s="1539"/>
      <c r="G180" s="1539"/>
      <c r="H180" s="1575" t="s">
        <v>1632</v>
      </c>
      <c r="I180" s="1568">
        <f>SUM(I66,I67,I68,I71,I72)</f>
        <v>876995.12</v>
      </c>
      <c r="J180" s="1568">
        <f>SUM(J66,J67,J68,J71,J72)</f>
        <v>862353.44</v>
      </c>
      <c r="K180" s="1576"/>
      <c r="L180" s="1568">
        <f>SUM(L66,L67,L68,L71,L72)</f>
        <v>836037.68</v>
      </c>
      <c r="M180" s="1565">
        <f t="shared" si="175"/>
        <v>2575386.2400000002</v>
      </c>
      <c r="N180" s="1603"/>
      <c r="O180" s="1603"/>
      <c r="P180" s="347"/>
      <c r="Q180" s="347"/>
      <c r="R180" s="1117"/>
      <c r="S180" s="347"/>
      <c r="T180" s="348">
        <f t="shared" si="176"/>
        <v>0</v>
      </c>
      <c r="U180" s="1045"/>
      <c r="V180" s="1045"/>
      <c r="W180" s="347"/>
      <c r="X180" s="1117"/>
      <c r="Y180" s="347"/>
      <c r="Z180" s="347"/>
      <c r="AA180" s="348">
        <f t="shared" si="177"/>
        <v>0</v>
      </c>
      <c r="AB180" s="347"/>
      <c r="AC180" s="1117"/>
      <c r="AD180" s="347"/>
      <c r="AE180" s="347"/>
      <c r="AF180" s="348">
        <f t="shared" si="178"/>
        <v>0</v>
      </c>
      <c r="AG180" s="347">
        <f t="shared" si="179"/>
        <v>0</v>
      </c>
      <c r="AH180" s="1117"/>
      <c r="AI180" s="347">
        <f t="shared" si="180"/>
        <v>0</v>
      </c>
      <c r="AJ180" s="347">
        <f t="shared" si="181"/>
        <v>0</v>
      </c>
      <c r="AK180" s="348">
        <f t="shared" si="182"/>
        <v>0</v>
      </c>
      <c r="AL180" s="347">
        <f t="shared" si="183"/>
        <v>876995.12</v>
      </c>
      <c r="AM180" s="1117"/>
      <c r="AN180" s="347">
        <f t="shared" si="184"/>
        <v>862353.44</v>
      </c>
      <c r="AO180" s="347">
        <f t="shared" si="185"/>
        <v>836037.68</v>
      </c>
      <c r="AP180" s="348">
        <f t="shared" si="186"/>
        <v>2575386.2400000002</v>
      </c>
      <c r="AQ180" s="726" t="e">
        <f t="shared" si="187"/>
        <v>#REF!</v>
      </c>
      <c r="AR180" s="726" t="e">
        <f t="shared" si="188"/>
        <v>#REF!</v>
      </c>
      <c r="AS180" s="726" t="e">
        <f t="shared" si="189"/>
        <v>#REF!</v>
      </c>
      <c r="AT180" s="727" t="e">
        <f t="shared" si="190"/>
        <v>#REF!</v>
      </c>
    </row>
    <row r="181" spans="1:46" hidden="1">
      <c r="A181" s="344">
        <v>15</v>
      </c>
      <c r="B181" s="1550" t="s">
        <v>1026</v>
      </c>
      <c r="C181" s="1527"/>
      <c r="D181" s="1539"/>
      <c r="E181" s="1539"/>
      <c r="F181" s="1539"/>
      <c r="G181" s="1539"/>
      <c r="H181" s="1575" t="s">
        <v>1007</v>
      </c>
      <c r="I181" s="1568" t="e">
        <f>SUM(#REF!,I124,I125,I127)</f>
        <v>#REF!</v>
      </c>
      <c r="J181" s="1568" t="e">
        <f>SUM(#REF!,J124,J125,J127)</f>
        <v>#REF!</v>
      </c>
      <c r="K181" s="1576"/>
      <c r="L181" s="1568" t="e">
        <f>SUM(#REF!,L124,L125,L127)</f>
        <v>#REF!</v>
      </c>
      <c r="M181" s="1565" t="e">
        <f t="shared" si="175"/>
        <v>#REF!</v>
      </c>
      <c r="N181" s="1603"/>
      <c r="O181" s="1603"/>
      <c r="P181" s="347"/>
      <c r="Q181" s="347"/>
      <c r="R181" s="1117"/>
      <c r="S181" s="347"/>
      <c r="T181" s="348">
        <f t="shared" si="176"/>
        <v>0</v>
      </c>
      <c r="U181" s="1045"/>
      <c r="V181" s="1045"/>
      <c r="W181" s="347"/>
      <c r="X181" s="1117"/>
      <c r="Y181" s="347"/>
      <c r="Z181" s="347"/>
      <c r="AA181" s="348">
        <f t="shared" si="177"/>
        <v>0</v>
      </c>
      <c r="AB181" s="347"/>
      <c r="AC181" s="1117"/>
      <c r="AD181" s="347"/>
      <c r="AE181" s="347"/>
      <c r="AF181" s="348">
        <f t="shared" si="178"/>
        <v>0</v>
      </c>
      <c r="AG181" s="347">
        <f t="shared" si="179"/>
        <v>0</v>
      </c>
      <c r="AH181" s="1117"/>
      <c r="AI181" s="347">
        <f t="shared" si="180"/>
        <v>0</v>
      </c>
      <c r="AJ181" s="347">
        <f t="shared" si="181"/>
        <v>0</v>
      </c>
      <c r="AK181" s="348">
        <f t="shared" si="182"/>
        <v>0</v>
      </c>
      <c r="AL181" s="347" t="e">
        <f t="shared" si="183"/>
        <v>#REF!</v>
      </c>
      <c r="AM181" s="1117"/>
      <c r="AN181" s="347" t="e">
        <f t="shared" si="184"/>
        <v>#REF!</v>
      </c>
      <c r="AO181" s="347" t="e">
        <f t="shared" si="185"/>
        <v>#REF!</v>
      </c>
      <c r="AP181" s="348" t="e">
        <f t="shared" si="186"/>
        <v>#REF!</v>
      </c>
      <c r="AQ181" s="726" t="e">
        <f t="shared" si="187"/>
        <v>#REF!</v>
      </c>
      <c r="AR181" s="726" t="e">
        <f t="shared" si="188"/>
        <v>#REF!</v>
      </c>
      <c r="AS181" s="726" t="e">
        <f t="shared" si="189"/>
        <v>#REF!</v>
      </c>
      <c r="AT181" s="727" t="e">
        <f t="shared" si="190"/>
        <v>#REF!</v>
      </c>
    </row>
    <row r="182" spans="1:46" hidden="1">
      <c r="A182" s="344">
        <v>16</v>
      </c>
      <c r="B182" s="1550" t="s">
        <v>1027</v>
      </c>
      <c r="C182" s="1527"/>
      <c r="D182" s="1539"/>
      <c r="E182" s="1539"/>
      <c r="F182" s="1539"/>
      <c r="G182" s="1539"/>
      <c r="H182" s="1575" t="s">
        <v>1006</v>
      </c>
      <c r="I182" s="1568">
        <f>SUM(I121,I122)</f>
        <v>360000</v>
      </c>
      <c r="J182" s="1568">
        <f>SUM(J121,J122)</f>
        <v>360000</v>
      </c>
      <c r="K182" s="1576"/>
      <c r="L182" s="1568">
        <f>SUM(L121,L122)</f>
        <v>360000</v>
      </c>
      <c r="M182" s="1565">
        <f t="shared" si="175"/>
        <v>1080000</v>
      </c>
      <c r="N182" s="1603"/>
      <c r="O182" s="1603"/>
      <c r="P182" s="347"/>
      <c r="Q182" s="347"/>
      <c r="R182" s="1117"/>
      <c r="S182" s="347"/>
      <c r="T182" s="348">
        <f t="shared" si="176"/>
        <v>0</v>
      </c>
      <c r="U182" s="1045"/>
      <c r="V182" s="1045"/>
      <c r="W182" s="347"/>
      <c r="X182" s="1117"/>
      <c r="Y182" s="347"/>
      <c r="Z182" s="347"/>
      <c r="AA182" s="348">
        <f t="shared" si="177"/>
        <v>0</v>
      </c>
      <c r="AB182" s="347"/>
      <c r="AC182" s="1117"/>
      <c r="AD182" s="347"/>
      <c r="AE182" s="347"/>
      <c r="AF182" s="348">
        <f t="shared" si="178"/>
        <v>0</v>
      </c>
      <c r="AG182" s="347">
        <f t="shared" si="179"/>
        <v>0</v>
      </c>
      <c r="AH182" s="1117"/>
      <c r="AI182" s="347">
        <f t="shared" si="180"/>
        <v>0</v>
      </c>
      <c r="AJ182" s="347">
        <f t="shared" si="181"/>
        <v>0</v>
      </c>
      <c r="AK182" s="348">
        <f t="shared" si="182"/>
        <v>0</v>
      </c>
      <c r="AL182" s="347">
        <f t="shared" si="183"/>
        <v>360000</v>
      </c>
      <c r="AM182" s="1117"/>
      <c r="AN182" s="347">
        <f t="shared" si="184"/>
        <v>360000</v>
      </c>
      <c r="AO182" s="347">
        <f t="shared" si="185"/>
        <v>360000</v>
      </c>
      <c r="AP182" s="348">
        <f t="shared" si="186"/>
        <v>1080000</v>
      </c>
      <c r="AQ182" s="726" t="e">
        <f t="shared" si="187"/>
        <v>#REF!</v>
      </c>
      <c r="AR182" s="726" t="e">
        <f t="shared" si="188"/>
        <v>#REF!</v>
      </c>
      <c r="AS182" s="726" t="e">
        <f t="shared" si="189"/>
        <v>#REF!</v>
      </c>
      <c r="AT182" s="727" t="e">
        <f t="shared" si="190"/>
        <v>#REF!</v>
      </c>
    </row>
    <row r="183" spans="1:46" hidden="1">
      <c r="A183" s="344">
        <v>17</v>
      </c>
      <c r="B183" s="1550" t="s">
        <v>1629</v>
      </c>
      <c r="C183" s="1527"/>
      <c r="D183" s="1539"/>
      <c r="E183" s="1539"/>
      <c r="F183" s="1539"/>
      <c r="G183" s="1539"/>
      <c r="H183" s="1575" t="s">
        <v>752</v>
      </c>
      <c r="I183" s="1568">
        <f>SUM(I130,I131)</f>
        <v>220000</v>
      </c>
      <c r="J183" s="1568">
        <f>SUM(J130,J131)</f>
        <v>220000</v>
      </c>
      <c r="K183" s="1576"/>
      <c r="L183" s="1568">
        <f>SUM(L130,L131)</f>
        <v>220000</v>
      </c>
      <c r="M183" s="1565">
        <f t="shared" si="175"/>
        <v>660000</v>
      </c>
      <c r="N183" s="1603"/>
      <c r="O183" s="1603"/>
      <c r="P183" s="347"/>
      <c r="Q183" s="347"/>
      <c r="R183" s="1117"/>
      <c r="S183" s="347"/>
      <c r="T183" s="348">
        <f t="shared" si="176"/>
        <v>0</v>
      </c>
      <c r="U183" s="1045"/>
      <c r="V183" s="1045"/>
      <c r="W183" s="347"/>
      <c r="X183" s="1117"/>
      <c r="Y183" s="347"/>
      <c r="Z183" s="347"/>
      <c r="AA183" s="348">
        <f t="shared" si="177"/>
        <v>0</v>
      </c>
      <c r="AB183" s="347"/>
      <c r="AC183" s="1117"/>
      <c r="AD183" s="347"/>
      <c r="AE183" s="347"/>
      <c r="AF183" s="348">
        <f t="shared" si="178"/>
        <v>0</v>
      </c>
      <c r="AG183" s="347">
        <f t="shared" si="179"/>
        <v>0</v>
      </c>
      <c r="AH183" s="1117"/>
      <c r="AI183" s="347">
        <f t="shared" si="180"/>
        <v>0</v>
      </c>
      <c r="AJ183" s="347">
        <f t="shared" si="181"/>
        <v>0</v>
      </c>
      <c r="AK183" s="348">
        <f t="shared" si="182"/>
        <v>0</v>
      </c>
      <c r="AL183" s="347">
        <f t="shared" si="183"/>
        <v>220000</v>
      </c>
      <c r="AM183" s="1117"/>
      <c r="AN183" s="347">
        <f t="shared" si="184"/>
        <v>220000</v>
      </c>
      <c r="AO183" s="347">
        <f t="shared" ref="AO183:AO185" si="191">L183-(S183+AJ183)</f>
        <v>220000</v>
      </c>
      <c r="AP183" s="348">
        <f t="shared" si="186"/>
        <v>660000</v>
      </c>
      <c r="AQ183" s="726" t="e">
        <f t="shared" si="187"/>
        <v>#REF!</v>
      </c>
      <c r="AR183" s="726" t="e">
        <f t="shared" si="188"/>
        <v>#REF!</v>
      </c>
      <c r="AS183" s="726" t="e">
        <f t="shared" si="189"/>
        <v>#REF!</v>
      </c>
      <c r="AT183" s="727" t="e">
        <f t="shared" si="190"/>
        <v>#REF!</v>
      </c>
    </row>
    <row r="184" spans="1:46" hidden="1">
      <c r="A184" s="344">
        <v>18</v>
      </c>
      <c r="B184" s="1550" t="s">
        <v>1028</v>
      </c>
      <c r="C184" s="1527"/>
      <c r="D184" s="1539"/>
      <c r="E184" s="1539"/>
      <c r="F184" s="1539"/>
      <c r="G184" s="1539"/>
      <c r="H184" s="1575" t="s">
        <v>1001</v>
      </c>
      <c r="I184" s="1568" t="e">
        <f>SUM(I19,I23,I63,I109,I110,I111,I112,I114,I115,#REF!,I118)</f>
        <v>#REF!</v>
      </c>
      <c r="J184" s="1568" t="e">
        <f>SUM(J19,J23,J63,J109,J110,J111,J112,J114,J115,#REF!,J118)</f>
        <v>#REF!</v>
      </c>
      <c r="K184" s="1576"/>
      <c r="L184" s="1568" t="e">
        <f>SUM(L19,L23,L63,L109,L110,L111,L112,L114,L115,#REF!,L118)</f>
        <v>#REF!</v>
      </c>
      <c r="M184" s="1565" t="e">
        <f t="shared" si="175"/>
        <v>#REF!</v>
      </c>
      <c r="N184" s="1603"/>
      <c r="O184" s="1603"/>
      <c r="P184" s="347"/>
      <c r="Q184" s="347"/>
      <c r="R184" s="1117"/>
      <c r="S184" s="347"/>
      <c r="T184" s="348">
        <f t="shared" si="176"/>
        <v>0</v>
      </c>
      <c r="U184" s="1045"/>
      <c r="V184" s="1045"/>
      <c r="W184" s="347"/>
      <c r="X184" s="1117"/>
      <c r="Y184" s="347"/>
      <c r="Z184" s="347"/>
      <c r="AA184" s="348">
        <f t="shared" si="177"/>
        <v>0</v>
      </c>
      <c r="AB184" s="347"/>
      <c r="AC184" s="1117"/>
      <c r="AD184" s="347"/>
      <c r="AE184" s="347"/>
      <c r="AF184" s="348">
        <f t="shared" si="178"/>
        <v>0</v>
      </c>
      <c r="AG184" s="347">
        <f t="shared" si="179"/>
        <v>0</v>
      </c>
      <c r="AH184" s="1117"/>
      <c r="AI184" s="347">
        <f t="shared" si="180"/>
        <v>0</v>
      </c>
      <c r="AJ184" s="347">
        <f t="shared" si="181"/>
        <v>0</v>
      </c>
      <c r="AK184" s="348">
        <f t="shared" si="182"/>
        <v>0</v>
      </c>
      <c r="AL184" s="347" t="e">
        <f t="shared" si="183"/>
        <v>#REF!</v>
      </c>
      <c r="AM184" s="1117"/>
      <c r="AN184" s="347" t="e">
        <f t="shared" si="184"/>
        <v>#REF!</v>
      </c>
      <c r="AO184" s="347" t="e">
        <f t="shared" si="191"/>
        <v>#REF!</v>
      </c>
      <c r="AP184" s="348" t="e">
        <f t="shared" si="186"/>
        <v>#REF!</v>
      </c>
      <c r="AQ184" s="726" t="e">
        <f t="shared" si="187"/>
        <v>#REF!</v>
      </c>
      <c r="AR184" s="726" t="e">
        <f t="shared" si="188"/>
        <v>#REF!</v>
      </c>
      <c r="AS184" s="726" t="e">
        <f t="shared" si="189"/>
        <v>#REF!</v>
      </c>
      <c r="AT184" s="727" t="e">
        <f t="shared" si="190"/>
        <v>#REF!</v>
      </c>
    </row>
    <row r="185" spans="1:46" hidden="1">
      <c r="A185" s="344">
        <v>19</v>
      </c>
      <c r="B185" s="1550" t="s">
        <v>1029</v>
      </c>
      <c r="C185" s="1527"/>
      <c r="D185" s="1539"/>
      <c r="E185" s="1539"/>
      <c r="F185" s="1539"/>
      <c r="G185" s="1539"/>
      <c r="H185" s="1575" t="s">
        <v>749</v>
      </c>
      <c r="I185" s="1568" t="e">
        <f>SUM(#REF!,#REF!,#REF!,#REF!,#REF!,#REF!,#REF!,#REF!,#REF!,#REF!,#REF!,#REF!,#REF!,#REF!)</f>
        <v>#REF!</v>
      </c>
      <c r="J185" s="1568" t="e">
        <f>SUM(#REF!,#REF!,#REF!,#REF!,#REF!,#REF!,#REF!,#REF!,#REF!,#REF!,#REF!,#REF!,#REF!,#REF!)</f>
        <v>#REF!</v>
      </c>
      <c r="K185" s="1576"/>
      <c r="L185" s="1568" t="e">
        <f>SUM(#REF!,#REF!,#REF!,#REF!,#REF!,#REF!,#REF!,#REF!,#REF!,#REF!,#REF!,#REF!,#REF!,#REF!)</f>
        <v>#REF!</v>
      </c>
      <c r="M185" s="1565" t="e">
        <f t="shared" si="175"/>
        <v>#REF!</v>
      </c>
      <c r="N185" s="1603"/>
      <c r="O185" s="1603"/>
      <c r="P185" s="347"/>
      <c r="Q185" s="347"/>
      <c r="R185" s="1117"/>
      <c r="S185" s="347"/>
      <c r="T185" s="348">
        <f t="shared" si="176"/>
        <v>0</v>
      </c>
      <c r="U185" s="1045"/>
      <c r="V185" s="1045"/>
      <c r="W185" s="347"/>
      <c r="X185" s="1117"/>
      <c r="Y185" s="347"/>
      <c r="Z185" s="347"/>
      <c r="AA185" s="348">
        <f t="shared" si="177"/>
        <v>0</v>
      </c>
      <c r="AB185" s="347"/>
      <c r="AC185" s="1117"/>
      <c r="AD185" s="347"/>
      <c r="AE185" s="347"/>
      <c r="AF185" s="348">
        <f t="shared" si="178"/>
        <v>0</v>
      </c>
      <c r="AG185" s="347">
        <f t="shared" si="179"/>
        <v>0</v>
      </c>
      <c r="AH185" s="1117"/>
      <c r="AI185" s="347">
        <f t="shared" si="180"/>
        <v>0</v>
      </c>
      <c r="AJ185" s="347">
        <f t="shared" si="181"/>
        <v>0</v>
      </c>
      <c r="AK185" s="348">
        <f t="shared" si="182"/>
        <v>0</v>
      </c>
      <c r="AL185" s="347" t="e">
        <f t="shared" si="183"/>
        <v>#REF!</v>
      </c>
      <c r="AM185" s="1117"/>
      <c r="AN185" s="347" t="e">
        <f t="shared" si="184"/>
        <v>#REF!</v>
      </c>
      <c r="AO185" s="347" t="e">
        <f t="shared" si="191"/>
        <v>#REF!</v>
      </c>
      <c r="AP185" s="348" t="e">
        <f t="shared" si="186"/>
        <v>#REF!</v>
      </c>
      <c r="AQ185" s="726" t="e">
        <f t="shared" si="187"/>
        <v>#REF!</v>
      </c>
      <c r="AR185" s="726" t="e">
        <f t="shared" si="188"/>
        <v>#REF!</v>
      </c>
      <c r="AS185" s="726" t="e">
        <f t="shared" si="189"/>
        <v>#REF!</v>
      </c>
      <c r="AT185" s="727" t="e">
        <f t="shared" si="190"/>
        <v>#REF!</v>
      </c>
    </row>
    <row r="186" spans="1:46" ht="15.75" hidden="1">
      <c r="A186" s="482"/>
      <c r="B186" s="1553" t="s">
        <v>1008</v>
      </c>
      <c r="C186" s="1529"/>
      <c r="D186" s="1541"/>
      <c r="E186" s="1541"/>
      <c r="F186" s="1541"/>
      <c r="G186" s="1541"/>
      <c r="H186" s="1554"/>
      <c r="I186" s="1566" t="e">
        <f t="shared" ref="I186:AP186" si="192">SUM(I167:I185)</f>
        <v>#REF!</v>
      </c>
      <c r="J186" s="1566" t="e">
        <f t="shared" si="192"/>
        <v>#REF!</v>
      </c>
      <c r="K186" s="1579"/>
      <c r="L186" s="1566" t="e">
        <f t="shared" si="192"/>
        <v>#REF!</v>
      </c>
      <c r="M186" s="1567" t="e">
        <f t="shared" si="192"/>
        <v>#REF!</v>
      </c>
      <c r="N186" s="1604"/>
      <c r="O186" s="1604"/>
      <c r="P186" s="477">
        <f t="shared" si="192"/>
        <v>0</v>
      </c>
      <c r="Q186" s="477">
        <f t="shared" si="192"/>
        <v>0</v>
      </c>
      <c r="R186" s="1116"/>
      <c r="S186" s="477">
        <f t="shared" si="192"/>
        <v>0</v>
      </c>
      <c r="T186" s="351">
        <f t="shared" si="192"/>
        <v>0</v>
      </c>
      <c r="U186" s="1046"/>
      <c r="V186" s="1046"/>
      <c r="W186" s="477">
        <f t="shared" si="192"/>
        <v>0</v>
      </c>
      <c r="X186" s="1116"/>
      <c r="Y186" s="477">
        <f t="shared" si="192"/>
        <v>0</v>
      </c>
      <c r="Z186" s="477">
        <f t="shared" si="192"/>
        <v>0</v>
      </c>
      <c r="AA186" s="351">
        <f t="shared" si="192"/>
        <v>0</v>
      </c>
      <c r="AB186" s="477">
        <f t="shared" si="192"/>
        <v>0</v>
      </c>
      <c r="AC186" s="1116"/>
      <c r="AD186" s="477">
        <f t="shared" si="192"/>
        <v>0</v>
      </c>
      <c r="AE186" s="477">
        <f t="shared" si="192"/>
        <v>0</v>
      </c>
      <c r="AF186" s="351">
        <f t="shared" si="192"/>
        <v>0</v>
      </c>
      <c r="AG186" s="477">
        <f t="shared" si="192"/>
        <v>0</v>
      </c>
      <c r="AH186" s="1116"/>
      <c r="AI186" s="477">
        <f t="shared" si="192"/>
        <v>0</v>
      </c>
      <c r="AJ186" s="477">
        <f t="shared" si="192"/>
        <v>0</v>
      </c>
      <c r="AK186" s="351">
        <f t="shared" si="192"/>
        <v>0</v>
      </c>
      <c r="AL186" s="477" t="e">
        <f t="shared" si="192"/>
        <v>#REF!</v>
      </c>
      <c r="AM186" s="1116"/>
      <c r="AN186" s="477" t="e">
        <f t="shared" si="192"/>
        <v>#REF!</v>
      </c>
      <c r="AO186" s="477" t="e">
        <f t="shared" si="192"/>
        <v>#REF!</v>
      </c>
      <c r="AP186" s="351" t="e">
        <f t="shared" si="192"/>
        <v>#REF!</v>
      </c>
      <c r="AQ186" s="727" t="e">
        <f t="shared" si="187"/>
        <v>#REF!</v>
      </c>
      <c r="AR186" s="727" t="e">
        <f t="shared" si="188"/>
        <v>#REF!</v>
      </c>
      <c r="AS186" s="727" t="e">
        <f t="shared" si="189"/>
        <v>#REF!</v>
      </c>
      <c r="AT186" s="727" t="e">
        <f t="shared" si="190"/>
        <v>#REF!</v>
      </c>
    </row>
    <row r="187" spans="1:46" hidden="1">
      <c r="A187" s="344">
        <v>21</v>
      </c>
      <c r="B187" s="1550" t="s">
        <v>1009</v>
      </c>
      <c r="C187" s="1527"/>
      <c r="D187" s="1539"/>
      <c r="E187" s="1539"/>
      <c r="F187" s="1539"/>
      <c r="G187" s="1539"/>
      <c r="H187" s="1551" t="s">
        <v>984</v>
      </c>
      <c r="I187" s="1568">
        <f>SUM(I133)</f>
        <v>595688.0380516185</v>
      </c>
      <c r="J187" s="1568">
        <f>SUM(J133)</f>
        <v>553305.37333171477</v>
      </c>
      <c r="K187" s="1576"/>
      <c r="L187" s="1568">
        <f>SUM(L133)</f>
        <v>543983.48082659848</v>
      </c>
      <c r="M187" s="1565">
        <f t="shared" si="175"/>
        <v>1692976.8922099317</v>
      </c>
      <c r="N187" s="1603"/>
      <c r="O187" s="1603"/>
      <c r="P187" s="347">
        <f>SUM(P133)</f>
        <v>356099</v>
      </c>
      <c r="Q187" s="347">
        <f>SUM(Q133)</f>
        <v>357421</v>
      </c>
      <c r="R187" s="1117"/>
      <c r="S187" s="347">
        <f>SUM(S133)</f>
        <v>385760</v>
      </c>
      <c r="T187" s="348">
        <f t="shared" ref="T187" si="193">SUM(P187:S187)</f>
        <v>1099280</v>
      </c>
      <c r="U187" s="1045"/>
      <c r="V187" s="1045"/>
      <c r="W187" s="347">
        <f>SUM(U133)</f>
        <v>139150.4738739391</v>
      </c>
      <c r="X187" s="1117"/>
      <c r="Y187" s="347">
        <f>SUM(V133)</f>
        <v>108849.96085831535</v>
      </c>
      <c r="Z187" s="347">
        <f>SUM(X133)</f>
        <v>84992.077615642062</v>
      </c>
      <c r="AA187" s="348">
        <f t="shared" ref="AA187" si="194">SUM(W187:Z187)</f>
        <v>332992.51234789653</v>
      </c>
      <c r="AB187" s="347">
        <f>SUM(Z133)</f>
        <v>38721.422089041102</v>
      </c>
      <c r="AC187" s="1117"/>
      <c r="AD187" s="347">
        <f>SUM(AA133)</f>
        <v>0</v>
      </c>
      <c r="AE187" s="347">
        <f>SUM(AC133)</f>
        <v>0</v>
      </c>
      <c r="AF187" s="348">
        <f t="shared" ref="AF187" si="195">SUM(AB187:AE187)</f>
        <v>38721.422089041102</v>
      </c>
      <c r="AG187" s="347">
        <f>SUM(W187,AB187)</f>
        <v>177871.8959629802</v>
      </c>
      <c r="AH187" s="1117"/>
      <c r="AI187" s="347">
        <f>SUM(Y187,AD187)</f>
        <v>108849.96085831535</v>
      </c>
      <c r="AJ187" s="347">
        <f>SUM(Z187,AE187)</f>
        <v>84992.077615642062</v>
      </c>
      <c r="AK187" s="348">
        <f t="shared" ref="AK187" si="196">SUM(AG187:AJ187)</f>
        <v>371713.93443693762</v>
      </c>
      <c r="AL187" s="347">
        <f>I187-(P187+AG187)</f>
        <v>61717.142088638269</v>
      </c>
      <c r="AM187" s="1117"/>
      <c r="AN187" s="347">
        <f>J187-(Q187+AI187)</f>
        <v>87034.412473399425</v>
      </c>
      <c r="AO187" s="347">
        <f t="shared" ref="AO187" si="197">L187-(S187+AJ187)</f>
        <v>73231.403210956429</v>
      </c>
      <c r="AP187" s="348">
        <f t="shared" ref="AP187" si="198">SUM(AL187:AO187)</f>
        <v>221982.95777299412</v>
      </c>
    </row>
    <row r="188" spans="1:46" ht="15.75" hidden="1">
      <c r="A188" s="349"/>
      <c r="B188" s="1555" t="s">
        <v>809</v>
      </c>
      <c r="C188" s="1530"/>
      <c r="D188" s="1542"/>
      <c r="E188" s="1542"/>
      <c r="F188" s="1542"/>
      <c r="G188" s="1542"/>
      <c r="H188" s="1556"/>
      <c r="I188" s="1567" t="e">
        <f>I186+I187</f>
        <v>#REF!</v>
      </c>
      <c r="J188" s="1567" t="e">
        <f t="shared" ref="J188:M188" si="199">J186+J187</f>
        <v>#REF!</v>
      </c>
      <c r="K188" s="1580"/>
      <c r="L188" s="1567" t="e">
        <f t="shared" si="199"/>
        <v>#REF!</v>
      </c>
      <c r="M188" s="1569" t="e">
        <f t="shared" si="199"/>
        <v>#REF!</v>
      </c>
      <c r="N188" s="1605"/>
      <c r="O188" s="1605"/>
      <c r="P188" s="351">
        <f>P186+P187</f>
        <v>356099</v>
      </c>
      <c r="Q188" s="351">
        <f t="shared" ref="Q188:T188" si="200">Q186+Q187</f>
        <v>357421</v>
      </c>
      <c r="R188" s="1046"/>
      <c r="S188" s="351">
        <f t="shared" si="200"/>
        <v>385760</v>
      </c>
      <c r="T188" s="352">
        <f t="shared" si="200"/>
        <v>1099280</v>
      </c>
      <c r="U188" s="1047"/>
      <c r="V188" s="1047"/>
      <c r="W188" s="351">
        <f>W186+W187</f>
        <v>139150.4738739391</v>
      </c>
      <c r="X188" s="1046"/>
      <c r="Y188" s="351">
        <f t="shared" ref="Y188:AA188" si="201">Y186+Y187</f>
        <v>108849.96085831535</v>
      </c>
      <c r="Z188" s="351">
        <f t="shared" si="201"/>
        <v>84992.077615642062</v>
      </c>
      <c r="AA188" s="352">
        <f t="shared" si="201"/>
        <v>332992.51234789653</v>
      </c>
      <c r="AB188" s="351">
        <f>AB186+AB187</f>
        <v>38721.422089041102</v>
      </c>
      <c r="AC188" s="1046"/>
      <c r="AD188" s="351">
        <f t="shared" ref="AD188:AF188" si="202">AD186+AD187</f>
        <v>0</v>
      </c>
      <c r="AE188" s="351">
        <f t="shared" si="202"/>
        <v>0</v>
      </c>
      <c r="AF188" s="352">
        <f t="shared" si="202"/>
        <v>38721.422089041102</v>
      </c>
      <c r="AG188" s="351">
        <f>AG186+AG187</f>
        <v>177871.8959629802</v>
      </c>
      <c r="AH188" s="1046"/>
      <c r="AI188" s="351">
        <f t="shared" ref="AI188:AK188" si="203">AI186+AI187</f>
        <v>108849.96085831535</v>
      </c>
      <c r="AJ188" s="351">
        <f t="shared" si="203"/>
        <v>84992.077615642062</v>
      </c>
      <c r="AK188" s="352">
        <f t="shared" si="203"/>
        <v>371713.93443693762</v>
      </c>
      <c r="AL188" s="351" t="e">
        <f>AL186+AL187</f>
        <v>#REF!</v>
      </c>
      <c r="AM188" s="1046"/>
      <c r="AN188" s="351" t="e">
        <f t="shared" ref="AN188:AP188" si="204">AN186+AN187</f>
        <v>#REF!</v>
      </c>
      <c r="AO188" s="351" t="e">
        <f t="shared" si="204"/>
        <v>#REF!</v>
      </c>
      <c r="AP188" s="352" t="e">
        <f t="shared" si="204"/>
        <v>#REF!</v>
      </c>
    </row>
    <row r="189" spans="1:46" hidden="1">
      <c r="H189" s="1570"/>
      <c r="I189" s="1558"/>
      <c r="J189" s="1558"/>
      <c r="K189" s="1558"/>
      <c r="L189" s="1558"/>
      <c r="AA189" s="356"/>
    </row>
    <row r="190" spans="1:46" hidden="1">
      <c r="A190" s="478"/>
      <c r="B190" s="1533" t="s">
        <v>26</v>
      </c>
      <c r="C190" s="1533"/>
      <c r="H190" s="1571"/>
      <c r="I190" s="1572" t="e">
        <f>I134-I188</f>
        <v>#REF!</v>
      </c>
      <c r="J190" s="1572" t="e">
        <f>J134-J188</f>
        <v>#REF!</v>
      </c>
      <c r="K190" s="1572"/>
      <c r="L190" s="1572" t="e">
        <f>L134-L188</f>
        <v>#REF!</v>
      </c>
      <c r="M190" s="1572" t="e">
        <f>M134-M188</f>
        <v>#REF!</v>
      </c>
      <c r="N190" s="1572"/>
      <c r="O190" s="1572"/>
      <c r="P190" s="481">
        <f>P134-P188</f>
        <v>7121980</v>
      </c>
      <c r="Q190" s="481">
        <f>Q134-Q188</f>
        <v>7148420</v>
      </c>
      <c r="R190" s="481"/>
      <c r="S190" s="481">
        <f>S134-S188</f>
        <v>7715200</v>
      </c>
      <c r="T190" s="481">
        <f>T134-T188</f>
        <v>29863529.5</v>
      </c>
      <c r="U190" s="481"/>
      <c r="V190" s="481"/>
      <c r="W190" s="481">
        <f>U134-W188</f>
        <v>2783009.4774787817</v>
      </c>
      <c r="X190" s="481"/>
      <c r="Y190" s="481">
        <f>V134-Y188</f>
        <v>2176999.2171663069</v>
      </c>
      <c r="Z190" s="481">
        <f>X134-Z188</f>
        <v>1699841.5523128412</v>
      </c>
      <c r="AA190" s="481">
        <f>Y134-AA188</f>
        <v>8929570.7758978792</v>
      </c>
      <c r="AB190" s="481">
        <f>Z134-AB188</f>
        <v>774428.441780822</v>
      </c>
      <c r="AC190" s="481"/>
      <c r="AD190" s="481">
        <f>AA134-AD188</f>
        <v>0</v>
      </c>
      <c r="AE190" s="481">
        <f>AC134-AE188</f>
        <v>0</v>
      </c>
      <c r="AF190" s="481">
        <f>AD134-AF188</f>
        <v>774428.441780822</v>
      </c>
      <c r="AG190" s="481">
        <f>AE134-AG188</f>
        <v>3557437.9192596041</v>
      </c>
      <c r="AH190" s="481"/>
      <c r="AI190" s="481">
        <f>AF134-AI188</f>
        <v>2176999.2171663069</v>
      </c>
      <c r="AJ190" s="481">
        <f>AH134-AJ188</f>
        <v>1699841.5523128412</v>
      </c>
      <c r="AK190" s="481">
        <f>AI134-AK188</f>
        <v>9703999.2176787015</v>
      </c>
      <c r="AL190" s="481" t="e">
        <f>AJ134-AL188</f>
        <v>#REF!</v>
      </c>
      <c r="AM190" s="481"/>
      <c r="AN190" s="481" t="e">
        <f>AK134-AN188</f>
        <v>#REF!</v>
      </c>
      <c r="AO190" s="481" t="e">
        <f>AM134-AO188</f>
        <v>#REF!</v>
      </c>
      <c r="AP190" s="481" t="e">
        <f>AN134-AP188</f>
        <v>#REF!</v>
      </c>
    </row>
    <row r="191" spans="1:46" hidden="1">
      <c r="H191" s="1570"/>
    </row>
    <row r="192" spans="1:46" ht="15.75" hidden="1">
      <c r="A192" s="484" t="s">
        <v>47</v>
      </c>
      <c r="B192" s="1532" t="s">
        <v>1030</v>
      </c>
      <c r="C192" s="1532"/>
      <c r="D192" s="1543"/>
      <c r="E192" s="1543"/>
      <c r="F192" s="1543"/>
      <c r="G192" s="1543"/>
      <c r="H192" s="1570"/>
    </row>
    <row r="193" spans="1:46" hidden="1">
      <c r="H193" s="1570"/>
    </row>
    <row r="194" spans="1:46" ht="15.6" hidden="1" customHeight="1">
      <c r="A194" s="1762" t="s">
        <v>243</v>
      </c>
      <c r="B194" s="1753" t="s">
        <v>1628</v>
      </c>
      <c r="C194" s="1522"/>
      <c r="D194" s="1537"/>
      <c r="E194" s="1537"/>
      <c r="F194" s="1537"/>
      <c r="G194" s="1537"/>
      <c r="H194" s="1753"/>
      <c r="I194" s="1764" t="str">
        <f>I8</f>
        <v>Total funding needs</v>
      </c>
      <c r="J194" s="1765"/>
      <c r="K194" s="1766"/>
      <c r="L194" s="1765"/>
      <c r="M194" s="1767"/>
      <c r="N194" s="1595"/>
      <c r="O194" s="1595"/>
      <c r="P194" s="1758" t="str">
        <f>P8</f>
        <v>Government funding</v>
      </c>
      <c r="Q194" s="1759"/>
      <c r="R194" s="1760"/>
      <c r="S194" s="1759"/>
      <c r="T194" s="1761"/>
      <c r="U194" s="1041"/>
      <c r="V194" s="1041"/>
      <c r="W194" s="1758" t="str">
        <f>U8</f>
        <v xml:space="preserve">External funding: Global Fund </v>
      </c>
      <c r="X194" s="1760"/>
      <c r="Y194" s="1759"/>
      <c r="Z194" s="1759"/>
      <c r="AA194" s="1761"/>
      <c r="AB194" s="1758" t="str">
        <f>Z8</f>
        <v>External funding: other partners</v>
      </c>
      <c r="AC194" s="1760"/>
      <c r="AD194" s="1759"/>
      <c r="AE194" s="1759"/>
      <c r="AF194" s="1761"/>
      <c r="AG194" s="1758" t="str">
        <f>AE8</f>
        <v>External funding: TOTAL</v>
      </c>
      <c r="AH194" s="1760"/>
      <c r="AI194" s="1759"/>
      <c r="AJ194" s="1759"/>
      <c r="AK194" s="1761"/>
      <c r="AL194" s="1758" t="str">
        <f>AJ8</f>
        <v>Funding gap</v>
      </c>
      <c r="AM194" s="1760"/>
      <c r="AN194" s="1759"/>
      <c r="AO194" s="1759"/>
      <c r="AP194" s="1761"/>
      <c r="AQ194" s="1777" t="s">
        <v>1634</v>
      </c>
      <c r="AR194" s="1778"/>
      <c r="AS194" s="1778"/>
      <c r="AT194" s="1779"/>
    </row>
    <row r="195" spans="1:46" ht="28.9" hidden="1" customHeight="1">
      <c r="A195" s="1763"/>
      <c r="B195" s="1754"/>
      <c r="C195" s="1523"/>
      <c r="D195" s="1544"/>
      <c r="E195" s="1544"/>
      <c r="F195" s="1544"/>
      <c r="G195" s="1544"/>
      <c r="H195" s="1754"/>
      <c r="I195" s="1524" t="s">
        <v>995</v>
      </c>
      <c r="J195" s="1524" t="s">
        <v>996</v>
      </c>
      <c r="K195" s="1525"/>
      <c r="L195" s="1524" t="s">
        <v>997</v>
      </c>
      <c r="M195" s="1546" t="s">
        <v>4</v>
      </c>
      <c r="N195" s="1596"/>
      <c r="O195" s="1596"/>
      <c r="P195" s="334" t="s">
        <v>995</v>
      </c>
      <c r="Q195" s="334" t="s">
        <v>996</v>
      </c>
      <c r="R195" s="1113"/>
      <c r="S195" s="334" t="s">
        <v>997</v>
      </c>
      <c r="T195" s="630" t="s">
        <v>4</v>
      </c>
      <c r="U195" s="1042"/>
      <c r="V195" s="1042"/>
      <c r="W195" s="334" t="s">
        <v>995</v>
      </c>
      <c r="X195" s="1113"/>
      <c r="Y195" s="334" t="s">
        <v>996</v>
      </c>
      <c r="Z195" s="334" t="s">
        <v>997</v>
      </c>
      <c r="AA195" s="630" t="s">
        <v>4</v>
      </c>
      <c r="AB195" s="334" t="s">
        <v>995</v>
      </c>
      <c r="AC195" s="1113"/>
      <c r="AD195" s="334" t="s">
        <v>996</v>
      </c>
      <c r="AE195" s="334" t="s">
        <v>997</v>
      </c>
      <c r="AF195" s="630" t="s">
        <v>4</v>
      </c>
      <c r="AG195" s="334" t="s">
        <v>995</v>
      </c>
      <c r="AH195" s="1113"/>
      <c r="AI195" s="334" t="s">
        <v>996</v>
      </c>
      <c r="AJ195" s="334" t="s">
        <v>997</v>
      </c>
      <c r="AK195" s="630" t="s">
        <v>4</v>
      </c>
      <c r="AL195" s="334" t="s">
        <v>995</v>
      </c>
      <c r="AM195" s="1113"/>
      <c r="AN195" s="334" t="s">
        <v>996</v>
      </c>
      <c r="AO195" s="334" t="s">
        <v>997</v>
      </c>
      <c r="AP195" s="630" t="s">
        <v>4</v>
      </c>
      <c r="AQ195" s="728" t="str">
        <f>AL195</f>
        <v>Year 1 (2015)</v>
      </c>
      <c r="AR195" s="728" t="str">
        <f>AN195</f>
        <v>Year 2 (2016)</v>
      </c>
      <c r="AS195" s="728" t="str">
        <f>AO195</f>
        <v>Year 3 (2017)</v>
      </c>
      <c r="AT195" s="730" t="str">
        <f>AP195</f>
        <v>Total</v>
      </c>
    </row>
    <row r="196" spans="1:46" hidden="1">
      <c r="A196" s="344">
        <v>1</v>
      </c>
      <c r="B196" s="1550" t="str">
        <f>B167</f>
        <v>Human resources</v>
      </c>
      <c r="C196" s="1527"/>
      <c r="D196" s="1539"/>
      <c r="E196" s="1539"/>
      <c r="F196" s="1539"/>
      <c r="G196" s="1539"/>
      <c r="H196" s="1575" t="s">
        <v>770</v>
      </c>
      <c r="I196" s="1568" t="e">
        <f t="shared" ref="I196:I214" si="205">I167+I$187*AQ167/100</f>
        <v>#REF!</v>
      </c>
      <c r="J196" s="1568" t="e">
        <f t="shared" ref="J196:J214" si="206">J167+J$187*AR167/100</f>
        <v>#REF!</v>
      </c>
      <c r="K196" s="1576"/>
      <c r="L196" s="1568" t="e">
        <f>L167+L$187*AS167/100</f>
        <v>#REF!</v>
      </c>
      <c r="M196" s="1565" t="e">
        <f t="shared" ref="M196:M214" si="207">SUM(I196:L196)</f>
        <v>#REF!</v>
      </c>
      <c r="N196" s="1603"/>
      <c r="O196" s="1603"/>
      <c r="P196" s="347">
        <f t="shared" ref="P196:P214" si="208">P167+P$187*AU167/100</f>
        <v>0</v>
      </c>
      <c r="Q196" s="347">
        <f t="shared" ref="Q196:Q214" si="209">Q167+Q$187*AV167/100</f>
        <v>0</v>
      </c>
      <c r="R196" s="1117"/>
      <c r="S196" s="347">
        <f t="shared" ref="S196:S211" si="210">S167+S$187*AW167/100</f>
        <v>0</v>
      </c>
      <c r="T196" s="348">
        <f t="shared" ref="T196:T214" si="211">SUM(P196:S196)</f>
        <v>0</v>
      </c>
      <c r="U196" s="1045"/>
      <c r="V196" s="1045"/>
      <c r="W196" s="347">
        <f t="shared" ref="W196:W214" si="212">W167+W$187*AY167/100</f>
        <v>0</v>
      </c>
      <c r="X196" s="1117"/>
      <c r="Y196" s="347">
        <f t="shared" ref="Y196:Y214" si="213">Y167+Y$187*AZ167/100</f>
        <v>0</v>
      </c>
      <c r="Z196" s="347">
        <f t="shared" ref="Z196:Z214" si="214">Z167+Z$187*BA167/100</f>
        <v>0</v>
      </c>
      <c r="AA196" s="348">
        <f t="shared" ref="AA196:AA214" si="215">SUM(W196:Z196)</f>
        <v>0</v>
      </c>
      <c r="AB196" s="347">
        <f t="shared" ref="AB196:AB214" si="216">AB167+AB$187*BC167/100</f>
        <v>0</v>
      </c>
      <c r="AC196" s="1117"/>
      <c r="AD196" s="347">
        <f t="shared" ref="AD196:AD214" si="217">AD167+AD$187*BD167/100</f>
        <v>0</v>
      </c>
      <c r="AE196" s="347">
        <f t="shared" ref="AE196:AE214" si="218">AE167+AE$187*BE167/100</f>
        <v>0</v>
      </c>
      <c r="AF196" s="348">
        <f t="shared" ref="AF196:AF214" si="219">SUM(AB196:AE196)</f>
        <v>0</v>
      </c>
      <c r="AG196" s="347">
        <f t="shared" ref="AG196:AG214" si="220">SUM(W196,AB196)</f>
        <v>0</v>
      </c>
      <c r="AH196" s="1117"/>
      <c r="AI196" s="347">
        <f t="shared" ref="AI196:AI214" si="221">SUM(Y196,AD196)</f>
        <v>0</v>
      </c>
      <c r="AJ196" s="347">
        <f t="shared" ref="AJ196:AJ214" si="222">SUM(Z196,AE196)</f>
        <v>0</v>
      </c>
      <c r="AK196" s="348">
        <f t="shared" ref="AK196:AK214" si="223">SUM(AG196:AJ196)</f>
        <v>0</v>
      </c>
      <c r="AL196" s="347" t="e">
        <f t="shared" ref="AL196:AL214" si="224">I196-(P196+AG196)</f>
        <v>#REF!</v>
      </c>
      <c r="AM196" s="1117"/>
      <c r="AN196" s="347" t="e">
        <f t="shared" ref="AN196:AN214" si="225">J196-(Q196+AI196)</f>
        <v>#REF!</v>
      </c>
      <c r="AO196" s="347" t="e">
        <f t="shared" ref="AO196:AO214" si="226">L196-(S196+AJ196)</f>
        <v>#REF!</v>
      </c>
      <c r="AP196" s="348" t="e">
        <f t="shared" ref="AP196:AP214" si="227">SUM(AL196:AO196)</f>
        <v>#REF!</v>
      </c>
      <c r="AQ196" s="726" t="e">
        <f t="shared" ref="AQ196:AQ215" si="228">I196/I$215%</f>
        <v>#REF!</v>
      </c>
      <c r="AR196" s="726" t="e">
        <f t="shared" ref="AR196:AR215" si="229">J196/J$215%</f>
        <v>#REF!</v>
      </c>
      <c r="AS196" s="726" t="e">
        <f t="shared" ref="AS196:AS215" si="230">L196/L$215%</f>
        <v>#REF!</v>
      </c>
      <c r="AT196" s="727" t="e">
        <f t="shared" ref="AT196:AT215" si="231">M196/M$215%</f>
        <v>#REF!</v>
      </c>
    </row>
    <row r="197" spans="1:46" hidden="1">
      <c r="A197" s="344">
        <v>2</v>
      </c>
      <c r="B197" s="1550" t="str">
        <f t="shared" ref="B197:B214" si="232">B168</f>
        <v>External technical assistance</v>
      </c>
      <c r="C197" s="1527"/>
      <c r="D197" s="1539"/>
      <c r="E197" s="1539"/>
      <c r="F197" s="1539"/>
      <c r="G197" s="1539"/>
      <c r="H197" s="1575" t="s">
        <v>998</v>
      </c>
      <c r="I197" s="1568" t="e">
        <f t="shared" si="205"/>
        <v>#REF!</v>
      </c>
      <c r="J197" s="1568" t="e">
        <f t="shared" si="206"/>
        <v>#REF!</v>
      </c>
      <c r="K197" s="1576"/>
      <c r="L197" s="1568" t="e">
        <f t="shared" ref="L197:L212" si="233">L168+L$187*AS168/100</f>
        <v>#REF!</v>
      </c>
      <c r="M197" s="1565" t="e">
        <f t="shared" si="207"/>
        <v>#REF!</v>
      </c>
      <c r="N197" s="1603"/>
      <c r="O197" s="1603"/>
      <c r="P197" s="347">
        <f t="shared" si="208"/>
        <v>0</v>
      </c>
      <c r="Q197" s="347">
        <f t="shared" si="209"/>
        <v>0</v>
      </c>
      <c r="R197" s="1117"/>
      <c r="S197" s="347">
        <f t="shared" si="210"/>
        <v>0</v>
      </c>
      <c r="T197" s="348">
        <f t="shared" si="211"/>
        <v>0</v>
      </c>
      <c r="U197" s="1045"/>
      <c r="V197" s="1045"/>
      <c r="W197" s="347">
        <f t="shared" si="212"/>
        <v>0</v>
      </c>
      <c r="X197" s="1117"/>
      <c r="Y197" s="347">
        <f t="shared" si="213"/>
        <v>0</v>
      </c>
      <c r="Z197" s="347">
        <f t="shared" si="214"/>
        <v>0</v>
      </c>
      <c r="AA197" s="348">
        <f t="shared" si="215"/>
        <v>0</v>
      </c>
      <c r="AB197" s="347">
        <f t="shared" si="216"/>
        <v>0</v>
      </c>
      <c r="AC197" s="1117"/>
      <c r="AD197" s="347">
        <f t="shared" si="217"/>
        <v>0</v>
      </c>
      <c r="AE197" s="347">
        <f t="shared" si="218"/>
        <v>0</v>
      </c>
      <c r="AF197" s="348">
        <f t="shared" si="219"/>
        <v>0</v>
      </c>
      <c r="AG197" s="347">
        <f t="shared" si="220"/>
        <v>0</v>
      </c>
      <c r="AH197" s="1117"/>
      <c r="AI197" s="347">
        <f t="shared" si="221"/>
        <v>0</v>
      </c>
      <c r="AJ197" s="347">
        <f t="shared" si="222"/>
        <v>0</v>
      </c>
      <c r="AK197" s="348">
        <f t="shared" si="223"/>
        <v>0</v>
      </c>
      <c r="AL197" s="347" t="e">
        <f t="shared" si="224"/>
        <v>#REF!</v>
      </c>
      <c r="AM197" s="1117"/>
      <c r="AN197" s="347" t="e">
        <f t="shared" si="225"/>
        <v>#REF!</v>
      </c>
      <c r="AO197" s="347" t="e">
        <f t="shared" si="226"/>
        <v>#REF!</v>
      </c>
      <c r="AP197" s="348" t="e">
        <f t="shared" si="227"/>
        <v>#REF!</v>
      </c>
      <c r="AQ197" s="726" t="e">
        <f t="shared" si="228"/>
        <v>#REF!</v>
      </c>
      <c r="AR197" s="726" t="e">
        <f t="shared" si="229"/>
        <v>#REF!</v>
      </c>
      <c r="AS197" s="726" t="e">
        <f t="shared" si="230"/>
        <v>#REF!</v>
      </c>
      <c r="AT197" s="727" t="e">
        <f t="shared" si="231"/>
        <v>#REF!</v>
      </c>
    </row>
    <row r="198" spans="1:46" hidden="1">
      <c r="A198" s="344">
        <v>3</v>
      </c>
      <c r="B198" s="1550" t="str">
        <f t="shared" si="232"/>
        <v>Technical working groups</v>
      </c>
      <c r="C198" s="1527"/>
      <c r="D198" s="1539"/>
      <c r="E198" s="1539"/>
      <c r="F198" s="1539"/>
      <c r="G198" s="1539"/>
      <c r="H198" s="1575" t="s">
        <v>999</v>
      </c>
      <c r="I198" s="1568" t="e">
        <f t="shared" si="205"/>
        <v>#REF!</v>
      </c>
      <c r="J198" s="1568" t="e">
        <f t="shared" si="206"/>
        <v>#REF!</v>
      </c>
      <c r="K198" s="1576"/>
      <c r="L198" s="1568" t="e">
        <f t="shared" si="233"/>
        <v>#REF!</v>
      </c>
      <c r="M198" s="1565" t="e">
        <f t="shared" si="207"/>
        <v>#REF!</v>
      </c>
      <c r="N198" s="1603"/>
      <c r="O198" s="1603"/>
      <c r="P198" s="347">
        <f t="shared" si="208"/>
        <v>0</v>
      </c>
      <c r="Q198" s="347">
        <f t="shared" si="209"/>
        <v>0</v>
      </c>
      <c r="R198" s="1117"/>
      <c r="S198" s="347">
        <f t="shared" si="210"/>
        <v>0</v>
      </c>
      <c r="T198" s="348">
        <f t="shared" si="211"/>
        <v>0</v>
      </c>
      <c r="U198" s="1045"/>
      <c r="V198" s="1045"/>
      <c r="W198" s="347">
        <f t="shared" si="212"/>
        <v>0</v>
      </c>
      <c r="X198" s="1117"/>
      <c r="Y198" s="347">
        <f t="shared" si="213"/>
        <v>0</v>
      </c>
      <c r="Z198" s="347">
        <f t="shared" si="214"/>
        <v>0</v>
      </c>
      <c r="AA198" s="348">
        <f t="shared" si="215"/>
        <v>0</v>
      </c>
      <c r="AB198" s="347">
        <f t="shared" si="216"/>
        <v>0</v>
      </c>
      <c r="AC198" s="1117"/>
      <c r="AD198" s="347">
        <f t="shared" si="217"/>
        <v>0</v>
      </c>
      <c r="AE198" s="347">
        <f t="shared" si="218"/>
        <v>0</v>
      </c>
      <c r="AF198" s="348">
        <f t="shared" si="219"/>
        <v>0</v>
      </c>
      <c r="AG198" s="347">
        <f t="shared" si="220"/>
        <v>0</v>
      </c>
      <c r="AH198" s="1117"/>
      <c r="AI198" s="347">
        <f t="shared" si="221"/>
        <v>0</v>
      </c>
      <c r="AJ198" s="347">
        <f t="shared" si="222"/>
        <v>0</v>
      </c>
      <c r="AK198" s="348">
        <f t="shared" si="223"/>
        <v>0</v>
      </c>
      <c r="AL198" s="347" t="e">
        <f t="shared" si="224"/>
        <v>#REF!</v>
      </c>
      <c r="AM198" s="1117"/>
      <c r="AN198" s="347" t="e">
        <f t="shared" si="225"/>
        <v>#REF!</v>
      </c>
      <c r="AO198" s="347" t="e">
        <f t="shared" si="226"/>
        <v>#REF!</v>
      </c>
      <c r="AP198" s="348" t="e">
        <f t="shared" si="227"/>
        <v>#REF!</v>
      </c>
      <c r="AQ198" s="726" t="e">
        <f t="shared" si="228"/>
        <v>#REF!</v>
      </c>
      <c r="AR198" s="726" t="e">
        <f t="shared" si="229"/>
        <v>#REF!</v>
      </c>
      <c r="AS198" s="726" t="e">
        <f t="shared" si="230"/>
        <v>#REF!</v>
      </c>
      <c r="AT198" s="727" t="e">
        <f t="shared" si="231"/>
        <v>#REF!</v>
      </c>
    </row>
    <row r="199" spans="1:46" hidden="1">
      <c r="A199" s="344">
        <v>4</v>
      </c>
      <c r="B199" s="1550" t="str">
        <f t="shared" si="232"/>
        <v>National consultants</v>
      </c>
      <c r="C199" s="1527"/>
      <c r="D199" s="1539"/>
      <c r="E199" s="1539"/>
      <c r="F199" s="1539"/>
      <c r="G199" s="1539"/>
      <c r="H199" s="1575" t="s">
        <v>1000</v>
      </c>
      <c r="I199" s="1568" t="e">
        <f t="shared" si="205"/>
        <v>#REF!</v>
      </c>
      <c r="J199" s="1568" t="e">
        <f t="shared" si="206"/>
        <v>#REF!</v>
      </c>
      <c r="K199" s="1576"/>
      <c r="L199" s="1568" t="e">
        <f t="shared" si="233"/>
        <v>#REF!</v>
      </c>
      <c r="M199" s="1565" t="e">
        <f t="shared" si="207"/>
        <v>#REF!</v>
      </c>
      <c r="N199" s="1603"/>
      <c r="O199" s="1603"/>
      <c r="P199" s="347">
        <f t="shared" si="208"/>
        <v>0</v>
      </c>
      <c r="Q199" s="347">
        <f t="shared" si="209"/>
        <v>0</v>
      </c>
      <c r="R199" s="1117"/>
      <c r="S199" s="347">
        <f t="shared" si="210"/>
        <v>0</v>
      </c>
      <c r="T199" s="348">
        <f t="shared" si="211"/>
        <v>0</v>
      </c>
      <c r="U199" s="1045"/>
      <c r="V199" s="1045"/>
      <c r="W199" s="347">
        <f t="shared" si="212"/>
        <v>0</v>
      </c>
      <c r="X199" s="1117"/>
      <c r="Y199" s="347">
        <f t="shared" si="213"/>
        <v>0</v>
      </c>
      <c r="Z199" s="347">
        <f t="shared" si="214"/>
        <v>0</v>
      </c>
      <c r="AA199" s="348">
        <f t="shared" si="215"/>
        <v>0</v>
      </c>
      <c r="AB199" s="347">
        <f t="shared" si="216"/>
        <v>0</v>
      </c>
      <c r="AC199" s="1117"/>
      <c r="AD199" s="347">
        <f t="shared" si="217"/>
        <v>0</v>
      </c>
      <c r="AE199" s="347">
        <f t="shared" si="218"/>
        <v>0</v>
      </c>
      <c r="AF199" s="348">
        <f t="shared" si="219"/>
        <v>0</v>
      </c>
      <c r="AG199" s="347">
        <f t="shared" si="220"/>
        <v>0</v>
      </c>
      <c r="AH199" s="1117"/>
      <c r="AI199" s="347">
        <f t="shared" si="221"/>
        <v>0</v>
      </c>
      <c r="AJ199" s="347">
        <f t="shared" si="222"/>
        <v>0</v>
      </c>
      <c r="AK199" s="348">
        <f t="shared" si="223"/>
        <v>0</v>
      </c>
      <c r="AL199" s="347" t="e">
        <f t="shared" si="224"/>
        <v>#REF!</v>
      </c>
      <c r="AM199" s="1117"/>
      <c r="AN199" s="347" t="e">
        <f t="shared" si="225"/>
        <v>#REF!</v>
      </c>
      <c r="AO199" s="347" t="e">
        <f t="shared" si="226"/>
        <v>#REF!</v>
      </c>
      <c r="AP199" s="348" t="e">
        <f t="shared" si="227"/>
        <v>#REF!</v>
      </c>
      <c r="AQ199" s="726" t="e">
        <f t="shared" si="228"/>
        <v>#REF!</v>
      </c>
      <c r="AR199" s="726" t="e">
        <f t="shared" si="229"/>
        <v>#REF!</v>
      </c>
      <c r="AS199" s="726" t="e">
        <f t="shared" si="230"/>
        <v>#REF!</v>
      </c>
      <c r="AT199" s="727" t="e">
        <f t="shared" si="231"/>
        <v>#REF!</v>
      </c>
    </row>
    <row r="200" spans="1:46" hidden="1">
      <c r="A200" s="344">
        <v>5</v>
      </c>
      <c r="B200" s="1550" t="str">
        <f t="shared" si="232"/>
        <v>Local training</v>
      </c>
      <c r="C200" s="1527"/>
      <c r="D200" s="1539"/>
      <c r="E200" s="1539"/>
      <c r="F200" s="1539"/>
      <c r="G200" s="1539"/>
      <c r="H200" s="1575" t="s">
        <v>754</v>
      </c>
      <c r="I200" s="1568" t="e">
        <f t="shared" si="205"/>
        <v>#REF!</v>
      </c>
      <c r="J200" s="1568" t="e">
        <f t="shared" si="206"/>
        <v>#REF!</v>
      </c>
      <c r="K200" s="1576"/>
      <c r="L200" s="1568" t="e">
        <f t="shared" si="233"/>
        <v>#REF!</v>
      </c>
      <c r="M200" s="1565" t="e">
        <f t="shared" si="207"/>
        <v>#REF!</v>
      </c>
      <c r="N200" s="1603"/>
      <c r="O200" s="1603"/>
      <c r="P200" s="347">
        <f t="shared" si="208"/>
        <v>0</v>
      </c>
      <c r="Q200" s="347">
        <f t="shared" si="209"/>
        <v>0</v>
      </c>
      <c r="R200" s="1117"/>
      <c r="S200" s="347">
        <f t="shared" si="210"/>
        <v>0</v>
      </c>
      <c r="T200" s="348">
        <f t="shared" si="211"/>
        <v>0</v>
      </c>
      <c r="U200" s="1045"/>
      <c r="V200" s="1045"/>
      <c r="W200" s="347">
        <f t="shared" si="212"/>
        <v>0</v>
      </c>
      <c r="X200" s="1117"/>
      <c r="Y200" s="347">
        <f t="shared" si="213"/>
        <v>0</v>
      </c>
      <c r="Z200" s="347">
        <f t="shared" si="214"/>
        <v>0</v>
      </c>
      <c r="AA200" s="348">
        <f t="shared" si="215"/>
        <v>0</v>
      </c>
      <c r="AB200" s="347">
        <f t="shared" si="216"/>
        <v>0</v>
      </c>
      <c r="AC200" s="1117"/>
      <c r="AD200" s="347">
        <f t="shared" si="217"/>
        <v>0</v>
      </c>
      <c r="AE200" s="347">
        <f t="shared" si="218"/>
        <v>0</v>
      </c>
      <c r="AF200" s="348">
        <f t="shared" si="219"/>
        <v>0</v>
      </c>
      <c r="AG200" s="347">
        <f t="shared" si="220"/>
        <v>0</v>
      </c>
      <c r="AH200" s="1117"/>
      <c r="AI200" s="347">
        <f t="shared" si="221"/>
        <v>0</v>
      </c>
      <c r="AJ200" s="347">
        <f t="shared" si="222"/>
        <v>0</v>
      </c>
      <c r="AK200" s="348">
        <f t="shared" si="223"/>
        <v>0</v>
      </c>
      <c r="AL200" s="347" t="e">
        <f t="shared" si="224"/>
        <v>#REF!</v>
      </c>
      <c r="AM200" s="1117"/>
      <c r="AN200" s="347" t="e">
        <f t="shared" si="225"/>
        <v>#REF!</v>
      </c>
      <c r="AO200" s="347" t="e">
        <f t="shared" si="226"/>
        <v>#REF!</v>
      </c>
      <c r="AP200" s="348" t="e">
        <f t="shared" si="227"/>
        <v>#REF!</v>
      </c>
      <c r="AQ200" s="726" t="e">
        <f t="shared" si="228"/>
        <v>#REF!</v>
      </c>
      <c r="AR200" s="726" t="e">
        <f t="shared" si="229"/>
        <v>#REF!</v>
      </c>
      <c r="AS200" s="726" t="e">
        <f t="shared" si="230"/>
        <v>#REF!</v>
      </c>
      <c r="AT200" s="727" t="e">
        <f t="shared" si="231"/>
        <v>#REF!</v>
      </c>
    </row>
    <row r="201" spans="1:46" hidden="1">
      <c r="A201" s="344">
        <v>6</v>
      </c>
      <c r="B201" s="1550" t="str">
        <f t="shared" si="232"/>
        <v>International training</v>
      </c>
      <c r="C201" s="1527"/>
      <c r="D201" s="1539"/>
      <c r="E201" s="1539"/>
      <c r="F201" s="1539"/>
      <c r="G201" s="1539"/>
      <c r="H201" s="1575" t="s">
        <v>1002</v>
      </c>
      <c r="I201" s="1568" t="e">
        <f t="shared" si="205"/>
        <v>#REF!</v>
      </c>
      <c r="J201" s="1568" t="e">
        <f t="shared" si="206"/>
        <v>#REF!</v>
      </c>
      <c r="K201" s="1576"/>
      <c r="L201" s="1568" t="e">
        <f t="shared" si="233"/>
        <v>#REF!</v>
      </c>
      <c r="M201" s="1565" t="e">
        <f t="shared" si="207"/>
        <v>#REF!</v>
      </c>
      <c r="N201" s="1603"/>
      <c r="O201" s="1603"/>
      <c r="P201" s="347">
        <f t="shared" si="208"/>
        <v>0</v>
      </c>
      <c r="Q201" s="347">
        <f t="shared" si="209"/>
        <v>0</v>
      </c>
      <c r="R201" s="1117"/>
      <c r="S201" s="347">
        <f t="shared" si="210"/>
        <v>0</v>
      </c>
      <c r="T201" s="348">
        <f t="shared" si="211"/>
        <v>0</v>
      </c>
      <c r="U201" s="1045"/>
      <c r="V201" s="1045"/>
      <c r="W201" s="347">
        <f t="shared" si="212"/>
        <v>0</v>
      </c>
      <c r="X201" s="1117"/>
      <c r="Y201" s="347">
        <f t="shared" si="213"/>
        <v>0</v>
      </c>
      <c r="Z201" s="347">
        <f t="shared" si="214"/>
        <v>0</v>
      </c>
      <c r="AA201" s="348">
        <f t="shared" si="215"/>
        <v>0</v>
      </c>
      <c r="AB201" s="347">
        <f t="shared" si="216"/>
        <v>0</v>
      </c>
      <c r="AC201" s="1117"/>
      <c r="AD201" s="347">
        <f t="shared" si="217"/>
        <v>0</v>
      </c>
      <c r="AE201" s="347">
        <f t="shared" si="218"/>
        <v>0</v>
      </c>
      <c r="AF201" s="348">
        <f t="shared" si="219"/>
        <v>0</v>
      </c>
      <c r="AG201" s="347">
        <f t="shared" si="220"/>
        <v>0</v>
      </c>
      <c r="AH201" s="1117"/>
      <c r="AI201" s="347">
        <f t="shared" si="221"/>
        <v>0</v>
      </c>
      <c r="AJ201" s="347">
        <f t="shared" si="222"/>
        <v>0</v>
      </c>
      <c r="AK201" s="348">
        <f t="shared" si="223"/>
        <v>0</v>
      </c>
      <c r="AL201" s="347" t="e">
        <f t="shared" si="224"/>
        <v>#REF!</v>
      </c>
      <c r="AM201" s="1117"/>
      <c r="AN201" s="347" t="e">
        <f t="shared" si="225"/>
        <v>#REF!</v>
      </c>
      <c r="AO201" s="347" t="e">
        <f t="shared" si="226"/>
        <v>#REF!</v>
      </c>
      <c r="AP201" s="348" t="e">
        <f t="shared" si="227"/>
        <v>#REF!</v>
      </c>
      <c r="AQ201" s="726" t="e">
        <f t="shared" si="228"/>
        <v>#REF!</v>
      </c>
      <c r="AR201" s="726" t="e">
        <f t="shared" si="229"/>
        <v>#REF!</v>
      </c>
      <c r="AS201" s="726" t="e">
        <f t="shared" si="230"/>
        <v>#REF!</v>
      </c>
      <c r="AT201" s="727" t="e">
        <f t="shared" si="231"/>
        <v>#REF!</v>
      </c>
    </row>
    <row r="202" spans="1:46" hidden="1">
      <c r="A202" s="344">
        <v>7</v>
      </c>
      <c r="B202" s="1550" t="str">
        <f t="shared" si="232"/>
        <v>Anti-TB drugs</v>
      </c>
      <c r="C202" s="1527"/>
      <c r="D202" s="1539"/>
      <c r="E202" s="1539"/>
      <c r="F202" s="1539"/>
      <c r="G202" s="1539"/>
      <c r="H202" s="1575" t="s">
        <v>1005</v>
      </c>
      <c r="I202" s="1568" t="e">
        <f t="shared" si="205"/>
        <v>#REF!</v>
      </c>
      <c r="J202" s="1568" t="e">
        <f t="shared" si="206"/>
        <v>#REF!</v>
      </c>
      <c r="K202" s="1576"/>
      <c r="L202" s="1568" t="e">
        <f t="shared" si="233"/>
        <v>#REF!</v>
      </c>
      <c r="M202" s="1565" t="e">
        <f t="shared" si="207"/>
        <v>#REF!</v>
      </c>
      <c r="N202" s="1603"/>
      <c r="O202" s="1603"/>
      <c r="P202" s="347">
        <f t="shared" si="208"/>
        <v>0</v>
      </c>
      <c r="Q202" s="347">
        <f t="shared" si="209"/>
        <v>0</v>
      </c>
      <c r="R202" s="1117"/>
      <c r="S202" s="347">
        <f t="shared" si="210"/>
        <v>0</v>
      </c>
      <c r="T202" s="348">
        <f t="shared" si="211"/>
        <v>0</v>
      </c>
      <c r="U202" s="1045"/>
      <c r="V202" s="1045"/>
      <c r="W202" s="347">
        <f t="shared" si="212"/>
        <v>0</v>
      </c>
      <c r="X202" s="1117"/>
      <c r="Y202" s="347">
        <f t="shared" si="213"/>
        <v>0</v>
      </c>
      <c r="Z202" s="347">
        <f t="shared" si="214"/>
        <v>0</v>
      </c>
      <c r="AA202" s="348">
        <f t="shared" si="215"/>
        <v>0</v>
      </c>
      <c r="AB202" s="347">
        <f t="shared" si="216"/>
        <v>0</v>
      </c>
      <c r="AC202" s="1117"/>
      <c r="AD202" s="347">
        <f t="shared" si="217"/>
        <v>0</v>
      </c>
      <c r="AE202" s="347">
        <f t="shared" si="218"/>
        <v>0</v>
      </c>
      <c r="AF202" s="348">
        <f t="shared" si="219"/>
        <v>0</v>
      </c>
      <c r="AG202" s="347">
        <f t="shared" si="220"/>
        <v>0</v>
      </c>
      <c r="AH202" s="1117"/>
      <c r="AI202" s="347">
        <f t="shared" si="221"/>
        <v>0</v>
      </c>
      <c r="AJ202" s="347">
        <f t="shared" si="222"/>
        <v>0</v>
      </c>
      <c r="AK202" s="348">
        <f t="shared" si="223"/>
        <v>0</v>
      </c>
      <c r="AL202" s="347" t="e">
        <f t="shared" si="224"/>
        <v>#REF!</v>
      </c>
      <c r="AM202" s="1117"/>
      <c r="AN202" s="347" t="e">
        <f t="shared" si="225"/>
        <v>#REF!</v>
      </c>
      <c r="AO202" s="347" t="e">
        <f t="shared" si="226"/>
        <v>#REF!</v>
      </c>
      <c r="AP202" s="348" t="e">
        <f t="shared" si="227"/>
        <v>#REF!</v>
      </c>
      <c r="AQ202" s="726" t="e">
        <f t="shared" si="228"/>
        <v>#REF!</v>
      </c>
      <c r="AR202" s="726" t="e">
        <f t="shared" si="229"/>
        <v>#REF!</v>
      </c>
      <c r="AS202" s="726" t="e">
        <f t="shared" si="230"/>
        <v>#REF!</v>
      </c>
      <c r="AT202" s="727" t="e">
        <f t="shared" si="231"/>
        <v>#REF!</v>
      </c>
    </row>
    <row r="203" spans="1:46" hidden="1">
      <c r="A203" s="344">
        <v>8</v>
      </c>
      <c r="B203" s="1550" t="str">
        <f t="shared" si="232"/>
        <v>Other drugs</v>
      </c>
      <c r="C203" s="1527"/>
      <c r="D203" s="1539"/>
      <c r="E203" s="1539"/>
      <c r="F203" s="1539"/>
      <c r="G203" s="1539"/>
      <c r="H203" s="1575" t="s">
        <v>1020</v>
      </c>
      <c r="I203" s="1568" t="e">
        <f t="shared" si="205"/>
        <v>#REF!</v>
      </c>
      <c r="J203" s="1568" t="e">
        <f t="shared" si="206"/>
        <v>#REF!</v>
      </c>
      <c r="K203" s="1576"/>
      <c r="L203" s="1568" t="e">
        <f t="shared" si="233"/>
        <v>#REF!</v>
      </c>
      <c r="M203" s="1565" t="e">
        <f t="shared" si="207"/>
        <v>#REF!</v>
      </c>
      <c r="N203" s="1603"/>
      <c r="O203" s="1603"/>
      <c r="P203" s="347">
        <f t="shared" si="208"/>
        <v>0</v>
      </c>
      <c r="Q203" s="347">
        <f t="shared" si="209"/>
        <v>0</v>
      </c>
      <c r="R203" s="1117"/>
      <c r="S203" s="347">
        <f t="shared" si="210"/>
        <v>0</v>
      </c>
      <c r="T203" s="348">
        <f t="shared" si="211"/>
        <v>0</v>
      </c>
      <c r="U203" s="1045"/>
      <c r="V203" s="1045"/>
      <c r="W203" s="347">
        <f t="shared" si="212"/>
        <v>0</v>
      </c>
      <c r="X203" s="1117"/>
      <c r="Y203" s="347">
        <f t="shared" si="213"/>
        <v>0</v>
      </c>
      <c r="Z203" s="347">
        <f t="shared" si="214"/>
        <v>0</v>
      </c>
      <c r="AA203" s="348">
        <f t="shared" si="215"/>
        <v>0</v>
      </c>
      <c r="AB203" s="347">
        <f t="shared" si="216"/>
        <v>0</v>
      </c>
      <c r="AC203" s="1117"/>
      <c r="AD203" s="347">
        <f t="shared" si="217"/>
        <v>0</v>
      </c>
      <c r="AE203" s="347">
        <f t="shared" si="218"/>
        <v>0</v>
      </c>
      <c r="AF203" s="348">
        <f t="shared" si="219"/>
        <v>0</v>
      </c>
      <c r="AG203" s="347">
        <f t="shared" si="220"/>
        <v>0</v>
      </c>
      <c r="AH203" s="1117"/>
      <c r="AI203" s="347">
        <f t="shared" si="221"/>
        <v>0</v>
      </c>
      <c r="AJ203" s="347">
        <f t="shared" si="222"/>
        <v>0</v>
      </c>
      <c r="AK203" s="348">
        <f t="shared" si="223"/>
        <v>0</v>
      </c>
      <c r="AL203" s="347" t="e">
        <f t="shared" si="224"/>
        <v>#REF!</v>
      </c>
      <c r="AM203" s="1117"/>
      <c r="AN203" s="347" t="e">
        <f t="shared" si="225"/>
        <v>#REF!</v>
      </c>
      <c r="AO203" s="347" t="e">
        <f t="shared" si="226"/>
        <v>#REF!</v>
      </c>
      <c r="AP203" s="348" t="e">
        <f t="shared" si="227"/>
        <v>#REF!</v>
      </c>
      <c r="AQ203" s="726" t="e">
        <f t="shared" si="228"/>
        <v>#REF!</v>
      </c>
      <c r="AR203" s="726" t="e">
        <f t="shared" si="229"/>
        <v>#REF!</v>
      </c>
      <c r="AS203" s="726" t="e">
        <f t="shared" si="230"/>
        <v>#REF!</v>
      </c>
      <c r="AT203" s="727" t="e">
        <f t="shared" si="231"/>
        <v>#REF!</v>
      </c>
    </row>
    <row r="204" spans="1:46" hidden="1">
      <c r="A204" s="344">
        <v>9</v>
      </c>
      <c r="B204" s="1550" t="str">
        <f t="shared" si="232"/>
        <v>Medical equipment and other equipment</v>
      </c>
      <c r="C204" s="1527"/>
      <c r="D204" s="1539"/>
      <c r="E204" s="1539"/>
      <c r="F204" s="1539"/>
      <c r="G204" s="1539"/>
      <c r="H204" s="1575" t="s">
        <v>49</v>
      </c>
      <c r="I204" s="1568" t="e">
        <f t="shared" si="205"/>
        <v>#REF!</v>
      </c>
      <c r="J204" s="1568" t="e">
        <f t="shared" si="206"/>
        <v>#REF!</v>
      </c>
      <c r="K204" s="1576"/>
      <c r="L204" s="1568" t="e">
        <f t="shared" si="233"/>
        <v>#REF!</v>
      </c>
      <c r="M204" s="1565" t="e">
        <f t="shared" si="207"/>
        <v>#REF!</v>
      </c>
      <c r="N204" s="1603"/>
      <c r="O204" s="1603"/>
      <c r="P204" s="347">
        <f t="shared" si="208"/>
        <v>0</v>
      </c>
      <c r="Q204" s="347">
        <f t="shared" si="209"/>
        <v>0</v>
      </c>
      <c r="R204" s="1117"/>
      <c r="S204" s="347">
        <f t="shared" si="210"/>
        <v>0</v>
      </c>
      <c r="T204" s="348">
        <f t="shared" si="211"/>
        <v>0</v>
      </c>
      <c r="U204" s="1045"/>
      <c r="V204" s="1045"/>
      <c r="W204" s="347">
        <f t="shared" si="212"/>
        <v>0</v>
      </c>
      <c r="X204" s="1117"/>
      <c r="Y204" s="347">
        <f t="shared" si="213"/>
        <v>0</v>
      </c>
      <c r="Z204" s="347">
        <f t="shared" si="214"/>
        <v>0</v>
      </c>
      <c r="AA204" s="348">
        <f t="shared" si="215"/>
        <v>0</v>
      </c>
      <c r="AB204" s="347">
        <f t="shared" si="216"/>
        <v>0</v>
      </c>
      <c r="AC204" s="1117"/>
      <c r="AD204" s="347">
        <f t="shared" si="217"/>
        <v>0</v>
      </c>
      <c r="AE204" s="347">
        <f t="shared" si="218"/>
        <v>0</v>
      </c>
      <c r="AF204" s="348">
        <f t="shared" si="219"/>
        <v>0</v>
      </c>
      <c r="AG204" s="347">
        <f t="shared" si="220"/>
        <v>0</v>
      </c>
      <c r="AH204" s="1117"/>
      <c r="AI204" s="347">
        <f t="shared" si="221"/>
        <v>0</v>
      </c>
      <c r="AJ204" s="347">
        <f t="shared" si="222"/>
        <v>0</v>
      </c>
      <c r="AK204" s="348">
        <f t="shared" si="223"/>
        <v>0</v>
      </c>
      <c r="AL204" s="347" t="e">
        <f t="shared" si="224"/>
        <v>#REF!</v>
      </c>
      <c r="AM204" s="1117"/>
      <c r="AN204" s="347" t="e">
        <f t="shared" si="225"/>
        <v>#REF!</v>
      </c>
      <c r="AO204" s="347" t="e">
        <f t="shared" si="226"/>
        <v>#REF!</v>
      </c>
      <c r="AP204" s="348" t="e">
        <f t="shared" si="227"/>
        <v>#REF!</v>
      </c>
      <c r="AQ204" s="726" t="e">
        <f t="shared" si="228"/>
        <v>#REF!</v>
      </c>
      <c r="AR204" s="726" t="e">
        <f t="shared" si="229"/>
        <v>#REF!</v>
      </c>
      <c r="AS204" s="726" t="e">
        <f t="shared" si="230"/>
        <v>#REF!</v>
      </c>
      <c r="AT204" s="727" t="e">
        <f t="shared" si="231"/>
        <v>#REF!</v>
      </c>
    </row>
    <row r="205" spans="1:46" hidden="1">
      <c r="A205" s="344">
        <v>10</v>
      </c>
      <c r="B205" s="1550" t="str">
        <f t="shared" si="232"/>
        <v>Medical supplies</v>
      </c>
      <c r="C205" s="1527"/>
      <c r="D205" s="1539"/>
      <c r="E205" s="1539"/>
      <c r="F205" s="1539"/>
      <c r="G205" s="1539"/>
      <c r="H205" s="1575" t="s">
        <v>156</v>
      </c>
      <c r="I205" s="1568" t="e">
        <f t="shared" si="205"/>
        <v>#REF!</v>
      </c>
      <c r="J205" s="1568" t="e">
        <f t="shared" si="206"/>
        <v>#REF!</v>
      </c>
      <c r="K205" s="1576"/>
      <c r="L205" s="1568" t="e">
        <f t="shared" si="233"/>
        <v>#REF!</v>
      </c>
      <c r="M205" s="1565" t="e">
        <f t="shared" si="207"/>
        <v>#REF!</v>
      </c>
      <c r="N205" s="1603"/>
      <c r="O205" s="1603"/>
      <c r="P205" s="347">
        <f t="shared" si="208"/>
        <v>0</v>
      </c>
      <c r="Q205" s="347">
        <f t="shared" si="209"/>
        <v>0</v>
      </c>
      <c r="R205" s="1117"/>
      <c r="S205" s="347">
        <f t="shared" si="210"/>
        <v>0</v>
      </c>
      <c r="T205" s="348">
        <f t="shared" si="211"/>
        <v>0</v>
      </c>
      <c r="U205" s="1045"/>
      <c r="V205" s="1045"/>
      <c r="W205" s="347">
        <f t="shared" si="212"/>
        <v>0</v>
      </c>
      <c r="X205" s="1117"/>
      <c r="Y205" s="347">
        <f t="shared" si="213"/>
        <v>0</v>
      </c>
      <c r="Z205" s="347">
        <f t="shared" si="214"/>
        <v>0</v>
      </c>
      <c r="AA205" s="348">
        <f t="shared" si="215"/>
        <v>0</v>
      </c>
      <c r="AB205" s="347">
        <f t="shared" si="216"/>
        <v>0</v>
      </c>
      <c r="AC205" s="1117"/>
      <c r="AD205" s="347">
        <f t="shared" si="217"/>
        <v>0</v>
      </c>
      <c r="AE205" s="347">
        <f t="shared" si="218"/>
        <v>0</v>
      </c>
      <c r="AF205" s="348">
        <f t="shared" si="219"/>
        <v>0</v>
      </c>
      <c r="AG205" s="347">
        <f t="shared" si="220"/>
        <v>0</v>
      </c>
      <c r="AH205" s="1117"/>
      <c r="AI205" s="347">
        <f t="shared" si="221"/>
        <v>0</v>
      </c>
      <c r="AJ205" s="347">
        <f t="shared" si="222"/>
        <v>0</v>
      </c>
      <c r="AK205" s="348">
        <f t="shared" si="223"/>
        <v>0</v>
      </c>
      <c r="AL205" s="347" t="e">
        <f t="shared" si="224"/>
        <v>#REF!</v>
      </c>
      <c r="AM205" s="1117"/>
      <c r="AN205" s="347" t="e">
        <f t="shared" si="225"/>
        <v>#REF!</v>
      </c>
      <c r="AO205" s="347" t="e">
        <f t="shared" si="226"/>
        <v>#REF!</v>
      </c>
      <c r="AP205" s="348" t="e">
        <f t="shared" si="227"/>
        <v>#REF!</v>
      </c>
      <c r="AQ205" s="726" t="e">
        <f t="shared" si="228"/>
        <v>#REF!</v>
      </c>
      <c r="AR205" s="726" t="e">
        <f t="shared" si="229"/>
        <v>#REF!</v>
      </c>
      <c r="AS205" s="726" t="e">
        <f t="shared" si="230"/>
        <v>#REF!</v>
      </c>
      <c r="AT205" s="727" t="e">
        <f t="shared" si="231"/>
        <v>#REF!</v>
      </c>
    </row>
    <row r="206" spans="1:46" hidden="1">
      <c r="A206" s="344">
        <v>11</v>
      </c>
      <c r="B206" s="1550" t="str">
        <f t="shared" si="232"/>
        <v>Procurement and supply management costs</v>
      </c>
      <c r="C206" s="1527"/>
      <c r="D206" s="1539"/>
      <c r="E206" s="1539"/>
      <c r="F206" s="1539"/>
      <c r="G206" s="1539"/>
      <c r="H206" s="1575" t="s">
        <v>1631</v>
      </c>
      <c r="I206" s="1568" t="e">
        <f t="shared" si="205"/>
        <v>#REF!</v>
      </c>
      <c r="J206" s="1568" t="e">
        <f t="shared" si="206"/>
        <v>#REF!</v>
      </c>
      <c r="K206" s="1576"/>
      <c r="L206" s="1568" t="e">
        <f t="shared" si="233"/>
        <v>#REF!</v>
      </c>
      <c r="M206" s="1565" t="e">
        <f t="shared" si="207"/>
        <v>#REF!</v>
      </c>
      <c r="N206" s="1603"/>
      <c r="O206" s="1603"/>
      <c r="P206" s="347">
        <f t="shared" si="208"/>
        <v>0</v>
      </c>
      <c r="Q206" s="347">
        <f t="shared" si="209"/>
        <v>0</v>
      </c>
      <c r="R206" s="1117"/>
      <c r="S206" s="347">
        <f t="shared" si="210"/>
        <v>0</v>
      </c>
      <c r="T206" s="348">
        <f t="shared" si="211"/>
        <v>0</v>
      </c>
      <c r="U206" s="1045"/>
      <c r="V206" s="1045"/>
      <c r="W206" s="347">
        <f t="shared" si="212"/>
        <v>0</v>
      </c>
      <c r="X206" s="1117"/>
      <c r="Y206" s="347">
        <f t="shared" si="213"/>
        <v>0</v>
      </c>
      <c r="Z206" s="347">
        <f t="shared" si="214"/>
        <v>0</v>
      </c>
      <c r="AA206" s="348">
        <f t="shared" si="215"/>
        <v>0</v>
      </c>
      <c r="AB206" s="347">
        <f t="shared" si="216"/>
        <v>0</v>
      </c>
      <c r="AC206" s="1117"/>
      <c r="AD206" s="347">
        <f t="shared" si="217"/>
        <v>0</v>
      </c>
      <c r="AE206" s="347">
        <f t="shared" si="218"/>
        <v>0</v>
      </c>
      <c r="AF206" s="348">
        <f t="shared" si="219"/>
        <v>0</v>
      </c>
      <c r="AG206" s="347">
        <f t="shared" si="220"/>
        <v>0</v>
      </c>
      <c r="AH206" s="1117"/>
      <c r="AI206" s="347">
        <f t="shared" si="221"/>
        <v>0</v>
      </c>
      <c r="AJ206" s="347">
        <f t="shared" si="222"/>
        <v>0</v>
      </c>
      <c r="AK206" s="348">
        <f t="shared" si="223"/>
        <v>0</v>
      </c>
      <c r="AL206" s="347" t="e">
        <f t="shared" si="224"/>
        <v>#REF!</v>
      </c>
      <c r="AM206" s="1117"/>
      <c r="AN206" s="347" t="e">
        <f t="shared" si="225"/>
        <v>#REF!</v>
      </c>
      <c r="AO206" s="347" t="e">
        <f t="shared" si="226"/>
        <v>#REF!</v>
      </c>
      <c r="AP206" s="348" t="e">
        <f t="shared" si="227"/>
        <v>#REF!</v>
      </c>
      <c r="AQ206" s="726" t="e">
        <f t="shared" si="228"/>
        <v>#REF!</v>
      </c>
      <c r="AR206" s="726" t="e">
        <f t="shared" si="229"/>
        <v>#REF!</v>
      </c>
      <c r="AS206" s="726" t="e">
        <f t="shared" si="230"/>
        <v>#REF!</v>
      </c>
      <c r="AT206" s="727" t="e">
        <f t="shared" si="231"/>
        <v>#REF!</v>
      </c>
    </row>
    <row r="207" spans="1:46" hidden="1">
      <c r="A207" s="344">
        <v>12</v>
      </c>
      <c r="B207" s="1550" t="str">
        <f t="shared" si="232"/>
        <v>Works</v>
      </c>
      <c r="C207" s="1527"/>
      <c r="D207" s="1539"/>
      <c r="E207" s="1539"/>
      <c r="F207" s="1539"/>
      <c r="G207" s="1539"/>
      <c r="H207" s="1575" t="s">
        <v>757</v>
      </c>
      <c r="I207" s="1568" t="e">
        <f t="shared" si="205"/>
        <v>#REF!</v>
      </c>
      <c r="J207" s="1568" t="e">
        <f t="shared" si="206"/>
        <v>#REF!</v>
      </c>
      <c r="K207" s="1576"/>
      <c r="L207" s="1568" t="e">
        <f t="shared" si="233"/>
        <v>#REF!</v>
      </c>
      <c r="M207" s="1565" t="e">
        <f t="shared" si="207"/>
        <v>#REF!</v>
      </c>
      <c r="N207" s="1603"/>
      <c r="O207" s="1603"/>
      <c r="P207" s="347">
        <f t="shared" si="208"/>
        <v>0</v>
      </c>
      <c r="Q207" s="347">
        <f t="shared" si="209"/>
        <v>0</v>
      </c>
      <c r="R207" s="1117"/>
      <c r="S207" s="347">
        <f t="shared" si="210"/>
        <v>0</v>
      </c>
      <c r="T207" s="348">
        <f t="shared" si="211"/>
        <v>0</v>
      </c>
      <c r="U207" s="1045"/>
      <c r="V207" s="1045"/>
      <c r="W207" s="347">
        <f t="shared" si="212"/>
        <v>0</v>
      </c>
      <c r="X207" s="1117"/>
      <c r="Y207" s="347">
        <f t="shared" si="213"/>
        <v>0</v>
      </c>
      <c r="Z207" s="347">
        <f t="shared" si="214"/>
        <v>0</v>
      </c>
      <c r="AA207" s="348">
        <f t="shared" si="215"/>
        <v>0</v>
      </c>
      <c r="AB207" s="347">
        <f t="shared" si="216"/>
        <v>0</v>
      </c>
      <c r="AC207" s="1117"/>
      <c r="AD207" s="347">
        <f t="shared" si="217"/>
        <v>0</v>
      </c>
      <c r="AE207" s="347">
        <f t="shared" si="218"/>
        <v>0</v>
      </c>
      <c r="AF207" s="348">
        <f t="shared" si="219"/>
        <v>0</v>
      </c>
      <c r="AG207" s="347">
        <f t="shared" si="220"/>
        <v>0</v>
      </c>
      <c r="AH207" s="1117"/>
      <c r="AI207" s="347">
        <f t="shared" si="221"/>
        <v>0</v>
      </c>
      <c r="AJ207" s="347">
        <f t="shared" si="222"/>
        <v>0</v>
      </c>
      <c r="AK207" s="348">
        <f t="shared" si="223"/>
        <v>0</v>
      </c>
      <c r="AL207" s="347" t="e">
        <f t="shared" si="224"/>
        <v>#REF!</v>
      </c>
      <c r="AM207" s="1117"/>
      <c r="AN207" s="347" t="e">
        <f t="shared" si="225"/>
        <v>#REF!</v>
      </c>
      <c r="AO207" s="347" t="e">
        <f t="shared" si="226"/>
        <v>#REF!</v>
      </c>
      <c r="AP207" s="348" t="e">
        <f t="shared" si="227"/>
        <v>#REF!</v>
      </c>
      <c r="AQ207" s="726" t="e">
        <f t="shared" si="228"/>
        <v>#REF!</v>
      </c>
      <c r="AR207" s="726" t="e">
        <f t="shared" si="229"/>
        <v>#REF!</v>
      </c>
      <c r="AS207" s="726" t="e">
        <f t="shared" si="230"/>
        <v>#REF!</v>
      </c>
      <c r="AT207" s="727" t="e">
        <f t="shared" si="231"/>
        <v>#REF!</v>
      </c>
    </row>
    <row r="208" spans="1:46" hidden="1">
      <c r="A208" s="344">
        <v>13</v>
      </c>
      <c r="B208" s="1550" t="str">
        <f t="shared" si="232"/>
        <v>Facility costs</v>
      </c>
      <c r="C208" s="1527"/>
      <c r="D208" s="1539"/>
      <c r="E208" s="1539"/>
      <c r="F208" s="1539"/>
      <c r="G208" s="1539"/>
      <c r="H208" s="1575" t="s">
        <v>50</v>
      </c>
      <c r="I208" s="1568" t="e">
        <f t="shared" si="205"/>
        <v>#REF!</v>
      </c>
      <c r="J208" s="1568" t="e">
        <f t="shared" si="206"/>
        <v>#REF!</v>
      </c>
      <c r="K208" s="1576"/>
      <c r="L208" s="1568" t="e">
        <f t="shared" si="233"/>
        <v>#REF!</v>
      </c>
      <c r="M208" s="1565" t="e">
        <f t="shared" si="207"/>
        <v>#REF!</v>
      </c>
      <c r="N208" s="1603"/>
      <c r="O208" s="1603"/>
      <c r="P208" s="347">
        <f t="shared" si="208"/>
        <v>0</v>
      </c>
      <c r="Q208" s="347">
        <f t="shared" si="209"/>
        <v>0</v>
      </c>
      <c r="R208" s="1117"/>
      <c r="S208" s="347">
        <f t="shared" si="210"/>
        <v>0</v>
      </c>
      <c r="T208" s="348">
        <f t="shared" si="211"/>
        <v>0</v>
      </c>
      <c r="U208" s="1045"/>
      <c r="V208" s="1045"/>
      <c r="W208" s="347">
        <f t="shared" si="212"/>
        <v>0</v>
      </c>
      <c r="X208" s="1117"/>
      <c r="Y208" s="347">
        <f t="shared" si="213"/>
        <v>0</v>
      </c>
      <c r="Z208" s="347">
        <f t="shared" si="214"/>
        <v>0</v>
      </c>
      <c r="AA208" s="348">
        <f t="shared" si="215"/>
        <v>0</v>
      </c>
      <c r="AB208" s="347">
        <f t="shared" si="216"/>
        <v>0</v>
      </c>
      <c r="AC208" s="1117"/>
      <c r="AD208" s="347">
        <f t="shared" si="217"/>
        <v>0</v>
      </c>
      <c r="AE208" s="347">
        <f t="shared" si="218"/>
        <v>0</v>
      </c>
      <c r="AF208" s="348">
        <f t="shared" si="219"/>
        <v>0</v>
      </c>
      <c r="AG208" s="347">
        <f t="shared" si="220"/>
        <v>0</v>
      </c>
      <c r="AH208" s="1117"/>
      <c r="AI208" s="347">
        <f t="shared" si="221"/>
        <v>0</v>
      </c>
      <c r="AJ208" s="347">
        <f t="shared" si="222"/>
        <v>0</v>
      </c>
      <c r="AK208" s="348">
        <f t="shared" si="223"/>
        <v>0</v>
      </c>
      <c r="AL208" s="347" t="e">
        <f t="shared" si="224"/>
        <v>#REF!</v>
      </c>
      <c r="AM208" s="1117"/>
      <c r="AN208" s="347" t="e">
        <f t="shared" si="225"/>
        <v>#REF!</v>
      </c>
      <c r="AO208" s="347" t="e">
        <f t="shared" si="226"/>
        <v>#REF!</v>
      </c>
      <c r="AP208" s="348" t="e">
        <f t="shared" si="227"/>
        <v>#REF!</v>
      </c>
      <c r="AQ208" s="726" t="e">
        <f t="shared" si="228"/>
        <v>#REF!</v>
      </c>
      <c r="AR208" s="726" t="e">
        <f t="shared" si="229"/>
        <v>#REF!</v>
      </c>
      <c r="AS208" s="726" t="e">
        <f t="shared" si="230"/>
        <v>#REF!</v>
      </c>
      <c r="AT208" s="727" t="e">
        <f t="shared" si="231"/>
        <v>#REF!</v>
      </c>
    </row>
    <row r="209" spans="1:46" hidden="1">
      <c r="A209" s="344">
        <v>14</v>
      </c>
      <c r="B209" s="1550" t="str">
        <f t="shared" si="232"/>
        <v>Patient support</v>
      </c>
      <c r="C209" s="1527"/>
      <c r="D209" s="1539"/>
      <c r="E209" s="1539"/>
      <c r="F209" s="1539"/>
      <c r="G209" s="1539"/>
      <c r="H209" s="1575" t="s">
        <v>1632</v>
      </c>
      <c r="I209" s="1568" t="e">
        <f t="shared" si="205"/>
        <v>#REF!</v>
      </c>
      <c r="J209" s="1568" t="e">
        <f t="shared" si="206"/>
        <v>#REF!</v>
      </c>
      <c r="K209" s="1576"/>
      <c r="L209" s="1568" t="e">
        <f t="shared" si="233"/>
        <v>#REF!</v>
      </c>
      <c r="M209" s="1565" t="e">
        <f t="shared" si="207"/>
        <v>#REF!</v>
      </c>
      <c r="N209" s="1603"/>
      <c r="O209" s="1603"/>
      <c r="P209" s="347">
        <f t="shared" si="208"/>
        <v>0</v>
      </c>
      <c r="Q209" s="347">
        <f t="shared" si="209"/>
        <v>0</v>
      </c>
      <c r="R209" s="1117"/>
      <c r="S209" s="347">
        <f t="shared" si="210"/>
        <v>0</v>
      </c>
      <c r="T209" s="348">
        <f t="shared" si="211"/>
        <v>0</v>
      </c>
      <c r="U209" s="1045"/>
      <c r="V209" s="1045"/>
      <c r="W209" s="347">
        <f t="shared" si="212"/>
        <v>0</v>
      </c>
      <c r="X209" s="1117"/>
      <c r="Y209" s="347">
        <f t="shared" si="213"/>
        <v>0</v>
      </c>
      <c r="Z209" s="347">
        <f t="shared" si="214"/>
        <v>0</v>
      </c>
      <c r="AA209" s="348">
        <f t="shared" si="215"/>
        <v>0</v>
      </c>
      <c r="AB209" s="347">
        <f t="shared" si="216"/>
        <v>0</v>
      </c>
      <c r="AC209" s="1117"/>
      <c r="AD209" s="347">
        <f t="shared" si="217"/>
        <v>0</v>
      </c>
      <c r="AE209" s="347">
        <f t="shared" si="218"/>
        <v>0</v>
      </c>
      <c r="AF209" s="348">
        <f t="shared" si="219"/>
        <v>0</v>
      </c>
      <c r="AG209" s="347">
        <f t="shared" si="220"/>
        <v>0</v>
      </c>
      <c r="AH209" s="1117"/>
      <c r="AI209" s="347">
        <f t="shared" si="221"/>
        <v>0</v>
      </c>
      <c r="AJ209" s="347">
        <f t="shared" si="222"/>
        <v>0</v>
      </c>
      <c r="AK209" s="348">
        <f t="shared" si="223"/>
        <v>0</v>
      </c>
      <c r="AL209" s="347" t="e">
        <f t="shared" si="224"/>
        <v>#REF!</v>
      </c>
      <c r="AM209" s="1117"/>
      <c r="AN209" s="347" t="e">
        <f t="shared" si="225"/>
        <v>#REF!</v>
      </c>
      <c r="AO209" s="347" t="e">
        <f t="shared" si="226"/>
        <v>#REF!</v>
      </c>
      <c r="AP209" s="348" t="e">
        <f t="shared" si="227"/>
        <v>#REF!</v>
      </c>
      <c r="AQ209" s="726" t="e">
        <f t="shared" si="228"/>
        <v>#REF!</v>
      </c>
      <c r="AR209" s="726" t="e">
        <f t="shared" si="229"/>
        <v>#REF!</v>
      </c>
      <c r="AS209" s="726" t="e">
        <f t="shared" si="230"/>
        <v>#REF!</v>
      </c>
      <c r="AT209" s="727" t="e">
        <f t="shared" si="231"/>
        <v>#REF!</v>
      </c>
    </row>
    <row r="210" spans="1:46" hidden="1">
      <c r="A210" s="344">
        <v>15</v>
      </c>
      <c r="B210" s="1550" t="str">
        <f t="shared" si="232"/>
        <v>Information, education and communication</v>
      </c>
      <c r="C210" s="1527"/>
      <c r="D210" s="1539"/>
      <c r="E210" s="1539"/>
      <c r="F210" s="1539"/>
      <c r="G210" s="1539"/>
      <c r="H210" s="1575" t="s">
        <v>1007</v>
      </c>
      <c r="I210" s="1568" t="e">
        <f t="shared" si="205"/>
        <v>#REF!</v>
      </c>
      <c r="J210" s="1568" t="e">
        <f t="shared" si="206"/>
        <v>#REF!</v>
      </c>
      <c r="K210" s="1576"/>
      <c r="L210" s="1568" t="e">
        <f t="shared" si="233"/>
        <v>#REF!</v>
      </c>
      <c r="M210" s="1565" t="e">
        <f t="shared" si="207"/>
        <v>#REF!</v>
      </c>
      <c r="N210" s="1603"/>
      <c r="O210" s="1603"/>
      <c r="P210" s="347">
        <f t="shared" si="208"/>
        <v>0</v>
      </c>
      <c r="Q210" s="347">
        <f t="shared" si="209"/>
        <v>0</v>
      </c>
      <c r="R210" s="1117"/>
      <c r="S210" s="347">
        <f t="shared" si="210"/>
        <v>0</v>
      </c>
      <c r="T210" s="348">
        <f t="shared" si="211"/>
        <v>0</v>
      </c>
      <c r="U210" s="1045"/>
      <c r="V210" s="1045"/>
      <c r="W210" s="347">
        <f t="shared" si="212"/>
        <v>0</v>
      </c>
      <c r="X210" s="1117"/>
      <c r="Y210" s="347">
        <f t="shared" si="213"/>
        <v>0</v>
      </c>
      <c r="Z210" s="347">
        <f t="shared" si="214"/>
        <v>0</v>
      </c>
      <c r="AA210" s="348">
        <f t="shared" si="215"/>
        <v>0</v>
      </c>
      <c r="AB210" s="347">
        <f t="shared" si="216"/>
        <v>0</v>
      </c>
      <c r="AC210" s="1117"/>
      <c r="AD210" s="347">
        <f t="shared" si="217"/>
        <v>0</v>
      </c>
      <c r="AE210" s="347">
        <f t="shared" si="218"/>
        <v>0</v>
      </c>
      <c r="AF210" s="348">
        <f t="shared" si="219"/>
        <v>0</v>
      </c>
      <c r="AG210" s="347">
        <f t="shared" si="220"/>
        <v>0</v>
      </c>
      <c r="AH210" s="1117"/>
      <c r="AI210" s="347">
        <f t="shared" si="221"/>
        <v>0</v>
      </c>
      <c r="AJ210" s="347">
        <f t="shared" si="222"/>
        <v>0</v>
      </c>
      <c r="AK210" s="348">
        <f t="shared" si="223"/>
        <v>0</v>
      </c>
      <c r="AL210" s="347" t="e">
        <f t="shared" si="224"/>
        <v>#REF!</v>
      </c>
      <c r="AM210" s="1117"/>
      <c r="AN210" s="347" t="e">
        <f t="shared" si="225"/>
        <v>#REF!</v>
      </c>
      <c r="AO210" s="347" t="e">
        <f t="shared" si="226"/>
        <v>#REF!</v>
      </c>
      <c r="AP210" s="348" t="e">
        <f t="shared" si="227"/>
        <v>#REF!</v>
      </c>
      <c r="AQ210" s="726" t="e">
        <f t="shared" si="228"/>
        <v>#REF!</v>
      </c>
      <c r="AR210" s="726" t="e">
        <f t="shared" si="229"/>
        <v>#REF!</v>
      </c>
      <c r="AS210" s="726" t="e">
        <f t="shared" si="230"/>
        <v>#REF!</v>
      </c>
      <c r="AT210" s="727" t="e">
        <f t="shared" si="231"/>
        <v>#REF!</v>
      </c>
    </row>
    <row r="211" spans="1:46" hidden="1">
      <c r="A211" s="344">
        <v>16</v>
      </c>
      <c r="B211" s="1550" t="str">
        <f t="shared" si="232"/>
        <v>NGO grants</v>
      </c>
      <c r="C211" s="1527"/>
      <c r="D211" s="1539"/>
      <c r="E211" s="1539"/>
      <c r="F211" s="1539"/>
      <c r="G211" s="1539"/>
      <c r="H211" s="1575" t="s">
        <v>1006</v>
      </c>
      <c r="I211" s="1568" t="e">
        <f t="shared" si="205"/>
        <v>#REF!</v>
      </c>
      <c r="J211" s="1568" t="e">
        <f t="shared" si="206"/>
        <v>#REF!</v>
      </c>
      <c r="K211" s="1576"/>
      <c r="L211" s="1568" t="e">
        <f t="shared" si="233"/>
        <v>#REF!</v>
      </c>
      <c r="M211" s="1565" t="e">
        <f t="shared" si="207"/>
        <v>#REF!</v>
      </c>
      <c r="N211" s="1603"/>
      <c r="O211" s="1603"/>
      <c r="P211" s="347">
        <f t="shared" si="208"/>
        <v>0</v>
      </c>
      <c r="Q211" s="347">
        <f t="shared" si="209"/>
        <v>0</v>
      </c>
      <c r="R211" s="1117"/>
      <c r="S211" s="347">
        <f t="shared" si="210"/>
        <v>0</v>
      </c>
      <c r="T211" s="348">
        <f t="shared" si="211"/>
        <v>0</v>
      </c>
      <c r="U211" s="1045"/>
      <c r="V211" s="1045"/>
      <c r="W211" s="347">
        <f t="shared" si="212"/>
        <v>0</v>
      </c>
      <c r="X211" s="1117"/>
      <c r="Y211" s="347">
        <f t="shared" si="213"/>
        <v>0</v>
      </c>
      <c r="Z211" s="347">
        <f t="shared" si="214"/>
        <v>0</v>
      </c>
      <c r="AA211" s="348">
        <f t="shared" si="215"/>
        <v>0</v>
      </c>
      <c r="AB211" s="347">
        <f t="shared" si="216"/>
        <v>0</v>
      </c>
      <c r="AC211" s="1117"/>
      <c r="AD211" s="347">
        <f t="shared" si="217"/>
        <v>0</v>
      </c>
      <c r="AE211" s="347">
        <f t="shared" si="218"/>
        <v>0</v>
      </c>
      <c r="AF211" s="348">
        <f t="shared" si="219"/>
        <v>0</v>
      </c>
      <c r="AG211" s="347">
        <f t="shared" si="220"/>
        <v>0</v>
      </c>
      <c r="AH211" s="1117"/>
      <c r="AI211" s="347">
        <f t="shared" si="221"/>
        <v>0</v>
      </c>
      <c r="AJ211" s="347">
        <f t="shared" si="222"/>
        <v>0</v>
      </c>
      <c r="AK211" s="348">
        <f t="shared" si="223"/>
        <v>0</v>
      </c>
      <c r="AL211" s="347" t="e">
        <f t="shared" si="224"/>
        <v>#REF!</v>
      </c>
      <c r="AM211" s="1117"/>
      <c r="AN211" s="347" t="e">
        <f t="shared" si="225"/>
        <v>#REF!</v>
      </c>
      <c r="AO211" s="347" t="e">
        <f t="shared" si="226"/>
        <v>#REF!</v>
      </c>
      <c r="AP211" s="348" t="e">
        <f t="shared" si="227"/>
        <v>#REF!</v>
      </c>
      <c r="AQ211" s="726" t="e">
        <f t="shared" si="228"/>
        <v>#REF!</v>
      </c>
      <c r="AR211" s="726" t="e">
        <f t="shared" si="229"/>
        <v>#REF!</v>
      </c>
      <c r="AS211" s="726" t="e">
        <f t="shared" si="230"/>
        <v>#REF!</v>
      </c>
      <c r="AT211" s="727" t="e">
        <f t="shared" si="231"/>
        <v>#REF!</v>
      </c>
    </row>
    <row r="212" spans="1:46" hidden="1">
      <c r="A212" s="344">
        <v>17</v>
      </c>
      <c r="B212" s="1550" t="str">
        <f t="shared" si="232"/>
        <v>Clinical and operational research</v>
      </c>
      <c r="C212" s="1527"/>
      <c r="D212" s="1539"/>
      <c r="E212" s="1539"/>
      <c r="F212" s="1539"/>
      <c r="G212" s="1539"/>
      <c r="H212" s="1575" t="s">
        <v>752</v>
      </c>
      <c r="I212" s="1568" t="e">
        <f t="shared" si="205"/>
        <v>#REF!</v>
      </c>
      <c r="J212" s="1568" t="e">
        <f t="shared" si="206"/>
        <v>#REF!</v>
      </c>
      <c r="K212" s="1576"/>
      <c r="L212" s="1568" t="e">
        <f t="shared" si="233"/>
        <v>#REF!</v>
      </c>
      <c r="M212" s="1565" t="e">
        <f t="shared" si="207"/>
        <v>#REF!</v>
      </c>
      <c r="N212" s="1603"/>
      <c r="O212" s="1603"/>
      <c r="P212" s="347">
        <f t="shared" si="208"/>
        <v>0</v>
      </c>
      <c r="Q212" s="347">
        <f t="shared" si="209"/>
        <v>0</v>
      </c>
      <c r="R212" s="1117"/>
      <c r="S212" s="347">
        <f t="shared" ref="S212:S214" si="234">S183+S$187*AW183/100</f>
        <v>0</v>
      </c>
      <c r="T212" s="348">
        <f t="shared" si="211"/>
        <v>0</v>
      </c>
      <c r="U212" s="1045"/>
      <c r="V212" s="1045"/>
      <c r="W212" s="347">
        <f t="shared" si="212"/>
        <v>0</v>
      </c>
      <c r="X212" s="1117"/>
      <c r="Y212" s="347">
        <f t="shared" si="213"/>
        <v>0</v>
      </c>
      <c r="Z212" s="347">
        <f t="shared" si="214"/>
        <v>0</v>
      </c>
      <c r="AA212" s="348">
        <f t="shared" si="215"/>
        <v>0</v>
      </c>
      <c r="AB212" s="347">
        <f t="shared" si="216"/>
        <v>0</v>
      </c>
      <c r="AC212" s="1117"/>
      <c r="AD212" s="347">
        <f t="shared" si="217"/>
        <v>0</v>
      </c>
      <c r="AE212" s="347">
        <f t="shared" si="218"/>
        <v>0</v>
      </c>
      <c r="AF212" s="348">
        <f t="shared" si="219"/>
        <v>0</v>
      </c>
      <c r="AG212" s="347">
        <f t="shared" si="220"/>
        <v>0</v>
      </c>
      <c r="AH212" s="1117"/>
      <c r="AI212" s="347">
        <f t="shared" si="221"/>
        <v>0</v>
      </c>
      <c r="AJ212" s="347">
        <f t="shared" si="222"/>
        <v>0</v>
      </c>
      <c r="AK212" s="348">
        <f t="shared" si="223"/>
        <v>0</v>
      </c>
      <c r="AL212" s="347" t="e">
        <f t="shared" si="224"/>
        <v>#REF!</v>
      </c>
      <c r="AM212" s="1117"/>
      <c r="AN212" s="347" t="e">
        <f t="shared" si="225"/>
        <v>#REF!</v>
      </c>
      <c r="AO212" s="347" t="e">
        <f t="shared" si="226"/>
        <v>#REF!</v>
      </c>
      <c r="AP212" s="348" t="e">
        <f t="shared" si="227"/>
        <v>#REF!</v>
      </c>
      <c r="AQ212" s="726" t="e">
        <f t="shared" si="228"/>
        <v>#REF!</v>
      </c>
      <c r="AR212" s="726" t="e">
        <f t="shared" si="229"/>
        <v>#REF!</v>
      </c>
      <c r="AS212" s="726" t="e">
        <f t="shared" si="230"/>
        <v>#REF!</v>
      </c>
      <c r="AT212" s="727" t="e">
        <f t="shared" si="231"/>
        <v>#REF!</v>
      </c>
    </row>
    <row r="213" spans="1:46" hidden="1">
      <c r="A213" s="344">
        <v>18</v>
      </c>
      <c r="B213" s="1550" t="str">
        <f t="shared" si="232"/>
        <v>Quality assurance, program management, supervision</v>
      </c>
      <c r="C213" s="1527"/>
      <c r="D213" s="1539"/>
      <c r="E213" s="1539"/>
      <c r="F213" s="1539"/>
      <c r="G213" s="1539"/>
      <c r="H213" s="1575" t="s">
        <v>1001</v>
      </c>
      <c r="I213" s="1568" t="e">
        <f t="shared" si="205"/>
        <v>#REF!</v>
      </c>
      <c r="J213" s="1568" t="e">
        <f t="shared" si="206"/>
        <v>#REF!</v>
      </c>
      <c r="K213" s="1576"/>
      <c r="L213" s="1568" t="e">
        <f t="shared" ref="L213:L214" si="235">L184+L$187*AS184/100</f>
        <v>#REF!</v>
      </c>
      <c r="M213" s="1565" t="e">
        <f t="shared" si="207"/>
        <v>#REF!</v>
      </c>
      <c r="N213" s="1603"/>
      <c r="O213" s="1603"/>
      <c r="P213" s="347">
        <f t="shared" si="208"/>
        <v>0</v>
      </c>
      <c r="Q213" s="347">
        <f t="shared" si="209"/>
        <v>0</v>
      </c>
      <c r="R213" s="1117"/>
      <c r="S213" s="347">
        <f t="shared" si="234"/>
        <v>0</v>
      </c>
      <c r="T213" s="348">
        <f t="shared" si="211"/>
        <v>0</v>
      </c>
      <c r="U213" s="1045"/>
      <c r="V213" s="1045"/>
      <c r="W213" s="347">
        <f t="shared" si="212"/>
        <v>0</v>
      </c>
      <c r="X213" s="1117"/>
      <c r="Y213" s="347">
        <f t="shared" si="213"/>
        <v>0</v>
      </c>
      <c r="Z213" s="347">
        <f t="shared" si="214"/>
        <v>0</v>
      </c>
      <c r="AA213" s="348">
        <f t="shared" si="215"/>
        <v>0</v>
      </c>
      <c r="AB213" s="347">
        <f t="shared" si="216"/>
        <v>0</v>
      </c>
      <c r="AC213" s="1117"/>
      <c r="AD213" s="347">
        <f t="shared" si="217"/>
        <v>0</v>
      </c>
      <c r="AE213" s="347">
        <f t="shared" si="218"/>
        <v>0</v>
      </c>
      <c r="AF213" s="348">
        <f t="shared" si="219"/>
        <v>0</v>
      </c>
      <c r="AG213" s="347">
        <f t="shared" si="220"/>
        <v>0</v>
      </c>
      <c r="AH213" s="1117"/>
      <c r="AI213" s="347">
        <f t="shared" si="221"/>
        <v>0</v>
      </c>
      <c r="AJ213" s="347">
        <f t="shared" si="222"/>
        <v>0</v>
      </c>
      <c r="AK213" s="348">
        <f t="shared" si="223"/>
        <v>0</v>
      </c>
      <c r="AL213" s="347" t="e">
        <f t="shared" si="224"/>
        <v>#REF!</v>
      </c>
      <c r="AM213" s="1117"/>
      <c r="AN213" s="347" t="e">
        <f t="shared" si="225"/>
        <v>#REF!</v>
      </c>
      <c r="AO213" s="347" t="e">
        <f t="shared" si="226"/>
        <v>#REF!</v>
      </c>
      <c r="AP213" s="348" t="e">
        <f t="shared" si="227"/>
        <v>#REF!</v>
      </c>
      <c r="AQ213" s="726" t="e">
        <f t="shared" si="228"/>
        <v>#REF!</v>
      </c>
      <c r="AR213" s="726" t="e">
        <f t="shared" si="229"/>
        <v>#REF!</v>
      </c>
      <c r="AS213" s="726" t="e">
        <f t="shared" si="230"/>
        <v>#REF!</v>
      </c>
      <c r="AT213" s="727" t="e">
        <f t="shared" si="231"/>
        <v>#REF!</v>
      </c>
    </row>
    <row r="214" spans="1:46" hidden="1">
      <c r="A214" s="344">
        <v>19</v>
      </c>
      <c r="B214" s="1550" t="str">
        <f t="shared" si="232"/>
        <v>Other and unclassified costs</v>
      </c>
      <c r="C214" s="1527"/>
      <c r="D214" s="1539"/>
      <c r="E214" s="1539"/>
      <c r="F214" s="1539"/>
      <c r="G214" s="1539"/>
      <c r="H214" s="1575" t="s">
        <v>749</v>
      </c>
      <c r="I214" s="1568" t="e">
        <f t="shared" si="205"/>
        <v>#REF!</v>
      </c>
      <c r="J214" s="1568" t="e">
        <f t="shared" si="206"/>
        <v>#REF!</v>
      </c>
      <c r="K214" s="1576"/>
      <c r="L214" s="1568" t="e">
        <f t="shared" si="235"/>
        <v>#REF!</v>
      </c>
      <c r="M214" s="1565" t="e">
        <f t="shared" si="207"/>
        <v>#REF!</v>
      </c>
      <c r="N214" s="1603"/>
      <c r="O214" s="1603"/>
      <c r="P214" s="347">
        <f t="shared" si="208"/>
        <v>0</v>
      </c>
      <c r="Q214" s="347">
        <f t="shared" si="209"/>
        <v>0</v>
      </c>
      <c r="R214" s="1117"/>
      <c r="S214" s="347">
        <f t="shared" si="234"/>
        <v>0</v>
      </c>
      <c r="T214" s="348">
        <f t="shared" si="211"/>
        <v>0</v>
      </c>
      <c r="U214" s="1045"/>
      <c r="V214" s="1045"/>
      <c r="W214" s="347">
        <f t="shared" si="212"/>
        <v>0</v>
      </c>
      <c r="X214" s="1117"/>
      <c r="Y214" s="347">
        <f t="shared" si="213"/>
        <v>0</v>
      </c>
      <c r="Z214" s="347">
        <f t="shared" si="214"/>
        <v>0</v>
      </c>
      <c r="AA214" s="348">
        <f t="shared" si="215"/>
        <v>0</v>
      </c>
      <c r="AB214" s="347">
        <f t="shared" si="216"/>
        <v>0</v>
      </c>
      <c r="AC214" s="1117"/>
      <c r="AD214" s="347">
        <f t="shared" si="217"/>
        <v>0</v>
      </c>
      <c r="AE214" s="347">
        <f t="shared" si="218"/>
        <v>0</v>
      </c>
      <c r="AF214" s="348">
        <f t="shared" si="219"/>
        <v>0</v>
      </c>
      <c r="AG214" s="347">
        <f t="shared" si="220"/>
        <v>0</v>
      </c>
      <c r="AH214" s="1117"/>
      <c r="AI214" s="347">
        <f t="shared" si="221"/>
        <v>0</v>
      </c>
      <c r="AJ214" s="347">
        <f t="shared" si="222"/>
        <v>0</v>
      </c>
      <c r="AK214" s="348">
        <f t="shared" si="223"/>
        <v>0</v>
      </c>
      <c r="AL214" s="347" t="e">
        <f t="shared" si="224"/>
        <v>#REF!</v>
      </c>
      <c r="AM214" s="1117"/>
      <c r="AN214" s="347" t="e">
        <f t="shared" si="225"/>
        <v>#REF!</v>
      </c>
      <c r="AO214" s="347" t="e">
        <f t="shared" si="226"/>
        <v>#REF!</v>
      </c>
      <c r="AP214" s="348" t="e">
        <f t="shared" si="227"/>
        <v>#REF!</v>
      </c>
      <c r="AQ214" s="726" t="e">
        <f t="shared" si="228"/>
        <v>#REF!</v>
      </c>
      <c r="AR214" s="726" t="e">
        <f t="shared" si="229"/>
        <v>#REF!</v>
      </c>
      <c r="AS214" s="726" t="e">
        <f t="shared" si="230"/>
        <v>#REF!</v>
      </c>
      <c r="AT214" s="727" t="e">
        <f t="shared" si="231"/>
        <v>#REF!</v>
      </c>
    </row>
    <row r="215" spans="1:46" ht="15.75" hidden="1">
      <c r="A215" s="349"/>
      <c r="B215" s="1555" t="s">
        <v>809</v>
      </c>
      <c r="C215" s="1530"/>
      <c r="D215" s="1542"/>
      <c r="E215" s="1542"/>
      <c r="F215" s="1542"/>
      <c r="G215" s="1542"/>
      <c r="H215" s="1556"/>
      <c r="I215" s="1567" t="e">
        <f t="shared" ref="I215:AP215" si="236">SUM(I196:I214)</f>
        <v>#REF!</v>
      </c>
      <c r="J215" s="1567" t="e">
        <f t="shared" si="236"/>
        <v>#REF!</v>
      </c>
      <c r="K215" s="1580"/>
      <c r="L215" s="1567" t="e">
        <f t="shared" si="236"/>
        <v>#REF!</v>
      </c>
      <c r="M215" s="1569" t="e">
        <f t="shared" si="236"/>
        <v>#REF!</v>
      </c>
      <c r="N215" s="1605"/>
      <c r="O215" s="1605"/>
      <c r="P215" s="351">
        <f t="shared" si="236"/>
        <v>0</v>
      </c>
      <c r="Q215" s="351">
        <f t="shared" si="236"/>
        <v>0</v>
      </c>
      <c r="R215" s="1046"/>
      <c r="S215" s="351">
        <f t="shared" si="236"/>
        <v>0</v>
      </c>
      <c r="T215" s="352">
        <f t="shared" si="236"/>
        <v>0</v>
      </c>
      <c r="U215" s="1047"/>
      <c r="V215" s="1047"/>
      <c r="W215" s="351">
        <f t="shared" si="236"/>
        <v>0</v>
      </c>
      <c r="X215" s="1046"/>
      <c r="Y215" s="351">
        <f t="shared" si="236"/>
        <v>0</v>
      </c>
      <c r="Z215" s="351">
        <f t="shared" si="236"/>
        <v>0</v>
      </c>
      <c r="AA215" s="352">
        <f t="shared" si="236"/>
        <v>0</v>
      </c>
      <c r="AB215" s="351">
        <f t="shared" si="236"/>
        <v>0</v>
      </c>
      <c r="AC215" s="1046"/>
      <c r="AD215" s="351">
        <f t="shared" si="236"/>
        <v>0</v>
      </c>
      <c r="AE215" s="351">
        <f t="shared" si="236"/>
        <v>0</v>
      </c>
      <c r="AF215" s="352">
        <f t="shared" si="236"/>
        <v>0</v>
      </c>
      <c r="AG215" s="351">
        <f t="shared" si="236"/>
        <v>0</v>
      </c>
      <c r="AH215" s="1046"/>
      <c r="AI215" s="351">
        <f t="shared" si="236"/>
        <v>0</v>
      </c>
      <c r="AJ215" s="351">
        <f t="shared" si="236"/>
        <v>0</v>
      </c>
      <c r="AK215" s="352">
        <f t="shared" si="236"/>
        <v>0</v>
      </c>
      <c r="AL215" s="351" t="e">
        <f t="shared" si="236"/>
        <v>#REF!</v>
      </c>
      <c r="AM215" s="1046"/>
      <c r="AN215" s="351" t="e">
        <f t="shared" si="236"/>
        <v>#REF!</v>
      </c>
      <c r="AO215" s="351" t="e">
        <f t="shared" si="236"/>
        <v>#REF!</v>
      </c>
      <c r="AP215" s="352" t="e">
        <f t="shared" si="236"/>
        <v>#REF!</v>
      </c>
      <c r="AQ215" s="727" t="e">
        <f t="shared" si="228"/>
        <v>#REF!</v>
      </c>
      <c r="AR215" s="727" t="e">
        <f t="shared" si="229"/>
        <v>#REF!</v>
      </c>
      <c r="AS215" s="727" t="e">
        <f t="shared" si="230"/>
        <v>#REF!</v>
      </c>
      <c r="AT215" s="727" t="e">
        <f t="shared" si="231"/>
        <v>#REF!</v>
      </c>
    </row>
    <row r="216" spans="1:46" hidden="1"/>
    <row r="217" spans="1:46" hidden="1">
      <c r="A217" s="478"/>
      <c r="B217" s="1533" t="s">
        <v>26</v>
      </c>
      <c r="C217" s="1533"/>
      <c r="H217" s="1571"/>
      <c r="I217" s="1572" t="e">
        <f>I134-I215</f>
        <v>#REF!</v>
      </c>
      <c r="J217" s="1572" t="e">
        <f>J134-J215</f>
        <v>#REF!</v>
      </c>
      <c r="K217" s="1572"/>
      <c r="L217" s="1572" t="e">
        <f>L134-L215</f>
        <v>#REF!</v>
      </c>
      <c r="M217" s="1572" t="e">
        <f>M134-M215</f>
        <v>#REF!</v>
      </c>
      <c r="N217" s="1572"/>
      <c r="O217" s="1572"/>
      <c r="P217" s="481">
        <f>P134-P215</f>
        <v>7478079</v>
      </c>
      <c r="Q217" s="481">
        <f>Q134-Q215</f>
        <v>7505841</v>
      </c>
      <c r="R217" s="481"/>
      <c r="S217" s="481">
        <f>S134-S215</f>
        <v>8100960</v>
      </c>
      <c r="T217" s="481">
        <f>T134-T215</f>
        <v>30962809.5</v>
      </c>
      <c r="U217" s="481"/>
      <c r="V217" s="481"/>
      <c r="W217" s="481">
        <f>U134-W215</f>
        <v>2922159.9513527206</v>
      </c>
      <c r="X217" s="481"/>
      <c r="Y217" s="481">
        <f>V134-Y215</f>
        <v>2285849.1780246221</v>
      </c>
      <c r="Z217" s="481">
        <f>X134-Z215</f>
        <v>1784833.6299284832</v>
      </c>
      <c r="AA217" s="481">
        <f>Y134-AA215</f>
        <v>9262563.2882457748</v>
      </c>
      <c r="AB217" s="481">
        <f>Z134-AB215</f>
        <v>813149.8638698631</v>
      </c>
      <c r="AC217" s="481"/>
      <c r="AD217" s="481">
        <f>AA134-AD215</f>
        <v>0</v>
      </c>
      <c r="AE217" s="481">
        <f>AC134-AE215</f>
        <v>0</v>
      </c>
      <c r="AF217" s="481">
        <f>AD134-AF215</f>
        <v>813149.8638698631</v>
      </c>
      <c r="AG217" s="481">
        <f>AE134-AG215</f>
        <v>3735309.8152225842</v>
      </c>
      <c r="AH217" s="481"/>
      <c r="AI217" s="481">
        <f>AF134-AI215</f>
        <v>2285849.1780246221</v>
      </c>
      <c r="AJ217" s="481">
        <f>AH134-AJ215</f>
        <v>1784833.6299284832</v>
      </c>
      <c r="AK217" s="481">
        <f>AI134-AK215</f>
        <v>10075713.152115639</v>
      </c>
      <c r="AL217" s="481" t="e">
        <f>AJ134-AL215</f>
        <v>#REF!</v>
      </c>
      <c r="AM217" s="481"/>
      <c r="AN217" s="481" t="e">
        <f>AK134-AN215</f>
        <v>#REF!</v>
      </c>
      <c r="AO217" s="481" t="e">
        <f>AM134-AO215</f>
        <v>#REF!</v>
      </c>
      <c r="AP217" s="481" t="e">
        <f>AN134-AP215</f>
        <v>#REF!</v>
      </c>
      <c r="AQ217" s="481"/>
      <c r="AR217" s="481"/>
      <c r="AS217" s="481"/>
      <c r="AT217" s="481"/>
    </row>
    <row r="218" spans="1:46" hidden="1"/>
    <row r="219" spans="1:46" ht="15.75" hidden="1">
      <c r="A219" s="484" t="s">
        <v>49</v>
      </c>
      <c r="B219" s="1532" t="s">
        <v>1031</v>
      </c>
      <c r="C219" s="1532"/>
      <c r="D219" s="1543"/>
      <c r="E219" s="1543"/>
      <c r="F219" s="1543"/>
      <c r="G219" s="1543"/>
      <c r="H219" s="1570"/>
    </row>
    <row r="220" spans="1:46" hidden="1">
      <c r="H220" s="1570"/>
    </row>
    <row r="221" spans="1:46" ht="15.6" hidden="1" customHeight="1">
      <c r="A221" s="1762" t="s">
        <v>243</v>
      </c>
      <c r="B221" s="1753" t="s">
        <v>1032</v>
      </c>
      <c r="C221" s="1522"/>
      <c r="D221" s="1537"/>
      <c r="E221" s="1537"/>
      <c r="F221" s="1537"/>
      <c r="G221" s="1537"/>
      <c r="H221" s="1753"/>
      <c r="I221" s="1764" t="str">
        <f>I8</f>
        <v>Total funding needs</v>
      </c>
      <c r="J221" s="1765"/>
      <c r="K221" s="1766"/>
      <c r="L221" s="1765"/>
      <c r="M221" s="1767"/>
      <c r="N221" s="1595"/>
      <c r="O221" s="1595"/>
      <c r="P221" s="1758" t="str">
        <f>P8</f>
        <v>Government funding</v>
      </c>
      <c r="Q221" s="1759"/>
      <c r="R221" s="1760"/>
      <c r="S221" s="1759"/>
      <c r="T221" s="1761"/>
      <c r="U221" s="1041"/>
      <c r="V221" s="1041"/>
      <c r="W221" s="1758" t="str">
        <f>U8</f>
        <v xml:space="preserve">External funding: Global Fund </v>
      </c>
      <c r="X221" s="1760"/>
      <c r="Y221" s="1759"/>
      <c r="Z221" s="1759"/>
      <c r="AA221" s="1761"/>
      <c r="AB221" s="1758" t="str">
        <f>Z8</f>
        <v>External funding: other partners</v>
      </c>
      <c r="AC221" s="1760"/>
      <c r="AD221" s="1759"/>
      <c r="AE221" s="1759"/>
      <c r="AF221" s="1761"/>
      <c r="AG221" s="1758" t="str">
        <f>AE8</f>
        <v>External funding: TOTAL</v>
      </c>
      <c r="AH221" s="1760"/>
      <c r="AI221" s="1759"/>
      <c r="AJ221" s="1759"/>
      <c r="AK221" s="1761"/>
      <c r="AL221" s="1758" t="str">
        <f>AJ8</f>
        <v>Funding gap</v>
      </c>
      <c r="AM221" s="1760"/>
      <c r="AN221" s="1759"/>
      <c r="AO221" s="1759"/>
      <c r="AP221" s="1761"/>
      <c r="AQ221" s="1777" t="s">
        <v>1634</v>
      </c>
      <c r="AR221" s="1778"/>
      <c r="AS221" s="1778"/>
      <c r="AT221" s="1779"/>
    </row>
    <row r="222" spans="1:46" ht="28.9" hidden="1" customHeight="1">
      <c r="A222" s="1763"/>
      <c r="B222" s="1754"/>
      <c r="C222" s="1523"/>
      <c r="D222" s="1544"/>
      <c r="E222" s="1544"/>
      <c r="F222" s="1544"/>
      <c r="G222" s="1544"/>
      <c r="H222" s="1754"/>
      <c r="I222" s="1524" t="s">
        <v>995</v>
      </c>
      <c r="J222" s="1524" t="s">
        <v>996</v>
      </c>
      <c r="K222" s="1525"/>
      <c r="L222" s="1524" t="s">
        <v>997</v>
      </c>
      <c r="M222" s="1546" t="s">
        <v>4</v>
      </c>
      <c r="N222" s="1596"/>
      <c r="O222" s="1596"/>
      <c r="P222" s="334" t="s">
        <v>995</v>
      </c>
      <c r="Q222" s="334" t="s">
        <v>996</v>
      </c>
      <c r="R222" s="1113"/>
      <c r="S222" s="334" t="s">
        <v>997</v>
      </c>
      <c r="T222" s="630" t="s">
        <v>4</v>
      </c>
      <c r="U222" s="1042"/>
      <c r="V222" s="1042"/>
      <c r="W222" s="334" t="s">
        <v>995</v>
      </c>
      <c r="X222" s="1113"/>
      <c r="Y222" s="334" t="s">
        <v>996</v>
      </c>
      <c r="Z222" s="334" t="s">
        <v>997</v>
      </c>
      <c r="AA222" s="630" t="s">
        <v>4</v>
      </c>
      <c r="AB222" s="334" t="s">
        <v>995</v>
      </c>
      <c r="AC222" s="1113"/>
      <c r="AD222" s="334" t="s">
        <v>996</v>
      </c>
      <c r="AE222" s="334" t="s">
        <v>997</v>
      </c>
      <c r="AF222" s="630" t="s">
        <v>4</v>
      </c>
      <c r="AG222" s="334" t="s">
        <v>995</v>
      </c>
      <c r="AH222" s="1113"/>
      <c r="AI222" s="334" t="s">
        <v>996</v>
      </c>
      <c r="AJ222" s="334" t="s">
        <v>997</v>
      </c>
      <c r="AK222" s="630" t="s">
        <v>4</v>
      </c>
      <c r="AL222" s="334" t="s">
        <v>995</v>
      </c>
      <c r="AM222" s="1113"/>
      <c r="AN222" s="334" t="s">
        <v>996</v>
      </c>
      <c r="AO222" s="334" t="s">
        <v>997</v>
      </c>
      <c r="AP222" s="630" t="s">
        <v>4</v>
      </c>
      <c r="AQ222" s="728" t="str">
        <f>AL222</f>
        <v>Year 1 (2015)</v>
      </c>
      <c r="AR222" s="728" t="str">
        <f>AN222</f>
        <v>Year 2 (2016)</v>
      </c>
      <c r="AS222" s="728" t="str">
        <f>AO222</f>
        <v>Year 3 (2017)</v>
      </c>
      <c r="AT222" s="730" t="str">
        <f>AP222</f>
        <v>Total</v>
      </c>
    </row>
    <row r="223" spans="1:46" hidden="1">
      <c r="A223" s="344">
        <v>1</v>
      </c>
      <c r="B223" s="1550" t="s">
        <v>1013</v>
      </c>
      <c r="C223" s="1527"/>
      <c r="D223" s="1539"/>
      <c r="E223" s="1539"/>
      <c r="F223" s="1539"/>
      <c r="G223" s="1539"/>
      <c r="H223" s="1575" t="s">
        <v>998</v>
      </c>
      <c r="I223" s="1568" t="e">
        <f>SUM(I197)</f>
        <v>#REF!</v>
      </c>
      <c r="J223" s="1568" t="e">
        <f t="shared" ref="J223:L223" si="237">SUM(J197)</f>
        <v>#REF!</v>
      </c>
      <c r="K223" s="1576"/>
      <c r="L223" s="1568" t="e">
        <f t="shared" si="237"/>
        <v>#REF!</v>
      </c>
      <c r="M223" s="1565" t="e">
        <f t="shared" ref="M223:M232" si="238">SUM(I223:L223)</f>
        <v>#REF!</v>
      </c>
      <c r="N223" s="1603"/>
      <c r="O223" s="1603"/>
      <c r="P223" s="347">
        <f>SUM(P197)</f>
        <v>0</v>
      </c>
      <c r="Q223" s="347">
        <f t="shared" ref="Q223:S223" si="239">SUM(Q197)</f>
        <v>0</v>
      </c>
      <c r="R223" s="1117"/>
      <c r="S223" s="347">
        <f t="shared" si="239"/>
        <v>0</v>
      </c>
      <c r="T223" s="348">
        <f t="shared" ref="T223:T232" si="240">SUM(P223:S223)</f>
        <v>0</v>
      </c>
      <c r="U223" s="1045"/>
      <c r="V223" s="1045"/>
      <c r="W223" s="347">
        <f>SUM(W197)</f>
        <v>0</v>
      </c>
      <c r="X223" s="1117"/>
      <c r="Y223" s="347">
        <f t="shared" ref="Y223:Z223" si="241">SUM(Y197)</f>
        <v>0</v>
      </c>
      <c r="Z223" s="347">
        <f t="shared" si="241"/>
        <v>0</v>
      </c>
      <c r="AA223" s="348">
        <f t="shared" ref="AA223:AA232" si="242">SUM(W223:Z223)</f>
        <v>0</v>
      </c>
      <c r="AB223" s="347">
        <f>SUM(AB197)</f>
        <v>0</v>
      </c>
      <c r="AC223" s="1117"/>
      <c r="AD223" s="347">
        <f t="shared" ref="AD223:AE223" si="243">SUM(AD197)</f>
        <v>0</v>
      </c>
      <c r="AE223" s="347">
        <f t="shared" si="243"/>
        <v>0</v>
      </c>
      <c r="AF223" s="348">
        <f t="shared" ref="AF223:AF232" si="244">SUM(AB223:AE223)</f>
        <v>0</v>
      </c>
      <c r="AG223" s="347">
        <f>SUM(AG197)</f>
        <v>0</v>
      </c>
      <c r="AH223" s="1117"/>
      <c r="AI223" s="347">
        <f t="shared" ref="AI223:AJ223" si="245">SUM(AI197)</f>
        <v>0</v>
      </c>
      <c r="AJ223" s="347">
        <f t="shared" si="245"/>
        <v>0</v>
      </c>
      <c r="AK223" s="348">
        <f t="shared" ref="AK223:AK232" si="246">SUM(AG223:AJ223)</f>
        <v>0</v>
      </c>
      <c r="AL223" s="347" t="e">
        <f t="shared" ref="AL223:AL232" si="247">I223-(P223+AG223)</f>
        <v>#REF!</v>
      </c>
      <c r="AM223" s="1117"/>
      <c r="AN223" s="347" t="e">
        <f t="shared" ref="AN223:AN232" si="248">J223-(Q223+AI223)</f>
        <v>#REF!</v>
      </c>
      <c r="AO223" s="347" t="e">
        <f t="shared" ref="AO223:AO232" si="249">L223-(S223+AJ223)</f>
        <v>#REF!</v>
      </c>
      <c r="AP223" s="348" t="e">
        <f t="shared" ref="AP223:AP232" si="250">SUM(AL223:AO223)</f>
        <v>#REF!</v>
      </c>
      <c r="AQ223" s="726" t="e">
        <f t="shared" ref="AQ223:AQ233" si="251">I223/I$233%</f>
        <v>#REF!</v>
      </c>
      <c r="AR223" s="726" t="e">
        <f t="shared" ref="AR223:AR233" si="252">J223/J$233%</f>
        <v>#REF!</v>
      </c>
      <c r="AS223" s="726" t="e">
        <f t="shared" ref="AS223:AS233" si="253">L223/L$233%</f>
        <v>#REF!</v>
      </c>
      <c r="AT223" s="727" t="e">
        <f t="shared" ref="AT223:AT233" si="254">M223/M$233%</f>
        <v>#REF!</v>
      </c>
    </row>
    <row r="224" spans="1:46" ht="42.75" hidden="1">
      <c r="A224" s="344">
        <v>2</v>
      </c>
      <c r="B224" s="1550" t="s">
        <v>1677</v>
      </c>
      <c r="C224" s="1527"/>
      <c r="D224" s="1539"/>
      <c r="E224" s="1539"/>
      <c r="F224" s="1539"/>
      <c r="G224" s="1539"/>
      <c r="H224" s="1575" t="s">
        <v>1033</v>
      </c>
      <c r="I224" s="1568" t="e">
        <f>SUM(I198,I199,I200,I201,I213)</f>
        <v>#REF!</v>
      </c>
      <c r="J224" s="1568" t="e">
        <f t="shared" ref="J224:L224" si="255">SUM(J198,J199,J200,J201,J213)</f>
        <v>#REF!</v>
      </c>
      <c r="K224" s="1576"/>
      <c r="L224" s="1568" t="e">
        <f t="shared" si="255"/>
        <v>#REF!</v>
      </c>
      <c r="M224" s="1565" t="e">
        <f t="shared" si="238"/>
        <v>#REF!</v>
      </c>
      <c r="N224" s="1603"/>
      <c r="O224" s="1603"/>
      <c r="P224" s="347">
        <f>SUM(P198,P199,P200,P201,P213)</f>
        <v>0</v>
      </c>
      <c r="Q224" s="347">
        <f t="shared" ref="Q224:S224" si="256">SUM(Q198,Q199,Q200,Q201,Q213)</f>
        <v>0</v>
      </c>
      <c r="R224" s="1117"/>
      <c r="S224" s="347">
        <f t="shared" si="256"/>
        <v>0</v>
      </c>
      <c r="T224" s="348">
        <f t="shared" si="240"/>
        <v>0</v>
      </c>
      <c r="U224" s="1045"/>
      <c r="V224" s="1045"/>
      <c r="W224" s="347">
        <f>SUM(W198,W199,W200,W201,W213)</f>
        <v>0</v>
      </c>
      <c r="X224" s="1117"/>
      <c r="Y224" s="347">
        <f t="shared" ref="Y224:Z224" si="257">SUM(Y198,Y199,Y200,Y201,Y213)</f>
        <v>0</v>
      </c>
      <c r="Z224" s="347">
        <f t="shared" si="257"/>
        <v>0</v>
      </c>
      <c r="AA224" s="348">
        <f t="shared" si="242"/>
        <v>0</v>
      </c>
      <c r="AB224" s="347">
        <f>SUM(AB198,AB199,AB200,AB201,AB213)</f>
        <v>0</v>
      </c>
      <c r="AC224" s="1117"/>
      <c r="AD224" s="347">
        <f t="shared" ref="AD224:AE224" si="258">SUM(AD198,AD199,AD200,AD201,AD213)</f>
        <v>0</v>
      </c>
      <c r="AE224" s="347">
        <f t="shared" si="258"/>
        <v>0</v>
      </c>
      <c r="AF224" s="348">
        <f t="shared" si="244"/>
        <v>0</v>
      </c>
      <c r="AG224" s="347">
        <f>SUM(AG198,AG199,AG200,AG201,AG213)</f>
        <v>0</v>
      </c>
      <c r="AH224" s="1117"/>
      <c r="AI224" s="347">
        <f t="shared" ref="AI224:AJ224" si="259">SUM(AI198,AI199,AI200,AI201,AI213)</f>
        <v>0</v>
      </c>
      <c r="AJ224" s="347">
        <f t="shared" si="259"/>
        <v>0</v>
      </c>
      <c r="AK224" s="348">
        <f t="shared" si="246"/>
        <v>0</v>
      </c>
      <c r="AL224" s="347" t="e">
        <f t="shared" si="247"/>
        <v>#REF!</v>
      </c>
      <c r="AM224" s="1117"/>
      <c r="AN224" s="347" t="e">
        <f t="shared" si="248"/>
        <v>#REF!</v>
      </c>
      <c r="AO224" s="347" t="e">
        <f t="shared" si="249"/>
        <v>#REF!</v>
      </c>
      <c r="AP224" s="348" t="e">
        <f t="shared" si="250"/>
        <v>#REF!</v>
      </c>
      <c r="AQ224" s="726" t="e">
        <f t="shared" si="251"/>
        <v>#REF!</v>
      </c>
      <c r="AR224" s="726" t="e">
        <f t="shared" si="252"/>
        <v>#REF!</v>
      </c>
      <c r="AS224" s="726" t="e">
        <f t="shared" si="253"/>
        <v>#REF!</v>
      </c>
      <c r="AT224" s="727" t="e">
        <f t="shared" si="254"/>
        <v>#REF!</v>
      </c>
    </row>
    <row r="225" spans="1:46" ht="28.5" hidden="1">
      <c r="A225" s="344">
        <v>3</v>
      </c>
      <c r="B225" s="1550" t="s">
        <v>1678</v>
      </c>
      <c r="C225" s="1527"/>
      <c r="D225" s="1539"/>
      <c r="E225" s="1539"/>
      <c r="F225" s="1539"/>
      <c r="G225" s="1539"/>
      <c r="H225" s="1575" t="s">
        <v>1675</v>
      </c>
      <c r="I225" s="1568" t="e">
        <f>SUM(I202,I203,I206)</f>
        <v>#REF!</v>
      </c>
      <c r="J225" s="1568" t="e">
        <f t="shared" ref="J225:L225" si="260">SUM(J202,J203,J206)</f>
        <v>#REF!</v>
      </c>
      <c r="K225" s="1576"/>
      <c r="L225" s="1568" t="e">
        <f t="shared" si="260"/>
        <v>#REF!</v>
      </c>
      <c r="M225" s="1565" t="e">
        <f t="shared" si="238"/>
        <v>#REF!</v>
      </c>
      <c r="N225" s="1603"/>
      <c r="O225" s="1603"/>
      <c r="P225" s="347">
        <f>SUM(P202,P203,P206)</f>
        <v>0</v>
      </c>
      <c r="Q225" s="347">
        <f t="shared" ref="Q225:S225" si="261">SUM(Q202,Q203,Q206)</f>
        <v>0</v>
      </c>
      <c r="R225" s="1117"/>
      <c r="S225" s="347">
        <f t="shared" si="261"/>
        <v>0</v>
      </c>
      <c r="T225" s="348">
        <f t="shared" si="240"/>
        <v>0</v>
      </c>
      <c r="U225" s="1045"/>
      <c r="V225" s="1045"/>
      <c r="W225" s="347">
        <f>SUM(W202,W203,W206)</f>
        <v>0</v>
      </c>
      <c r="X225" s="1117"/>
      <c r="Y225" s="347">
        <f t="shared" ref="Y225:Z225" si="262">SUM(Y202,Y203,Y206)</f>
        <v>0</v>
      </c>
      <c r="Z225" s="347">
        <f t="shared" si="262"/>
        <v>0</v>
      </c>
      <c r="AA225" s="348">
        <f t="shared" si="242"/>
        <v>0</v>
      </c>
      <c r="AB225" s="347">
        <f>SUM(AB202,AB203,AB206)</f>
        <v>0</v>
      </c>
      <c r="AC225" s="1117"/>
      <c r="AD225" s="347">
        <f t="shared" ref="AD225:AE225" si="263">SUM(AD202,AD203,AD206)</f>
        <v>0</v>
      </c>
      <c r="AE225" s="347">
        <f t="shared" si="263"/>
        <v>0</v>
      </c>
      <c r="AF225" s="348">
        <f t="shared" si="244"/>
        <v>0</v>
      </c>
      <c r="AG225" s="347">
        <f>SUM(AG202,AG203,AG206)</f>
        <v>0</v>
      </c>
      <c r="AH225" s="1117"/>
      <c r="AI225" s="347">
        <f t="shared" ref="AI225:AJ225" si="264">SUM(AI202,AI203,AI206)</f>
        <v>0</v>
      </c>
      <c r="AJ225" s="347">
        <f t="shared" si="264"/>
        <v>0</v>
      </c>
      <c r="AK225" s="348">
        <f t="shared" si="246"/>
        <v>0</v>
      </c>
      <c r="AL225" s="347" t="e">
        <f t="shared" si="247"/>
        <v>#REF!</v>
      </c>
      <c r="AM225" s="1117"/>
      <c r="AN225" s="347" t="e">
        <f t="shared" si="248"/>
        <v>#REF!</v>
      </c>
      <c r="AO225" s="347" t="e">
        <f t="shared" si="249"/>
        <v>#REF!</v>
      </c>
      <c r="AP225" s="348" t="e">
        <f t="shared" si="250"/>
        <v>#REF!</v>
      </c>
      <c r="AQ225" s="726" t="e">
        <f t="shared" si="251"/>
        <v>#REF!</v>
      </c>
      <c r="AR225" s="726" t="e">
        <f t="shared" si="252"/>
        <v>#REF!</v>
      </c>
      <c r="AS225" s="726" t="e">
        <f t="shared" si="253"/>
        <v>#REF!</v>
      </c>
      <c r="AT225" s="727" t="e">
        <f t="shared" si="254"/>
        <v>#REF!</v>
      </c>
    </row>
    <row r="226" spans="1:46" hidden="1">
      <c r="A226" s="344">
        <v>4</v>
      </c>
      <c r="B226" s="1550" t="s">
        <v>1034</v>
      </c>
      <c r="C226" s="1527"/>
      <c r="D226" s="1539"/>
      <c r="E226" s="1539"/>
      <c r="F226" s="1539"/>
      <c r="G226" s="1539"/>
      <c r="H226" s="1575" t="s">
        <v>1676</v>
      </c>
      <c r="I226" s="1568" t="e">
        <f>SUM(I204,I205)</f>
        <v>#REF!</v>
      </c>
      <c r="J226" s="1568" t="e">
        <f t="shared" ref="J226:L226" si="265">SUM(J204,J205)</f>
        <v>#REF!</v>
      </c>
      <c r="K226" s="1576"/>
      <c r="L226" s="1568" t="e">
        <f t="shared" si="265"/>
        <v>#REF!</v>
      </c>
      <c r="M226" s="1565" t="e">
        <f t="shared" si="238"/>
        <v>#REF!</v>
      </c>
      <c r="N226" s="1603"/>
      <c r="O226" s="1603"/>
      <c r="P226" s="347">
        <f>SUM(P204,P205)</f>
        <v>0</v>
      </c>
      <c r="Q226" s="347">
        <f t="shared" ref="Q226:S226" si="266">SUM(Q204,Q205)</f>
        <v>0</v>
      </c>
      <c r="R226" s="1117"/>
      <c r="S226" s="347">
        <f t="shared" si="266"/>
        <v>0</v>
      </c>
      <c r="T226" s="348">
        <f t="shared" si="240"/>
        <v>0</v>
      </c>
      <c r="U226" s="1045"/>
      <c r="V226" s="1045"/>
      <c r="W226" s="347">
        <f>SUM(W204,W205)</f>
        <v>0</v>
      </c>
      <c r="X226" s="1117"/>
      <c r="Y226" s="347">
        <f t="shared" ref="Y226:Z226" si="267">SUM(Y204,Y205)</f>
        <v>0</v>
      </c>
      <c r="Z226" s="347">
        <f t="shared" si="267"/>
        <v>0</v>
      </c>
      <c r="AA226" s="348">
        <f t="shared" si="242"/>
        <v>0</v>
      </c>
      <c r="AB226" s="347">
        <f>SUM(AB204,AB205)</f>
        <v>0</v>
      </c>
      <c r="AC226" s="1117"/>
      <c r="AD226" s="347">
        <f t="shared" ref="AD226:AE226" si="268">SUM(AD204,AD205)</f>
        <v>0</v>
      </c>
      <c r="AE226" s="347">
        <f t="shared" si="268"/>
        <v>0</v>
      </c>
      <c r="AF226" s="348">
        <f t="shared" si="244"/>
        <v>0</v>
      </c>
      <c r="AG226" s="347">
        <f>SUM(AG204,AG205)</f>
        <v>0</v>
      </c>
      <c r="AH226" s="1117"/>
      <c r="AI226" s="347">
        <f t="shared" ref="AI226:AJ226" si="269">SUM(AI204,AI205)</f>
        <v>0</v>
      </c>
      <c r="AJ226" s="347">
        <f t="shared" si="269"/>
        <v>0</v>
      </c>
      <c r="AK226" s="348">
        <f t="shared" si="246"/>
        <v>0</v>
      </c>
      <c r="AL226" s="347" t="e">
        <f t="shared" si="247"/>
        <v>#REF!</v>
      </c>
      <c r="AM226" s="1117"/>
      <c r="AN226" s="347" t="e">
        <f t="shared" si="248"/>
        <v>#REF!</v>
      </c>
      <c r="AO226" s="347" t="e">
        <f t="shared" si="249"/>
        <v>#REF!</v>
      </c>
      <c r="AP226" s="348" t="e">
        <f t="shared" si="250"/>
        <v>#REF!</v>
      </c>
      <c r="AQ226" s="726" t="e">
        <f t="shared" si="251"/>
        <v>#REF!</v>
      </c>
      <c r="AR226" s="726" t="e">
        <f t="shared" si="252"/>
        <v>#REF!</v>
      </c>
      <c r="AS226" s="726" t="e">
        <f t="shared" si="253"/>
        <v>#REF!</v>
      </c>
      <c r="AT226" s="727" t="e">
        <f t="shared" si="254"/>
        <v>#REF!</v>
      </c>
    </row>
    <row r="227" spans="1:46" hidden="1">
      <c r="A227" s="344">
        <v>5</v>
      </c>
      <c r="B227" s="1550" t="s">
        <v>1025</v>
      </c>
      <c r="C227" s="1527"/>
      <c r="D227" s="1539"/>
      <c r="E227" s="1539"/>
      <c r="F227" s="1539"/>
      <c r="G227" s="1539"/>
      <c r="H227" s="1575" t="s">
        <v>1632</v>
      </c>
      <c r="I227" s="1568" t="e">
        <f>SUM(I209)</f>
        <v>#REF!</v>
      </c>
      <c r="J227" s="1568" t="e">
        <f t="shared" ref="J227:L227" si="270">SUM(J209)</f>
        <v>#REF!</v>
      </c>
      <c r="K227" s="1576"/>
      <c r="L227" s="1568" t="e">
        <f t="shared" si="270"/>
        <v>#REF!</v>
      </c>
      <c r="M227" s="1565" t="e">
        <f t="shared" si="238"/>
        <v>#REF!</v>
      </c>
      <c r="N227" s="1603"/>
      <c r="O227" s="1603"/>
      <c r="P227" s="347">
        <f>SUM(P209)</f>
        <v>0</v>
      </c>
      <c r="Q227" s="347">
        <f t="shared" ref="Q227:S227" si="271">SUM(Q209)</f>
        <v>0</v>
      </c>
      <c r="R227" s="1117"/>
      <c r="S227" s="347">
        <f t="shared" si="271"/>
        <v>0</v>
      </c>
      <c r="T227" s="348">
        <f t="shared" si="240"/>
        <v>0</v>
      </c>
      <c r="U227" s="1045"/>
      <c r="V227" s="1045"/>
      <c r="W227" s="347">
        <f>SUM(W209)</f>
        <v>0</v>
      </c>
      <c r="X227" s="1117"/>
      <c r="Y227" s="347">
        <f t="shared" ref="Y227:Z227" si="272">SUM(Y209)</f>
        <v>0</v>
      </c>
      <c r="Z227" s="347">
        <f t="shared" si="272"/>
        <v>0</v>
      </c>
      <c r="AA227" s="348">
        <f t="shared" si="242"/>
        <v>0</v>
      </c>
      <c r="AB227" s="347">
        <f>SUM(AB209)</f>
        <v>0</v>
      </c>
      <c r="AC227" s="1117"/>
      <c r="AD227" s="347">
        <f t="shared" ref="AD227:AE227" si="273">SUM(AD209)</f>
        <v>0</v>
      </c>
      <c r="AE227" s="347">
        <f t="shared" si="273"/>
        <v>0</v>
      </c>
      <c r="AF227" s="348">
        <f t="shared" si="244"/>
        <v>0</v>
      </c>
      <c r="AG227" s="347">
        <f>SUM(AG209)</f>
        <v>0</v>
      </c>
      <c r="AH227" s="1117"/>
      <c r="AI227" s="347">
        <f t="shared" ref="AI227:AJ227" si="274">SUM(AI209)</f>
        <v>0</v>
      </c>
      <c r="AJ227" s="347">
        <f t="shared" si="274"/>
        <v>0</v>
      </c>
      <c r="AK227" s="348">
        <f t="shared" si="246"/>
        <v>0</v>
      </c>
      <c r="AL227" s="347" t="e">
        <f t="shared" si="247"/>
        <v>#REF!</v>
      </c>
      <c r="AM227" s="1117"/>
      <c r="AN227" s="347" t="e">
        <f t="shared" si="248"/>
        <v>#REF!</v>
      </c>
      <c r="AO227" s="347" t="e">
        <f t="shared" si="249"/>
        <v>#REF!</v>
      </c>
      <c r="AP227" s="348" t="e">
        <f t="shared" si="250"/>
        <v>#REF!</v>
      </c>
      <c r="AQ227" s="726" t="e">
        <f t="shared" si="251"/>
        <v>#REF!</v>
      </c>
      <c r="AR227" s="726" t="e">
        <f t="shared" si="252"/>
        <v>#REF!</v>
      </c>
      <c r="AS227" s="726" t="e">
        <f t="shared" si="253"/>
        <v>#REF!</v>
      </c>
      <c r="AT227" s="727" t="e">
        <f t="shared" si="254"/>
        <v>#REF!</v>
      </c>
    </row>
    <row r="228" spans="1:46" ht="30" hidden="1">
      <c r="A228" s="344">
        <v>6</v>
      </c>
      <c r="B228" s="1550" t="s">
        <v>1035</v>
      </c>
      <c r="C228" s="1527"/>
      <c r="D228" s="1539"/>
      <c r="E228" s="1539"/>
      <c r="F228" s="1539"/>
      <c r="G228" s="1539"/>
      <c r="H228" s="1575" t="s">
        <v>1036</v>
      </c>
      <c r="I228" s="1568" t="e">
        <f>SUM(I196,I207,I208)</f>
        <v>#REF!</v>
      </c>
      <c r="J228" s="1568" t="e">
        <f>SUM(J196,J207,J208)</f>
        <v>#REF!</v>
      </c>
      <c r="K228" s="1576"/>
      <c r="L228" s="1568" t="e">
        <f>SUM(L196,L207,L208)</f>
        <v>#REF!</v>
      </c>
      <c r="M228" s="1565" t="e">
        <f t="shared" si="238"/>
        <v>#REF!</v>
      </c>
      <c r="N228" s="1603"/>
      <c r="O228" s="1603"/>
      <c r="P228" s="347">
        <f>SUM(P196,P207,P208)</f>
        <v>0</v>
      </c>
      <c r="Q228" s="347">
        <f>SUM(Q196,Q207,Q208)</f>
        <v>0</v>
      </c>
      <c r="R228" s="1117"/>
      <c r="S228" s="347">
        <f>SUM(S196,S207,S208)</f>
        <v>0</v>
      </c>
      <c r="T228" s="348">
        <f t="shared" si="240"/>
        <v>0</v>
      </c>
      <c r="U228" s="1045"/>
      <c r="V228" s="1045"/>
      <c r="W228" s="347">
        <f>SUM(W196,W207,W208)</f>
        <v>0</v>
      </c>
      <c r="X228" s="1117"/>
      <c r="Y228" s="347">
        <f>SUM(Y196,Y207,Y208)</f>
        <v>0</v>
      </c>
      <c r="Z228" s="347">
        <f>SUM(Z196,Z207,Z208)</f>
        <v>0</v>
      </c>
      <c r="AA228" s="348">
        <f t="shared" si="242"/>
        <v>0</v>
      </c>
      <c r="AB228" s="347">
        <f>SUM(AB196,AB207,AB208)</f>
        <v>0</v>
      </c>
      <c r="AC228" s="1117"/>
      <c r="AD228" s="347">
        <f>SUM(AD196,AD207,AD208)</f>
        <v>0</v>
      </c>
      <c r="AE228" s="347">
        <f>SUM(AE196,AE207,AE208)</f>
        <v>0</v>
      </c>
      <c r="AF228" s="348">
        <f t="shared" si="244"/>
        <v>0</v>
      </c>
      <c r="AG228" s="347">
        <f>SUM(AG196,AG207,AG208)</f>
        <v>0</v>
      </c>
      <c r="AH228" s="1117"/>
      <c r="AI228" s="347">
        <f>SUM(AI196,AI207,AI208)</f>
        <v>0</v>
      </c>
      <c r="AJ228" s="347">
        <f>SUM(AJ196,AJ207,AJ208)</f>
        <v>0</v>
      </c>
      <c r="AK228" s="348">
        <f t="shared" si="246"/>
        <v>0</v>
      </c>
      <c r="AL228" s="347" t="e">
        <f t="shared" si="247"/>
        <v>#REF!</v>
      </c>
      <c r="AM228" s="1117"/>
      <c r="AN228" s="347" t="e">
        <f t="shared" si="248"/>
        <v>#REF!</v>
      </c>
      <c r="AO228" s="347" t="e">
        <f t="shared" si="249"/>
        <v>#REF!</v>
      </c>
      <c r="AP228" s="348" t="e">
        <f t="shared" si="250"/>
        <v>#REF!</v>
      </c>
      <c r="AQ228" s="726" t="e">
        <f t="shared" si="251"/>
        <v>#REF!</v>
      </c>
      <c r="AR228" s="726" t="e">
        <f t="shared" si="252"/>
        <v>#REF!</v>
      </c>
      <c r="AS228" s="726" t="e">
        <f t="shared" si="253"/>
        <v>#REF!</v>
      </c>
      <c r="AT228" s="727" t="e">
        <f t="shared" si="254"/>
        <v>#REF!</v>
      </c>
    </row>
    <row r="229" spans="1:46" hidden="1">
      <c r="A229" s="344">
        <v>7</v>
      </c>
      <c r="B229" s="1550" t="s">
        <v>1026</v>
      </c>
      <c r="C229" s="1527"/>
      <c r="D229" s="1539"/>
      <c r="E229" s="1539"/>
      <c r="F229" s="1539"/>
      <c r="G229" s="1539"/>
      <c r="H229" s="1575" t="s">
        <v>1007</v>
      </c>
      <c r="I229" s="1568" t="e">
        <f t="shared" ref="I229:L231" si="275">SUM(I210)</f>
        <v>#REF!</v>
      </c>
      <c r="J229" s="1568" t="e">
        <f t="shared" si="275"/>
        <v>#REF!</v>
      </c>
      <c r="K229" s="1576"/>
      <c r="L229" s="1568" t="e">
        <f t="shared" si="275"/>
        <v>#REF!</v>
      </c>
      <c r="M229" s="1565" t="e">
        <f t="shared" si="238"/>
        <v>#REF!</v>
      </c>
      <c r="N229" s="1603"/>
      <c r="O229" s="1603"/>
      <c r="P229" s="347">
        <f t="shared" ref="P229:S231" si="276">SUM(P210)</f>
        <v>0</v>
      </c>
      <c r="Q229" s="347">
        <f t="shared" si="276"/>
        <v>0</v>
      </c>
      <c r="R229" s="1117"/>
      <c r="S229" s="347">
        <f t="shared" si="276"/>
        <v>0</v>
      </c>
      <c r="T229" s="348">
        <f t="shared" si="240"/>
        <v>0</v>
      </c>
      <c r="U229" s="1045"/>
      <c r="V229" s="1045"/>
      <c r="W229" s="347">
        <f t="shared" ref="W229:Z231" si="277">SUM(W210)</f>
        <v>0</v>
      </c>
      <c r="X229" s="1117"/>
      <c r="Y229" s="347">
        <f t="shared" si="277"/>
        <v>0</v>
      </c>
      <c r="Z229" s="347">
        <f t="shared" si="277"/>
        <v>0</v>
      </c>
      <c r="AA229" s="348">
        <f t="shared" si="242"/>
        <v>0</v>
      </c>
      <c r="AB229" s="347">
        <f t="shared" ref="AB229:AE231" si="278">SUM(AB210)</f>
        <v>0</v>
      </c>
      <c r="AC229" s="1117"/>
      <c r="AD229" s="347">
        <f t="shared" si="278"/>
        <v>0</v>
      </c>
      <c r="AE229" s="347">
        <f t="shared" si="278"/>
        <v>0</v>
      </c>
      <c r="AF229" s="348">
        <f t="shared" si="244"/>
        <v>0</v>
      </c>
      <c r="AG229" s="347">
        <f t="shared" ref="AG229:AJ231" si="279">SUM(AG210)</f>
        <v>0</v>
      </c>
      <c r="AH229" s="1117"/>
      <c r="AI229" s="347">
        <f t="shared" si="279"/>
        <v>0</v>
      </c>
      <c r="AJ229" s="347">
        <f t="shared" si="279"/>
        <v>0</v>
      </c>
      <c r="AK229" s="348">
        <f t="shared" si="246"/>
        <v>0</v>
      </c>
      <c r="AL229" s="347" t="e">
        <f t="shared" si="247"/>
        <v>#REF!</v>
      </c>
      <c r="AM229" s="1117"/>
      <c r="AN229" s="347" t="e">
        <f t="shared" si="248"/>
        <v>#REF!</v>
      </c>
      <c r="AO229" s="347" t="e">
        <f t="shared" si="249"/>
        <v>#REF!</v>
      </c>
      <c r="AP229" s="348" t="e">
        <f t="shared" si="250"/>
        <v>#REF!</v>
      </c>
      <c r="AQ229" s="726" t="e">
        <f t="shared" si="251"/>
        <v>#REF!</v>
      </c>
      <c r="AR229" s="726" t="e">
        <f t="shared" si="252"/>
        <v>#REF!</v>
      </c>
      <c r="AS229" s="726" t="e">
        <f t="shared" si="253"/>
        <v>#REF!</v>
      </c>
      <c r="AT229" s="727" t="e">
        <f t="shared" si="254"/>
        <v>#REF!</v>
      </c>
    </row>
    <row r="230" spans="1:46" hidden="1">
      <c r="A230" s="344">
        <v>8</v>
      </c>
      <c r="B230" s="1550" t="s">
        <v>1027</v>
      </c>
      <c r="C230" s="1527"/>
      <c r="D230" s="1539"/>
      <c r="E230" s="1539"/>
      <c r="F230" s="1539"/>
      <c r="G230" s="1539"/>
      <c r="H230" s="1575" t="s">
        <v>1006</v>
      </c>
      <c r="I230" s="1568" t="e">
        <f t="shared" si="275"/>
        <v>#REF!</v>
      </c>
      <c r="J230" s="1568" t="e">
        <f t="shared" si="275"/>
        <v>#REF!</v>
      </c>
      <c r="K230" s="1576"/>
      <c r="L230" s="1568" t="e">
        <f t="shared" si="275"/>
        <v>#REF!</v>
      </c>
      <c r="M230" s="1565" t="e">
        <f t="shared" si="238"/>
        <v>#REF!</v>
      </c>
      <c r="N230" s="1603"/>
      <c r="O230" s="1603"/>
      <c r="P230" s="347">
        <f t="shared" si="276"/>
        <v>0</v>
      </c>
      <c r="Q230" s="347">
        <f t="shared" si="276"/>
        <v>0</v>
      </c>
      <c r="R230" s="1117"/>
      <c r="S230" s="347">
        <f t="shared" si="276"/>
        <v>0</v>
      </c>
      <c r="T230" s="348">
        <f t="shared" si="240"/>
        <v>0</v>
      </c>
      <c r="U230" s="1045"/>
      <c r="V230" s="1045"/>
      <c r="W230" s="347">
        <f t="shared" si="277"/>
        <v>0</v>
      </c>
      <c r="X230" s="1117"/>
      <c r="Y230" s="347">
        <f t="shared" si="277"/>
        <v>0</v>
      </c>
      <c r="Z230" s="347">
        <f t="shared" si="277"/>
        <v>0</v>
      </c>
      <c r="AA230" s="348">
        <f t="shared" si="242"/>
        <v>0</v>
      </c>
      <c r="AB230" s="347">
        <f t="shared" si="278"/>
        <v>0</v>
      </c>
      <c r="AC230" s="1117"/>
      <c r="AD230" s="347">
        <f t="shared" si="278"/>
        <v>0</v>
      </c>
      <c r="AE230" s="347">
        <f t="shared" si="278"/>
        <v>0</v>
      </c>
      <c r="AF230" s="348">
        <f t="shared" si="244"/>
        <v>0</v>
      </c>
      <c r="AG230" s="347">
        <f t="shared" si="279"/>
        <v>0</v>
      </c>
      <c r="AH230" s="1117"/>
      <c r="AI230" s="347">
        <f t="shared" si="279"/>
        <v>0</v>
      </c>
      <c r="AJ230" s="347">
        <f t="shared" si="279"/>
        <v>0</v>
      </c>
      <c r="AK230" s="348">
        <f t="shared" si="246"/>
        <v>0</v>
      </c>
      <c r="AL230" s="347" t="e">
        <f t="shared" si="247"/>
        <v>#REF!</v>
      </c>
      <c r="AM230" s="1117"/>
      <c r="AN230" s="347" t="e">
        <f t="shared" si="248"/>
        <v>#REF!</v>
      </c>
      <c r="AO230" s="347" t="e">
        <f t="shared" si="249"/>
        <v>#REF!</v>
      </c>
      <c r="AP230" s="348" t="e">
        <f t="shared" si="250"/>
        <v>#REF!</v>
      </c>
      <c r="AQ230" s="726" t="e">
        <f t="shared" si="251"/>
        <v>#REF!</v>
      </c>
      <c r="AR230" s="726" t="e">
        <f t="shared" si="252"/>
        <v>#REF!</v>
      </c>
      <c r="AS230" s="726" t="e">
        <f t="shared" si="253"/>
        <v>#REF!</v>
      </c>
      <c r="AT230" s="727" t="e">
        <f t="shared" si="254"/>
        <v>#REF!</v>
      </c>
    </row>
    <row r="231" spans="1:46" hidden="1">
      <c r="A231" s="344">
        <v>9</v>
      </c>
      <c r="B231" s="1550" t="s">
        <v>1629</v>
      </c>
      <c r="C231" s="1527"/>
      <c r="D231" s="1539"/>
      <c r="E231" s="1539"/>
      <c r="F231" s="1539"/>
      <c r="G231" s="1539"/>
      <c r="H231" s="1575" t="s">
        <v>752</v>
      </c>
      <c r="I231" s="1568" t="e">
        <f t="shared" si="275"/>
        <v>#REF!</v>
      </c>
      <c r="J231" s="1568" t="e">
        <f t="shared" si="275"/>
        <v>#REF!</v>
      </c>
      <c r="K231" s="1576"/>
      <c r="L231" s="1568" t="e">
        <f t="shared" si="275"/>
        <v>#REF!</v>
      </c>
      <c r="M231" s="1565" t="e">
        <f t="shared" si="238"/>
        <v>#REF!</v>
      </c>
      <c r="N231" s="1603"/>
      <c r="O231" s="1603"/>
      <c r="P231" s="347">
        <f t="shared" si="276"/>
        <v>0</v>
      </c>
      <c r="Q231" s="347">
        <f t="shared" si="276"/>
        <v>0</v>
      </c>
      <c r="R231" s="1117"/>
      <c r="S231" s="347">
        <f t="shared" si="276"/>
        <v>0</v>
      </c>
      <c r="T231" s="348">
        <f t="shared" si="240"/>
        <v>0</v>
      </c>
      <c r="U231" s="1045"/>
      <c r="V231" s="1045"/>
      <c r="W231" s="347">
        <f t="shared" si="277"/>
        <v>0</v>
      </c>
      <c r="X231" s="1117"/>
      <c r="Y231" s="347">
        <f t="shared" si="277"/>
        <v>0</v>
      </c>
      <c r="Z231" s="347">
        <f t="shared" si="277"/>
        <v>0</v>
      </c>
      <c r="AA231" s="348">
        <f t="shared" si="242"/>
        <v>0</v>
      </c>
      <c r="AB231" s="347">
        <f t="shared" si="278"/>
        <v>0</v>
      </c>
      <c r="AC231" s="1117"/>
      <c r="AD231" s="347">
        <f t="shared" si="278"/>
        <v>0</v>
      </c>
      <c r="AE231" s="347">
        <f t="shared" si="278"/>
        <v>0</v>
      </c>
      <c r="AF231" s="348">
        <f t="shared" si="244"/>
        <v>0</v>
      </c>
      <c r="AG231" s="347">
        <f t="shared" si="279"/>
        <v>0</v>
      </c>
      <c r="AH231" s="1117"/>
      <c r="AI231" s="347">
        <f t="shared" si="279"/>
        <v>0</v>
      </c>
      <c r="AJ231" s="347">
        <f t="shared" si="279"/>
        <v>0</v>
      </c>
      <c r="AK231" s="348">
        <f t="shared" si="246"/>
        <v>0</v>
      </c>
      <c r="AL231" s="347" t="e">
        <f t="shared" si="247"/>
        <v>#REF!</v>
      </c>
      <c r="AM231" s="1117"/>
      <c r="AN231" s="347" t="e">
        <f t="shared" si="248"/>
        <v>#REF!</v>
      </c>
      <c r="AO231" s="347" t="e">
        <f t="shared" si="249"/>
        <v>#REF!</v>
      </c>
      <c r="AP231" s="348" t="e">
        <f t="shared" si="250"/>
        <v>#REF!</v>
      </c>
      <c r="AQ231" s="726" t="e">
        <f t="shared" si="251"/>
        <v>#REF!</v>
      </c>
      <c r="AR231" s="726" t="e">
        <f t="shared" si="252"/>
        <v>#REF!</v>
      </c>
      <c r="AS231" s="726" t="e">
        <f t="shared" si="253"/>
        <v>#REF!</v>
      </c>
      <c r="AT231" s="727" t="e">
        <f t="shared" si="254"/>
        <v>#REF!</v>
      </c>
    </row>
    <row r="232" spans="1:46" hidden="1">
      <c r="A232" s="344">
        <v>10</v>
      </c>
      <c r="B232" s="1550" t="s">
        <v>1029</v>
      </c>
      <c r="C232" s="1527"/>
      <c r="D232" s="1539"/>
      <c r="E232" s="1539"/>
      <c r="F232" s="1539"/>
      <c r="G232" s="1539"/>
      <c r="H232" s="1575" t="s">
        <v>749</v>
      </c>
      <c r="I232" s="1568" t="e">
        <f>SUM(I214)</f>
        <v>#REF!</v>
      </c>
      <c r="J232" s="1568" t="e">
        <f>SUM(J214)</f>
        <v>#REF!</v>
      </c>
      <c r="K232" s="1576"/>
      <c r="L232" s="1568" t="e">
        <f>SUM(L214)</f>
        <v>#REF!</v>
      </c>
      <c r="M232" s="1565" t="e">
        <f t="shared" si="238"/>
        <v>#REF!</v>
      </c>
      <c r="N232" s="1603"/>
      <c r="O232" s="1603"/>
      <c r="P232" s="347">
        <f>SUM(P214)</f>
        <v>0</v>
      </c>
      <c r="Q232" s="347">
        <f>SUM(Q214)</f>
        <v>0</v>
      </c>
      <c r="R232" s="1117"/>
      <c r="S232" s="347">
        <f>SUM(S214)</f>
        <v>0</v>
      </c>
      <c r="T232" s="348">
        <f t="shared" si="240"/>
        <v>0</v>
      </c>
      <c r="U232" s="1045"/>
      <c r="V232" s="1045"/>
      <c r="W232" s="347">
        <f>SUM(W214)</f>
        <v>0</v>
      </c>
      <c r="X232" s="1117"/>
      <c r="Y232" s="347">
        <f>SUM(Y214)</f>
        <v>0</v>
      </c>
      <c r="Z232" s="347">
        <f>SUM(Z214)</f>
        <v>0</v>
      </c>
      <c r="AA232" s="348">
        <f t="shared" si="242"/>
        <v>0</v>
      </c>
      <c r="AB232" s="347">
        <f>SUM(AB214)</f>
        <v>0</v>
      </c>
      <c r="AC232" s="1117"/>
      <c r="AD232" s="347">
        <f>SUM(AD214)</f>
        <v>0</v>
      </c>
      <c r="AE232" s="347">
        <f>SUM(AE214)</f>
        <v>0</v>
      </c>
      <c r="AF232" s="348">
        <f t="shared" si="244"/>
        <v>0</v>
      </c>
      <c r="AG232" s="347">
        <f>SUM(AG214)</f>
        <v>0</v>
      </c>
      <c r="AH232" s="1117"/>
      <c r="AI232" s="347">
        <f>SUM(AI214)</f>
        <v>0</v>
      </c>
      <c r="AJ232" s="347">
        <f>SUM(AJ214)</f>
        <v>0</v>
      </c>
      <c r="AK232" s="348">
        <f t="shared" si="246"/>
        <v>0</v>
      </c>
      <c r="AL232" s="347" t="e">
        <f t="shared" si="247"/>
        <v>#REF!</v>
      </c>
      <c r="AM232" s="1117"/>
      <c r="AN232" s="347" t="e">
        <f t="shared" si="248"/>
        <v>#REF!</v>
      </c>
      <c r="AO232" s="347" t="e">
        <f t="shared" si="249"/>
        <v>#REF!</v>
      </c>
      <c r="AP232" s="348" t="e">
        <f t="shared" si="250"/>
        <v>#REF!</v>
      </c>
      <c r="AQ232" s="726" t="e">
        <f t="shared" si="251"/>
        <v>#REF!</v>
      </c>
      <c r="AR232" s="726" t="e">
        <f t="shared" si="252"/>
        <v>#REF!</v>
      </c>
      <c r="AS232" s="726" t="e">
        <f t="shared" si="253"/>
        <v>#REF!</v>
      </c>
      <c r="AT232" s="727" t="e">
        <f t="shared" si="254"/>
        <v>#REF!</v>
      </c>
    </row>
    <row r="233" spans="1:46" ht="15.75" hidden="1">
      <c r="A233" s="349"/>
      <c r="B233" s="1555" t="s">
        <v>809</v>
      </c>
      <c r="C233" s="1530"/>
      <c r="D233" s="1542"/>
      <c r="E233" s="1542"/>
      <c r="F233" s="1542"/>
      <c r="G233" s="1542"/>
      <c r="H233" s="1556"/>
      <c r="I233" s="1567" t="e">
        <f t="shared" ref="I233:AP233" si="280">SUM(I223:I232)</f>
        <v>#REF!</v>
      </c>
      <c r="J233" s="1567" t="e">
        <f t="shared" si="280"/>
        <v>#REF!</v>
      </c>
      <c r="K233" s="1580"/>
      <c r="L233" s="1567" t="e">
        <f t="shared" si="280"/>
        <v>#REF!</v>
      </c>
      <c r="M233" s="1569" t="e">
        <f t="shared" si="280"/>
        <v>#REF!</v>
      </c>
      <c r="N233" s="1605"/>
      <c r="O233" s="1605"/>
      <c r="P233" s="351">
        <f t="shared" si="280"/>
        <v>0</v>
      </c>
      <c r="Q233" s="351">
        <f t="shared" si="280"/>
        <v>0</v>
      </c>
      <c r="R233" s="1046"/>
      <c r="S233" s="351">
        <f t="shared" si="280"/>
        <v>0</v>
      </c>
      <c r="T233" s="352">
        <f t="shared" si="280"/>
        <v>0</v>
      </c>
      <c r="U233" s="1047"/>
      <c r="V233" s="1047"/>
      <c r="W233" s="351">
        <f t="shared" si="280"/>
        <v>0</v>
      </c>
      <c r="X233" s="1046"/>
      <c r="Y233" s="351">
        <f t="shared" si="280"/>
        <v>0</v>
      </c>
      <c r="Z233" s="351">
        <f t="shared" si="280"/>
        <v>0</v>
      </c>
      <c r="AA233" s="352">
        <f t="shared" si="280"/>
        <v>0</v>
      </c>
      <c r="AB233" s="351">
        <f t="shared" si="280"/>
        <v>0</v>
      </c>
      <c r="AC233" s="1046"/>
      <c r="AD233" s="351">
        <f t="shared" si="280"/>
        <v>0</v>
      </c>
      <c r="AE233" s="351">
        <f t="shared" si="280"/>
        <v>0</v>
      </c>
      <c r="AF233" s="352">
        <f t="shared" si="280"/>
        <v>0</v>
      </c>
      <c r="AG233" s="351">
        <f t="shared" si="280"/>
        <v>0</v>
      </c>
      <c r="AH233" s="1046"/>
      <c r="AI233" s="351">
        <f t="shared" si="280"/>
        <v>0</v>
      </c>
      <c r="AJ233" s="351">
        <f t="shared" si="280"/>
        <v>0</v>
      </c>
      <c r="AK233" s="352">
        <f t="shared" si="280"/>
        <v>0</v>
      </c>
      <c r="AL233" s="351" t="e">
        <f t="shared" si="280"/>
        <v>#REF!</v>
      </c>
      <c r="AM233" s="1046"/>
      <c r="AN233" s="351" t="e">
        <f t="shared" si="280"/>
        <v>#REF!</v>
      </c>
      <c r="AO233" s="351" t="e">
        <f t="shared" si="280"/>
        <v>#REF!</v>
      </c>
      <c r="AP233" s="352" t="e">
        <f t="shared" si="280"/>
        <v>#REF!</v>
      </c>
      <c r="AQ233" s="727" t="e">
        <f t="shared" si="251"/>
        <v>#REF!</v>
      </c>
      <c r="AR233" s="727" t="e">
        <f t="shared" si="252"/>
        <v>#REF!</v>
      </c>
      <c r="AS233" s="727" t="e">
        <f t="shared" si="253"/>
        <v>#REF!</v>
      </c>
      <c r="AT233" s="727" t="e">
        <f t="shared" si="254"/>
        <v>#REF!</v>
      </c>
    </row>
    <row r="234" spans="1:46" hidden="1"/>
    <row r="235" spans="1:46" hidden="1">
      <c r="A235" s="478"/>
      <c r="B235" s="1533" t="s">
        <v>26</v>
      </c>
      <c r="C235" s="1533"/>
      <c r="H235" s="1571"/>
      <c r="I235" s="1572" t="e">
        <f>I134-I233</f>
        <v>#REF!</v>
      </c>
      <c r="J235" s="1572" t="e">
        <f>J134-J233</f>
        <v>#REF!</v>
      </c>
      <c r="K235" s="1572"/>
      <c r="L235" s="1572" t="e">
        <f>L134-L233</f>
        <v>#REF!</v>
      </c>
      <c r="M235" s="1572" t="e">
        <f>M134-M233</f>
        <v>#REF!</v>
      </c>
      <c r="N235" s="1572"/>
      <c r="O235" s="1572"/>
      <c r="P235" s="481">
        <f>P134-P233</f>
        <v>7478079</v>
      </c>
      <c r="Q235" s="481">
        <f>Q134-Q233</f>
        <v>7505841</v>
      </c>
      <c r="R235" s="481"/>
      <c r="S235" s="481">
        <f>S134-S233</f>
        <v>8100960</v>
      </c>
      <c r="T235" s="481">
        <f>T134-T233</f>
        <v>30962809.5</v>
      </c>
      <c r="U235" s="481"/>
      <c r="V235" s="481"/>
      <c r="W235" s="481">
        <f>U134-W233</f>
        <v>2922159.9513527206</v>
      </c>
      <c r="X235" s="481"/>
      <c r="Y235" s="481">
        <f>V134-Y233</f>
        <v>2285849.1780246221</v>
      </c>
      <c r="Z235" s="481">
        <f>X134-Z233</f>
        <v>1784833.6299284832</v>
      </c>
      <c r="AA235" s="481">
        <f>Y134-AA233</f>
        <v>9262563.2882457748</v>
      </c>
      <c r="AB235" s="481">
        <f>Z134-AB233</f>
        <v>813149.8638698631</v>
      </c>
      <c r="AC235" s="481"/>
      <c r="AD235" s="481">
        <f>AA134-AD233</f>
        <v>0</v>
      </c>
      <c r="AE235" s="481">
        <f>AC134-AE233</f>
        <v>0</v>
      </c>
      <c r="AF235" s="481">
        <f>AD134-AF233</f>
        <v>813149.8638698631</v>
      </c>
      <c r="AG235" s="481">
        <f>AE134-AG233</f>
        <v>3735309.8152225842</v>
      </c>
      <c r="AH235" s="481"/>
      <c r="AI235" s="481">
        <f>AF134-AI233</f>
        <v>2285849.1780246221</v>
      </c>
      <c r="AJ235" s="481">
        <f>AH134-AJ233</f>
        <v>1784833.6299284832</v>
      </c>
      <c r="AK235" s="481">
        <f>AI134-AK233</f>
        <v>10075713.152115639</v>
      </c>
      <c r="AL235" s="481" t="e">
        <f>AJ134-AL233</f>
        <v>#REF!</v>
      </c>
      <c r="AM235" s="481"/>
      <c r="AN235" s="481" t="e">
        <f>AK134-AN233</f>
        <v>#REF!</v>
      </c>
      <c r="AO235" s="481" t="e">
        <f>AM134-AO233</f>
        <v>#REF!</v>
      </c>
      <c r="AP235" s="481" t="e">
        <f>AN134-AP233</f>
        <v>#REF!</v>
      </c>
    </row>
    <row r="236" spans="1:46" hidden="1"/>
    <row r="237" spans="1:46" hidden="1"/>
    <row r="239" spans="1:46">
      <c r="B239" s="1531" t="s">
        <v>1888</v>
      </c>
      <c r="I239" s="1581">
        <f>AVERAGE(I159:L159)</f>
        <v>11822498.587083358</v>
      </c>
      <c r="J239" s="1558"/>
      <c r="K239" s="1558"/>
      <c r="T239" s="1303">
        <f>M159/3700000</f>
        <v>12.781079553603629</v>
      </c>
    </row>
    <row r="240" spans="1:46">
      <c r="B240" s="1531" t="s">
        <v>1828</v>
      </c>
      <c r="I240" s="1581">
        <v>3700000</v>
      </c>
      <c r="J240" s="1582"/>
      <c r="K240" s="1582"/>
    </row>
    <row r="241" spans="1:42">
      <c r="B241" s="1531" t="s">
        <v>1829</v>
      </c>
      <c r="I241" s="1583">
        <f>I239/I240</f>
        <v>3.1952698884009076</v>
      </c>
    </row>
    <row r="242" spans="1:42">
      <c r="B242" s="1531">
        <f>I239/3000</f>
        <v>3940.8328623611196</v>
      </c>
    </row>
    <row r="243" spans="1:42">
      <c r="I243" s="1584">
        <v>2016</v>
      </c>
      <c r="J243" s="1584">
        <v>2017</v>
      </c>
      <c r="K243" s="1584">
        <v>2018</v>
      </c>
      <c r="L243" s="1585" t="s">
        <v>1348</v>
      </c>
      <c r="M243" s="1570">
        <v>2019</v>
      </c>
      <c r="N243" s="1570"/>
      <c r="O243" s="1570"/>
      <c r="P243" s="1305">
        <v>2020</v>
      </c>
      <c r="Q243" s="1305">
        <v>2021</v>
      </c>
      <c r="R243" s="1305">
        <v>2022</v>
      </c>
    </row>
    <row r="244" spans="1:42">
      <c r="B244" s="1531" t="s">
        <v>1830</v>
      </c>
      <c r="I244" s="1586">
        <f>P159/I159%</f>
        <v>59.779444483178089</v>
      </c>
      <c r="J244" s="1586">
        <f>Q159/J159%</f>
        <v>64.597420742147918</v>
      </c>
      <c r="K244" s="1586">
        <f>S159/L159%</f>
        <v>70.913918086965936</v>
      </c>
      <c r="L244" s="1587">
        <f>T159/M159%</f>
        <v>65.474335378285318</v>
      </c>
      <c r="M244" s="1588">
        <f>P159/I159</f>
        <v>0.5977944448317809</v>
      </c>
      <c r="N244" s="1588"/>
      <c r="O244" s="1588"/>
      <c r="P244" s="1304">
        <f>Q159/J159</f>
        <v>0.64597420742147915</v>
      </c>
      <c r="Q244" s="1304">
        <f>R159/K159</f>
        <v>0.67117726807348821</v>
      </c>
      <c r="R244" s="1304">
        <f>S159/L159</f>
        <v>0.70913918086965932</v>
      </c>
    </row>
    <row r="245" spans="1:42">
      <c r="B245" s="1531" t="s">
        <v>1831</v>
      </c>
      <c r="I245" s="1586">
        <f>'NSP Summary Budget (16-18)'!D242</f>
        <v>18.956725367088634</v>
      </c>
      <c r="J245" s="1586">
        <f>'NSP Summary Budget (16-18)'!E242</f>
        <v>27.34641726500919</v>
      </c>
      <c r="K245" s="1586">
        <f>'NSP Summary Budget (16-18)'!F242</f>
        <v>20.040262303582313</v>
      </c>
      <c r="L245" s="1587">
        <f>Y159/M159%</f>
        <v>19.586729531026474</v>
      </c>
      <c r="M245" s="1531"/>
      <c r="N245" s="1531"/>
      <c r="O245" s="1531"/>
    </row>
    <row r="247" spans="1:42">
      <c r="B247" s="1531" t="s">
        <v>1832</v>
      </c>
      <c r="I247" s="1583">
        <f>'NSP Summary Budget (16-18)'!D244</f>
        <v>44.416932347835029</v>
      </c>
      <c r="T247" s="1415"/>
    </row>
    <row r="248" spans="1:42">
      <c r="B248" s="1531" t="s">
        <v>1889</v>
      </c>
    </row>
    <row r="253" spans="1:42" ht="24.75" customHeight="1">
      <c r="A253" s="1752" t="s">
        <v>243</v>
      </c>
      <c r="B253" s="1752" t="s">
        <v>2090</v>
      </c>
      <c r="C253" s="1752" t="s">
        <v>989</v>
      </c>
      <c r="D253" s="1752" t="s">
        <v>990</v>
      </c>
      <c r="E253" s="1752" t="s">
        <v>1896</v>
      </c>
      <c r="F253" s="1515" t="s">
        <v>2091</v>
      </c>
      <c r="G253" s="1752" t="s">
        <v>990</v>
      </c>
      <c r="H253" s="1752" t="s">
        <v>1896</v>
      </c>
      <c r="I253" s="1511" t="s">
        <v>2091</v>
      </c>
      <c r="J253" s="355"/>
      <c r="K253" s="355"/>
      <c r="L253" s="356"/>
      <c r="M253" s="356"/>
      <c r="N253" s="356"/>
      <c r="O253" s="355"/>
      <c r="T253" s="355"/>
      <c r="U253" s="355"/>
      <c r="V253" s="355"/>
      <c r="X253" s="356"/>
      <c r="AC253" s="356"/>
      <c r="AF253" s="355"/>
      <c r="AH253" s="356"/>
      <c r="AI253" s="330"/>
      <c r="AJ253" s="330"/>
      <c r="AK253" s="330"/>
      <c r="AL253" s="330"/>
      <c r="AM253" s="330"/>
      <c r="AN253" s="330"/>
      <c r="AO253" s="330"/>
      <c r="AP253" s="330"/>
    </row>
    <row r="254" spans="1:42" ht="27" customHeight="1">
      <c r="A254" s="1752"/>
      <c r="B254" s="1752"/>
      <c r="C254" s="1752"/>
      <c r="D254" s="1752"/>
      <c r="E254" s="1752"/>
      <c r="F254" s="1515" t="s">
        <v>2092</v>
      </c>
      <c r="G254" s="1752"/>
      <c r="H254" s="1752"/>
      <c r="I254" s="1511" t="s">
        <v>2092</v>
      </c>
      <c r="J254" s="355"/>
      <c r="K254" s="355"/>
      <c r="L254" s="356">
        <v>2636191</v>
      </c>
      <c r="M254" s="356">
        <v>2689193</v>
      </c>
      <c r="N254" s="356">
        <v>2716557</v>
      </c>
      <c r="O254" s="355">
        <f>$O$257/$L$257*L254</f>
        <v>131809.55555812956</v>
      </c>
      <c r="P254" s="355">
        <f>$P$257/$M$257*M254</f>
        <v>134459.6501366063</v>
      </c>
      <c r="Q254" s="355">
        <f>$Q$257/$N$257*N254</f>
        <v>135827.85769712864</v>
      </c>
      <c r="R254" s="355">
        <f>L254+O254</f>
        <v>2768000.5555581297</v>
      </c>
      <c r="S254" s="355">
        <f>M254+P254</f>
        <v>2823652.6501366063</v>
      </c>
      <c r="T254" s="355">
        <f>N254+Q254</f>
        <v>2852384.8576971288</v>
      </c>
      <c r="U254" s="355"/>
      <c r="V254" s="355"/>
      <c r="X254" s="356"/>
      <c r="AC254" s="356"/>
      <c r="AF254" s="355"/>
      <c r="AH254" s="356"/>
      <c r="AI254" s="330"/>
      <c r="AJ254" s="330"/>
      <c r="AK254" s="330"/>
      <c r="AL254" s="330"/>
      <c r="AM254" s="330"/>
      <c r="AN254" s="330"/>
      <c r="AO254" s="330"/>
      <c r="AP254" s="330"/>
    </row>
    <row r="255" spans="1:42">
      <c r="A255" s="1755">
        <v>1</v>
      </c>
      <c r="B255" s="1756" t="s">
        <v>1672</v>
      </c>
      <c r="C255" s="1757">
        <f>M140</f>
        <v>10664310.925089646</v>
      </c>
      <c r="D255" s="1749">
        <f>T10</f>
        <v>6718670</v>
      </c>
      <c r="E255" s="1751">
        <f>AI10</f>
        <v>2620452.5431976728</v>
      </c>
      <c r="F255" s="1751">
        <f>AN10</f>
        <v>1325188.3818919729</v>
      </c>
      <c r="G255" s="1746">
        <f>D255/C255</f>
        <v>0.63001445167855719</v>
      </c>
      <c r="H255" s="1748">
        <f>E255/C255</f>
        <v>0.24572169375075162</v>
      </c>
      <c r="I255" s="1748">
        <f>F255/C255</f>
        <v>0.12426385457069117</v>
      </c>
      <c r="J255" s="355"/>
      <c r="K255" s="355"/>
      <c r="L255" s="356">
        <v>6669293</v>
      </c>
      <c r="M255" s="356">
        <v>6652436</v>
      </c>
      <c r="N255" s="356">
        <v>6587102</v>
      </c>
      <c r="O255" s="355">
        <f t="shared" ref="O255:O256" si="281">$O$257/$L$257*L255</f>
        <v>333464.66406149807</v>
      </c>
      <c r="P255" s="355">
        <f t="shared" ref="P255:P256" si="282">$P$257/$M$257*M255</f>
        <v>332621.80033793213</v>
      </c>
      <c r="Q255" s="355">
        <f t="shared" ref="Q255:Q256" si="283">$Q$257/$N$257*N255</f>
        <v>329355.1186639822</v>
      </c>
      <c r="R255" s="355">
        <f t="shared" ref="R255:R256" si="284">L255+O255</f>
        <v>7002757.6640614979</v>
      </c>
      <c r="S255" s="355">
        <f t="shared" ref="S255:S256" si="285">M255+P255</f>
        <v>6985057.8003379321</v>
      </c>
      <c r="T255" s="355">
        <f t="shared" ref="T255:T256" si="286">N255+Q255</f>
        <v>6916457.1186639825</v>
      </c>
      <c r="U255" s="355"/>
      <c r="V255" s="355"/>
      <c r="X255" s="356"/>
      <c r="AC255" s="356"/>
      <c r="AF255" s="355"/>
      <c r="AH255" s="356"/>
      <c r="AI255" s="330"/>
      <c r="AJ255" s="330"/>
      <c r="AK255" s="330"/>
      <c r="AL255" s="330"/>
      <c r="AM255" s="330"/>
      <c r="AN255" s="330"/>
      <c r="AO255" s="330"/>
      <c r="AP255" s="330"/>
    </row>
    <row r="256" spans="1:42">
      <c r="A256" s="1755"/>
      <c r="B256" s="1756"/>
      <c r="C256" s="1757"/>
      <c r="D256" s="1750"/>
      <c r="E256" s="1751"/>
      <c r="F256" s="1751"/>
      <c r="G256" s="1747"/>
      <c r="H256" s="1748"/>
      <c r="I256" s="1748"/>
      <c r="J256" s="355"/>
      <c r="K256" s="355"/>
      <c r="L256" s="356">
        <v>1760623</v>
      </c>
      <c r="M256" s="356">
        <v>1836923</v>
      </c>
      <c r="N256" s="356">
        <v>1576010</v>
      </c>
      <c r="O256" s="355">
        <f t="shared" si="281"/>
        <v>88031.153712087165</v>
      </c>
      <c r="P256" s="355">
        <f t="shared" si="282"/>
        <v>91846.150093312477</v>
      </c>
      <c r="Q256" s="355">
        <f t="shared" si="283"/>
        <v>78800.50446548764</v>
      </c>
      <c r="R256" s="355">
        <f t="shared" si="284"/>
        <v>1848654.1537120871</v>
      </c>
      <c r="S256" s="355">
        <f t="shared" si="285"/>
        <v>1928769.1500933124</v>
      </c>
      <c r="T256" s="355">
        <f t="shared" si="286"/>
        <v>1654810.5044654876</v>
      </c>
      <c r="U256" s="355"/>
      <c r="V256" s="355"/>
      <c r="X256" s="356"/>
      <c r="AC256" s="356"/>
      <c r="AF256" s="355"/>
      <c r="AH256" s="356"/>
      <c r="AI256" s="330"/>
      <c r="AJ256" s="330"/>
      <c r="AK256" s="330"/>
      <c r="AL256" s="330"/>
      <c r="AM256" s="330"/>
      <c r="AN256" s="330"/>
      <c r="AO256" s="330"/>
      <c r="AP256" s="330"/>
    </row>
    <row r="257" spans="1:42">
      <c r="A257" s="1755">
        <v>2</v>
      </c>
      <c r="B257" s="1756" t="s">
        <v>1673</v>
      </c>
      <c r="C257" s="1751">
        <f>M145</f>
        <v>27120175.615397509</v>
      </c>
      <c r="D257" s="1751">
        <f>T51</f>
        <v>21866560</v>
      </c>
      <c r="E257" s="1751">
        <f>AI51</f>
        <v>1840532.7646684931</v>
      </c>
      <c r="F257" s="1751">
        <f>AN51</f>
        <v>3413082.8507290175</v>
      </c>
      <c r="G257" s="1748">
        <f>D257/C257</f>
        <v>0.80628386445938927</v>
      </c>
      <c r="H257" s="1748">
        <f>E257/C257</f>
        <v>6.7865812919866514E-2</v>
      </c>
      <c r="I257" s="1748">
        <f>F257/C257</f>
        <v>0.12585032262074425</v>
      </c>
      <c r="J257" s="355"/>
      <c r="K257" s="355"/>
      <c r="L257" s="356">
        <f>SUM(L254:L256)</f>
        <v>11066107</v>
      </c>
      <c r="M257" s="356">
        <f>SUM(M254:M256)</f>
        <v>11178552</v>
      </c>
      <c r="N257" s="356">
        <f>SUM(N254:N256)</f>
        <v>10879669</v>
      </c>
      <c r="O257" s="1568">
        <v>553305.37333171477</v>
      </c>
      <c r="P257" s="1568">
        <v>558927.60056785087</v>
      </c>
      <c r="Q257" s="1568">
        <v>543983.48082659848</v>
      </c>
      <c r="R257" s="355">
        <f>SUM(R254:R256)</f>
        <v>11619412.373331714</v>
      </c>
      <c r="S257" s="355">
        <f t="shared" ref="S257:T257" si="287">SUM(S254:S256)</f>
        <v>11737479.600567851</v>
      </c>
      <c r="T257" s="355">
        <f t="shared" si="287"/>
        <v>11423652.480826598</v>
      </c>
      <c r="U257" s="355"/>
      <c r="V257" s="355"/>
      <c r="X257" s="356"/>
      <c r="AC257" s="356"/>
      <c r="AF257" s="355"/>
      <c r="AH257" s="356"/>
      <c r="AI257" s="330"/>
      <c r="AJ257" s="330"/>
      <c r="AK257" s="330"/>
      <c r="AL257" s="330"/>
      <c r="AM257" s="330"/>
      <c r="AN257" s="330"/>
      <c r="AO257" s="330"/>
      <c r="AP257" s="330"/>
    </row>
    <row r="258" spans="1:42">
      <c r="A258" s="1755"/>
      <c r="B258" s="1756"/>
      <c r="C258" s="1751"/>
      <c r="D258" s="1755"/>
      <c r="E258" s="1755"/>
      <c r="F258" s="1755"/>
      <c r="G258" s="1748"/>
      <c r="H258" s="1748"/>
      <c r="I258" s="1748"/>
      <c r="J258" s="355"/>
      <c r="K258" s="355"/>
      <c r="L258" s="356"/>
      <c r="M258" s="356"/>
      <c r="N258" s="356"/>
      <c r="O258" s="355"/>
      <c r="T258" s="355"/>
      <c r="U258" s="355"/>
      <c r="V258" s="355"/>
      <c r="X258" s="356"/>
      <c r="AC258" s="356"/>
      <c r="AF258" s="355"/>
      <c r="AH258" s="356"/>
      <c r="AI258" s="330"/>
      <c r="AJ258" s="330"/>
      <c r="AK258" s="330"/>
      <c r="AL258" s="330"/>
      <c r="AM258" s="330"/>
      <c r="AN258" s="330"/>
      <c r="AO258" s="330"/>
      <c r="AP258" s="330"/>
    </row>
    <row r="259" spans="1:42" ht="30">
      <c r="A259" s="1508">
        <v>3</v>
      </c>
      <c r="B259" s="1516" t="s">
        <v>1674</v>
      </c>
      <c r="C259" s="1517">
        <f>M152</f>
        <v>7253603.3150684927</v>
      </c>
      <c r="D259" s="1517">
        <f>T152</f>
        <v>903160</v>
      </c>
      <c r="E259" s="1517">
        <f>Y152</f>
        <v>5134931.9798630141</v>
      </c>
      <c r="F259" s="1517">
        <f>AN152</f>
        <v>1215511.3352054793</v>
      </c>
      <c r="G259" s="1514">
        <f>D259/C259</f>
        <v>0.12451190956690356</v>
      </c>
      <c r="H259" s="1514">
        <f>E259/C259</f>
        <v>0.70791464005149107</v>
      </c>
      <c r="I259" s="1513">
        <f>F259/C259</f>
        <v>0.16757345038160551</v>
      </c>
      <c r="J259" s="355"/>
      <c r="K259" s="355"/>
      <c r="L259" s="356"/>
      <c r="M259" s="356"/>
      <c r="N259" s="356"/>
      <c r="O259" s="355"/>
      <c r="T259" s="355"/>
      <c r="U259" s="355"/>
      <c r="V259" s="355"/>
      <c r="X259" s="356"/>
      <c r="AC259" s="356"/>
      <c r="AF259" s="355"/>
      <c r="AH259" s="356"/>
      <c r="AI259" s="330"/>
      <c r="AJ259" s="330"/>
      <c r="AK259" s="330"/>
      <c r="AL259" s="330"/>
      <c r="AM259" s="330"/>
      <c r="AN259" s="330"/>
      <c r="AO259" s="330"/>
      <c r="AP259" s="330"/>
    </row>
    <row r="260" spans="1:42">
      <c r="A260" s="1508">
        <v>4</v>
      </c>
      <c r="B260" s="1516" t="s">
        <v>1009</v>
      </c>
      <c r="C260" s="1509">
        <f>M158</f>
        <v>2251904.4927777825</v>
      </c>
      <c r="D260" s="1517">
        <f>T158</f>
        <v>1474419.5</v>
      </c>
      <c r="E260" s="1517">
        <f>AD158</f>
        <v>38721.422089041102</v>
      </c>
      <c r="F260" s="1517">
        <f>AN158</f>
        <v>297689.12839132361</v>
      </c>
      <c r="G260" s="1514">
        <f>D260/C260</f>
        <v>0.65474335378285309</v>
      </c>
      <c r="H260" s="1514">
        <f>E260/C260</f>
        <v>1.7194966399874813E-2</v>
      </c>
      <c r="I260" s="1513">
        <f>F260/C260</f>
        <v>0.13219438450700738</v>
      </c>
      <c r="J260" s="355"/>
      <c r="K260" s="355"/>
      <c r="L260" s="356">
        <v>1588540</v>
      </c>
      <c r="M260" s="356">
        <v>1743070</v>
      </c>
      <c r="N260" s="356">
        <v>1948280</v>
      </c>
      <c r="O260" s="355">
        <f>$O$263/$L$263*L260</f>
        <v>79427</v>
      </c>
      <c r="P260" s="355">
        <f>$P$263/$M$263*M260</f>
        <v>87153.5</v>
      </c>
      <c r="Q260" s="355">
        <f>$Q$263/$N$263*N260</f>
        <v>97414</v>
      </c>
      <c r="R260" s="355">
        <f>L260+O260</f>
        <v>1667967</v>
      </c>
      <c r="S260" s="355">
        <f>M260+P260</f>
        <v>1830223.5</v>
      </c>
      <c r="T260" s="355">
        <f>N260+Q260</f>
        <v>2045694</v>
      </c>
      <c r="U260" s="355"/>
      <c r="V260" s="355"/>
      <c r="X260" s="356"/>
      <c r="AC260" s="356"/>
      <c r="AF260" s="355"/>
      <c r="AH260" s="356"/>
      <c r="AI260" s="330"/>
      <c r="AJ260" s="330"/>
      <c r="AK260" s="330"/>
      <c r="AL260" s="330"/>
      <c r="AM260" s="330"/>
      <c r="AN260" s="330"/>
      <c r="AO260" s="330"/>
      <c r="AP260" s="330"/>
    </row>
    <row r="261" spans="1:42">
      <c r="A261" s="1510"/>
      <c r="B261" s="1510" t="s">
        <v>809</v>
      </c>
      <c r="C261" s="1517">
        <f>M159</f>
        <v>47289994.348333426</v>
      </c>
      <c r="D261" s="1517">
        <f>T159</f>
        <v>30962809.5</v>
      </c>
      <c r="E261" s="1517">
        <f>AI134</f>
        <v>10075713.152115639</v>
      </c>
      <c r="F261" s="1517">
        <f>AN134</f>
        <v>6251471.696217793</v>
      </c>
      <c r="G261" s="1517"/>
      <c r="H261" s="1517"/>
      <c r="I261" s="1512"/>
      <c r="J261" s="355"/>
      <c r="K261" s="355"/>
      <c r="L261" s="356">
        <v>5415470</v>
      </c>
      <c r="M261" s="356">
        <v>5456580</v>
      </c>
      <c r="N261" s="356">
        <v>5455190</v>
      </c>
      <c r="O261" s="355">
        <f t="shared" ref="O261:O262" si="288">$O$263/$L$263*L261</f>
        <v>270773.5</v>
      </c>
      <c r="P261" s="355">
        <f t="shared" ref="P261:P262" si="289">$P$263/$M$263*M261</f>
        <v>272829</v>
      </c>
      <c r="Q261" s="355">
        <f t="shared" ref="Q261:Q262" si="290">$Q$263/$N$263*N261</f>
        <v>272759.5</v>
      </c>
      <c r="R261" s="355">
        <f t="shared" ref="R261:R262" si="291">L261+O261</f>
        <v>5686243.5</v>
      </c>
      <c r="S261" s="355">
        <f t="shared" ref="S261:S262" si="292">M261+P261</f>
        <v>5729409</v>
      </c>
      <c r="T261" s="355">
        <f t="shared" ref="T261:T262" si="293">N261+Q261</f>
        <v>5727949.5</v>
      </c>
      <c r="U261" s="355"/>
      <c r="V261" s="355"/>
      <c r="X261" s="356"/>
      <c r="AC261" s="356"/>
      <c r="AF261" s="355"/>
      <c r="AH261" s="356"/>
      <c r="AI261" s="330"/>
      <c r="AJ261" s="330"/>
      <c r="AK261" s="330"/>
      <c r="AL261" s="330"/>
      <c r="AM261" s="330"/>
      <c r="AN261" s="330"/>
      <c r="AO261" s="330"/>
      <c r="AP261" s="330"/>
    </row>
    <row r="262" spans="1:42">
      <c r="L262" s="1531">
        <v>144410</v>
      </c>
      <c r="M262" s="1559">
        <v>303140</v>
      </c>
      <c r="N262" s="1559">
        <v>311730</v>
      </c>
      <c r="O262" s="355">
        <f t="shared" si="288"/>
        <v>7220.5</v>
      </c>
      <c r="P262" s="355">
        <f t="shared" si="289"/>
        <v>15157</v>
      </c>
      <c r="Q262" s="355">
        <f t="shared" si="290"/>
        <v>15586.5</v>
      </c>
      <c r="R262" s="355">
        <f t="shared" si="291"/>
        <v>151630.5</v>
      </c>
      <c r="S262" s="355">
        <f t="shared" si="292"/>
        <v>318297</v>
      </c>
      <c r="T262" s="355">
        <f t="shared" si="293"/>
        <v>327316.5</v>
      </c>
    </row>
    <row r="263" spans="1:42">
      <c r="L263" s="1531">
        <f>SUM(L260:L262)</f>
        <v>7148420</v>
      </c>
      <c r="M263" s="1531">
        <f t="shared" ref="M263:N263" si="294">SUM(M260:M262)</f>
        <v>7502790</v>
      </c>
      <c r="N263" s="1531">
        <f t="shared" si="294"/>
        <v>7715200</v>
      </c>
      <c r="O263" s="347">
        <v>357421</v>
      </c>
      <c r="P263" s="347">
        <v>375139.5</v>
      </c>
      <c r="Q263" s="347">
        <v>385760</v>
      </c>
    </row>
    <row r="264" spans="1:42">
      <c r="B264" s="1531" t="s">
        <v>2093</v>
      </c>
    </row>
    <row r="265" spans="1:42">
      <c r="A265" s="1752" t="s">
        <v>243</v>
      </c>
      <c r="B265" s="1752" t="s">
        <v>2090</v>
      </c>
      <c r="C265" s="1752" t="s">
        <v>989</v>
      </c>
      <c r="D265" s="1752" t="s">
        <v>990</v>
      </c>
      <c r="E265" s="1752" t="s">
        <v>1896</v>
      </c>
      <c r="F265" s="1515" t="s">
        <v>2091</v>
      </c>
      <c r="G265" s="1531"/>
      <c r="H265" s="1559"/>
      <c r="I265" s="1559"/>
      <c r="J265" s="1559"/>
      <c r="K265" s="355"/>
      <c r="L265" s="355"/>
      <c r="M265" s="355"/>
      <c r="N265" s="355"/>
      <c r="O265" s="356"/>
      <c r="P265" s="356"/>
      <c r="Q265" s="356"/>
      <c r="T265" s="355"/>
      <c r="U265" s="355"/>
      <c r="V265" s="355"/>
      <c r="AA265" s="356"/>
      <c r="AL265" s="330"/>
      <c r="AM265" s="330"/>
      <c r="AN265" s="330"/>
      <c r="AO265" s="330"/>
      <c r="AP265" s="330"/>
    </row>
    <row r="266" spans="1:42">
      <c r="A266" s="1752"/>
      <c r="B266" s="1752"/>
      <c r="C266" s="1752"/>
      <c r="D266" s="1752"/>
      <c r="E266" s="1752"/>
      <c r="F266" s="1515" t="s">
        <v>2092</v>
      </c>
      <c r="G266" s="1531"/>
      <c r="H266" s="1559"/>
      <c r="I266" s="1559"/>
      <c r="J266" s="1559"/>
      <c r="K266" s="355"/>
      <c r="L266" s="355"/>
      <c r="M266" s="355"/>
      <c r="N266" s="355"/>
      <c r="O266" s="356"/>
      <c r="P266" s="356"/>
      <c r="Q266" s="356"/>
      <c r="T266" s="355"/>
      <c r="U266" s="355"/>
      <c r="V266" s="355"/>
      <c r="AA266" s="356"/>
      <c r="AL266" s="330"/>
      <c r="AM266" s="330"/>
      <c r="AN266" s="330"/>
      <c r="AO266" s="330"/>
      <c r="AP266" s="330"/>
    </row>
    <row r="267" spans="1:42">
      <c r="A267" s="1755">
        <v>1</v>
      </c>
      <c r="B267" s="1756" t="s">
        <v>1672</v>
      </c>
      <c r="C267" s="1757">
        <f>J10+K10+L10</f>
        <v>8041941.4379751468</v>
      </c>
      <c r="D267" s="1780">
        <f>Q10+R10+S10</f>
        <v>5279890</v>
      </c>
      <c r="E267" s="1751">
        <f>V10+W10+X10</f>
        <v>1507937.6024695756</v>
      </c>
      <c r="F267" s="1751">
        <f>C267-D267-E267</f>
        <v>1254113.8355055712</v>
      </c>
      <c r="G267" s="1531"/>
      <c r="H267" s="1559"/>
      <c r="I267" s="1559"/>
      <c r="J267" s="1559"/>
      <c r="K267" s="355"/>
      <c r="L267" s="355"/>
      <c r="M267" s="355"/>
      <c r="N267" s="355"/>
      <c r="O267" s="356"/>
      <c r="P267" s="356"/>
      <c r="Q267" s="356"/>
      <c r="T267" s="355"/>
      <c r="U267" s="355"/>
      <c r="V267" s="355"/>
      <c r="AA267" s="356"/>
      <c r="AL267" s="330"/>
      <c r="AM267" s="330"/>
      <c r="AN267" s="330"/>
      <c r="AO267" s="330"/>
      <c r="AP267" s="330"/>
    </row>
    <row r="268" spans="1:42">
      <c r="A268" s="1755"/>
      <c r="B268" s="1756"/>
      <c r="C268" s="1757"/>
      <c r="D268" s="1781"/>
      <c r="E268" s="1751"/>
      <c r="F268" s="1751"/>
      <c r="G268" s="1531"/>
      <c r="H268" s="1559"/>
      <c r="I268" s="1559"/>
      <c r="J268" s="1559"/>
      <c r="K268" s="355"/>
      <c r="L268" s="355"/>
      <c r="M268" s="355"/>
      <c r="N268" s="355"/>
      <c r="O268" s="356"/>
      <c r="P268" s="356"/>
      <c r="Q268" s="356"/>
      <c r="T268" s="355"/>
      <c r="U268" s="355"/>
      <c r="V268" s="355"/>
      <c r="AA268" s="356"/>
      <c r="AL268" s="330"/>
      <c r="AM268" s="330"/>
      <c r="AN268" s="330"/>
      <c r="AO268" s="330"/>
      <c r="AP268" s="330"/>
    </row>
    <row r="269" spans="1:42">
      <c r="A269" s="1755">
        <v>2</v>
      </c>
      <c r="B269" s="1756" t="s">
        <v>1673</v>
      </c>
      <c r="C269" s="1751">
        <f>J51+K51+L51</f>
        <v>19908831.656548131</v>
      </c>
      <c r="D269" s="1751">
        <f>Q145+R145+S145</f>
        <v>16327240</v>
      </c>
      <c r="E269" s="1751">
        <f>V145+W145+X145</f>
        <v>1067546.3159999999</v>
      </c>
      <c r="F269" s="1751">
        <f>C269-D269-E269</f>
        <v>2514045.3405481316</v>
      </c>
      <c r="G269" s="1531"/>
      <c r="H269" s="1559"/>
      <c r="I269" s="1559"/>
      <c r="J269" s="1559"/>
      <c r="K269" s="355"/>
      <c r="L269" s="355"/>
      <c r="M269" s="355"/>
      <c r="N269" s="355"/>
      <c r="O269" s="356"/>
      <c r="P269" s="356"/>
      <c r="Q269" s="356"/>
      <c r="T269" s="355"/>
      <c r="U269" s="355"/>
      <c r="V269" s="355"/>
      <c r="AA269" s="356"/>
      <c r="AL269" s="330"/>
      <c r="AM269" s="330"/>
      <c r="AN269" s="330"/>
      <c r="AO269" s="330"/>
      <c r="AP269" s="330"/>
    </row>
    <row r="270" spans="1:42">
      <c r="A270" s="1755"/>
      <c r="B270" s="1756"/>
      <c r="C270" s="1751"/>
      <c r="D270" s="1755"/>
      <c r="E270" s="1755"/>
      <c r="F270" s="1755"/>
      <c r="G270" s="1531"/>
      <c r="H270" s="1559"/>
      <c r="I270" s="1559"/>
      <c r="J270" s="1559"/>
      <c r="K270" s="355"/>
      <c r="L270" s="355"/>
      <c r="M270" s="355"/>
      <c r="N270" s="355"/>
      <c r="O270" s="356"/>
      <c r="P270" s="356"/>
      <c r="Q270" s="356"/>
      <c r="T270" s="355"/>
      <c r="U270" s="355"/>
      <c r="V270" s="355"/>
      <c r="AA270" s="356"/>
      <c r="AL270" s="330"/>
      <c r="AM270" s="330"/>
      <c r="AN270" s="330"/>
      <c r="AO270" s="330"/>
      <c r="AP270" s="330"/>
    </row>
    <row r="271" spans="1:42" ht="30">
      <c r="A271" s="1508">
        <v>3</v>
      </c>
      <c r="B271" s="1516" t="s">
        <v>1674</v>
      </c>
      <c r="C271" s="1517">
        <f>J152+K152+L152</f>
        <v>5173556</v>
      </c>
      <c r="D271" s="1517">
        <f>Q96+R96+S96</f>
        <v>759280</v>
      </c>
      <c r="E271" s="1517">
        <f>V96+W96+X96</f>
        <v>3462995.45</v>
      </c>
      <c r="F271" s="1517">
        <f>C271-D271-E271</f>
        <v>951280.54999999981</v>
      </c>
      <c r="G271" s="1531"/>
      <c r="H271" s="1559"/>
      <c r="I271" s="1559"/>
      <c r="J271" s="1559"/>
      <c r="K271" s="355"/>
      <c r="L271" s="355"/>
      <c r="M271" s="355"/>
      <c r="N271" s="355"/>
      <c r="O271" s="356"/>
      <c r="P271" s="356"/>
      <c r="Q271" s="356"/>
      <c r="T271" s="355"/>
      <c r="U271" s="355"/>
      <c r="V271" s="355"/>
      <c r="AA271" s="356"/>
      <c r="AL271" s="330"/>
      <c r="AM271" s="330"/>
      <c r="AN271" s="330"/>
      <c r="AO271" s="330"/>
      <c r="AP271" s="330"/>
    </row>
    <row r="272" spans="1:42">
      <c r="A272" s="1508">
        <v>4</v>
      </c>
      <c r="B272" s="1516" t="s">
        <v>1009</v>
      </c>
      <c r="C272" s="1509">
        <f>J158+K158+L158</f>
        <v>1656216.4547261642</v>
      </c>
      <c r="D272" s="1517">
        <f>Q158+R158+S158</f>
        <v>1118320.5</v>
      </c>
      <c r="E272" s="1517">
        <f>V158+W158+X158</f>
        <v>301923.96842347877</v>
      </c>
      <c r="F272" s="1517">
        <f>C272-D272-E272</f>
        <v>235971.98630268546</v>
      </c>
      <c r="G272" s="1531"/>
      <c r="H272" s="1559"/>
      <c r="I272" s="1559"/>
      <c r="J272" s="1559"/>
      <c r="K272" s="355"/>
      <c r="L272" s="355"/>
      <c r="M272" s="355"/>
      <c r="N272" s="355"/>
      <c r="O272" s="356"/>
      <c r="P272" s="356"/>
      <c r="Q272" s="356"/>
      <c r="T272" s="355"/>
      <c r="U272" s="355"/>
      <c r="V272" s="355"/>
      <c r="AA272" s="356"/>
      <c r="AL272" s="330"/>
      <c r="AM272" s="330"/>
      <c r="AN272" s="330"/>
      <c r="AO272" s="330"/>
      <c r="AP272" s="330"/>
    </row>
    <row r="273" spans="1:42">
      <c r="A273" s="1510"/>
      <c r="B273" s="1510" t="s">
        <v>809</v>
      </c>
      <c r="C273" s="1517">
        <f>C267+C269+C271+C272</f>
        <v>34780545.54924944</v>
      </c>
      <c r="D273" s="1517">
        <f t="shared" ref="D273:F273" si="295">D267+D269+D271+D272</f>
        <v>23484730.5</v>
      </c>
      <c r="E273" s="1517">
        <f t="shared" si="295"/>
        <v>6340403.3368930537</v>
      </c>
      <c r="F273" s="1517">
        <f t="shared" si="295"/>
        <v>4955411.7123563886</v>
      </c>
      <c r="G273" s="1531"/>
      <c r="H273" s="1559"/>
      <c r="I273" s="1559"/>
      <c r="J273" s="1559"/>
      <c r="K273" s="355"/>
      <c r="L273" s="355"/>
      <c r="M273" s="355"/>
      <c r="N273" s="355"/>
      <c r="O273" s="356"/>
      <c r="P273" s="356"/>
      <c r="Q273" s="356"/>
      <c r="T273" s="355"/>
      <c r="U273" s="355"/>
      <c r="V273" s="355"/>
      <c r="AA273" s="356"/>
      <c r="AL273" s="330"/>
      <c r="AM273" s="330"/>
      <c r="AN273" s="330"/>
      <c r="AO273" s="330"/>
      <c r="AP273" s="330"/>
    </row>
  </sheetData>
  <mergeCells count="94">
    <mergeCell ref="F267:F268"/>
    <mergeCell ref="A269:A270"/>
    <mergeCell ref="B269:B270"/>
    <mergeCell ref="C269:C270"/>
    <mergeCell ref="D269:D270"/>
    <mergeCell ref="E269:E270"/>
    <mergeCell ref="F269:F270"/>
    <mergeCell ref="A267:A268"/>
    <mergeCell ref="B267:B268"/>
    <mergeCell ref="C267:C268"/>
    <mergeCell ref="D267:D268"/>
    <mergeCell ref="E267:E268"/>
    <mergeCell ref="I221:M221"/>
    <mergeCell ref="P221:T221"/>
    <mergeCell ref="A265:A266"/>
    <mergeCell ref="B265:B266"/>
    <mergeCell ref="C265:C266"/>
    <mergeCell ref="D265:D266"/>
    <mergeCell ref="E265:E266"/>
    <mergeCell ref="G253:G254"/>
    <mergeCell ref="H253:H254"/>
    <mergeCell ref="A221:A222"/>
    <mergeCell ref="B221:B222"/>
    <mergeCell ref="I255:I256"/>
    <mergeCell ref="G257:G258"/>
    <mergeCell ref="H257:H258"/>
    <mergeCell ref="I257:I258"/>
    <mergeCell ref="A253:A254"/>
    <mergeCell ref="AQ165:AT165"/>
    <mergeCell ref="W194:AA194"/>
    <mergeCell ref="AB194:AF194"/>
    <mergeCell ref="AG221:AK221"/>
    <mergeCell ref="AL221:AP221"/>
    <mergeCell ref="AQ221:AT221"/>
    <mergeCell ref="AG194:AK194"/>
    <mergeCell ref="AL194:AP194"/>
    <mergeCell ref="AQ194:AT194"/>
    <mergeCell ref="W221:AA221"/>
    <mergeCell ref="AB221:AF221"/>
    <mergeCell ref="AO138:AO139"/>
    <mergeCell ref="A165:A166"/>
    <mergeCell ref="B165:B166"/>
    <mergeCell ref="H165:H166"/>
    <mergeCell ref="I165:M165"/>
    <mergeCell ref="P165:T165"/>
    <mergeCell ref="W165:AA165"/>
    <mergeCell ref="AB165:AF165"/>
    <mergeCell ref="AG165:AK165"/>
    <mergeCell ref="AL165:AP165"/>
    <mergeCell ref="A138:A139"/>
    <mergeCell ref="B138:B139"/>
    <mergeCell ref="H138:H139"/>
    <mergeCell ref="I138:M138"/>
    <mergeCell ref="P138:T138"/>
    <mergeCell ref="A8:A9"/>
    <mergeCell ref="B8:B9"/>
    <mergeCell ref="H8:H9"/>
    <mergeCell ref="I8:M8"/>
    <mergeCell ref="P8:T8"/>
    <mergeCell ref="A194:A195"/>
    <mergeCell ref="B194:B195"/>
    <mergeCell ref="H194:H195"/>
    <mergeCell ref="I194:M194"/>
    <mergeCell ref="P194:T194"/>
    <mergeCell ref="Z8:AD8"/>
    <mergeCell ref="AE8:AI8"/>
    <mergeCell ref="AJ8:AN8"/>
    <mergeCell ref="U138:Y138"/>
    <mergeCell ref="Z138:AD138"/>
    <mergeCell ref="U8:Y8"/>
    <mergeCell ref="AE138:AI138"/>
    <mergeCell ref="AJ138:AN138"/>
    <mergeCell ref="A255:A256"/>
    <mergeCell ref="A257:A258"/>
    <mergeCell ref="B257:B258"/>
    <mergeCell ref="C257:C258"/>
    <mergeCell ref="B253:B254"/>
    <mergeCell ref="C253:C254"/>
    <mergeCell ref="D257:D258"/>
    <mergeCell ref="E257:E258"/>
    <mergeCell ref="F257:F258"/>
    <mergeCell ref="B255:B256"/>
    <mergeCell ref="C255:C256"/>
    <mergeCell ref="C66:G66"/>
    <mergeCell ref="C75:G75"/>
    <mergeCell ref="C101:C104"/>
    <mergeCell ref="G255:G256"/>
    <mergeCell ref="H255:H256"/>
    <mergeCell ref="D255:D256"/>
    <mergeCell ref="E255:E256"/>
    <mergeCell ref="F255:F256"/>
    <mergeCell ref="D253:D254"/>
    <mergeCell ref="E253:E254"/>
    <mergeCell ref="H221:H22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3"/>
  <sheetViews>
    <sheetView zoomScale="80" zoomScaleNormal="80" workbookViewId="0">
      <selection activeCell="Q37" sqref="Q37"/>
    </sheetView>
  </sheetViews>
  <sheetFormatPr defaultColWidth="8.85546875" defaultRowHeight="12.75"/>
  <cols>
    <col min="1" max="1" width="4.42578125" style="149" customWidth="1"/>
    <col min="2" max="2" width="32" style="65" customWidth="1"/>
    <col min="3" max="16384" width="8.85546875" style="65"/>
  </cols>
  <sheetData>
    <row r="2" spans="1:8" ht="15.75">
      <c r="A2" s="485"/>
      <c r="B2" s="205" t="s">
        <v>1733</v>
      </c>
      <c r="C2" s="205"/>
      <c r="E2" s="205"/>
      <c r="F2" s="205"/>
      <c r="G2" s="205"/>
    </row>
    <row r="3" spans="1:8" ht="15.75">
      <c r="H3" s="437">
        <v>2010</v>
      </c>
    </row>
    <row r="4" spans="1:8" ht="13.5" thickBot="1"/>
    <row r="5" spans="1:8">
      <c r="A5" s="1826" t="s">
        <v>243</v>
      </c>
      <c r="B5" s="1826" t="s">
        <v>792</v>
      </c>
      <c r="C5" s="1830" t="s">
        <v>6</v>
      </c>
      <c r="D5" s="1831"/>
      <c r="E5" s="1830" t="s">
        <v>14</v>
      </c>
      <c r="F5" s="1831"/>
      <c r="G5" s="1830" t="s">
        <v>786</v>
      </c>
      <c r="H5" s="1831"/>
    </row>
    <row r="6" spans="1:8" ht="13.5" thickBot="1">
      <c r="A6" s="1827"/>
      <c r="B6" s="1827"/>
      <c r="C6" s="486" t="s">
        <v>785</v>
      </c>
      <c r="D6" s="487" t="s">
        <v>18</v>
      </c>
      <c r="E6" s="486" t="s">
        <v>785</v>
      </c>
      <c r="F6" s="487" t="s">
        <v>18</v>
      </c>
      <c r="G6" s="486" t="s">
        <v>785</v>
      </c>
      <c r="H6" s="487" t="s">
        <v>18</v>
      </c>
    </row>
    <row r="7" spans="1:8">
      <c r="A7" s="488">
        <v>1</v>
      </c>
      <c r="B7" s="489" t="s">
        <v>774</v>
      </c>
      <c r="C7" s="490">
        <v>1988</v>
      </c>
      <c r="D7" s="491">
        <f>C7/C$7%</f>
        <v>100</v>
      </c>
      <c r="E7" s="490">
        <v>567</v>
      </c>
      <c r="F7" s="491">
        <f>E7/E$7%</f>
        <v>100</v>
      </c>
      <c r="G7" s="490">
        <f>SUM(C7,E7)</f>
        <v>2555</v>
      </c>
      <c r="H7" s="491">
        <f>G7/G$7%</f>
        <v>100</v>
      </c>
    </row>
    <row r="8" spans="1:8">
      <c r="A8" s="492">
        <v>2</v>
      </c>
      <c r="B8" s="493" t="s">
        <v>775</v>
      </c>
      <c r="C8" s="494">
        <f>C7-C9</f>
        <v>886</v>
      </c>
      <c r="D8" s="495">
        <f t="shared" ref="D8:F38" si="0">C8/C$7%</f>
        <v>44.567404426559357</v>
      </c>
      <c r="E8" s="494">
        <f>E7-E9</f>
        <v>189</v>
      </c>
      <c r="F8" s="495">
        <f t="shared" si="0"/>
        <v>33.333333333333336</v>
      </c>
      <c r="G8" s="494">
        <f t="shared" ref="G8:G38" si="1">SUM(C8,E8)</f>
        <v>1075</v>
      </c>
      <c r="H8" s="495">
        <f t="shared" ref="H8" si="2">G8/G$7%</f>
        <v>42.074363992172209</v>
      </c>
    </row>
    <row r="9" spans="1:8">
      <c r="A9" s="492">
        <v>3</v>
      </c>
      <c r="B9" s="493" t="s">
        <v>789</v>
      </c>
      <c r="C9" s="494">
        <f>SUM(C14,C19,C24,C29)</f>
        <v>1102</v>
      </c>
      <c r="D9" s="495">
        <f t="shared" si="0"/>
        <v>55.432595573440643</v>
      </c>
      <c r="E9" s="494">
        <f>SUM(E14,E19,E24,E29)</f>
        <v>378</v>
      </c>
      <c r="F9" s="495">
        <f t="shared" si="0"/>
        <v>66.666666666666671</v>
      </c>
      <c r="G9" s="494">
        <f t="shared" si="1"/>
        <v>1480</v>
      </c>
      <c r="H9" s="495">
        <f t="shared" ref="H9" si="3">G9/G$7%</f>
        <v>57.925636007827784</v>
      </c>
    </row>
    <row r="10" spans="1:8">
      <c r="A10" s="496">
        <v>3.1</v>
      </c>
      <c r="B10" s="497" t="s">
        <v>776</v>
      </c>
      <c r="C10" s="498">
        <f>SUM(C15,C16,C17,C18,C25,C26,C27,C28)</f>
        <v>461</v>
      </c>
      <c r="D10" s="499">
        <f t="shared" si="0"/>
        <v>23.189134808853119</v>
      </c>
      <c r="E10" s="498">
        <f>SUM(E15,E16,E17,E18,E25,E26,E27,E28)</f>
        <v>255</v>
      </c>
      <c r="F10" s="499">
        <f t="shared" si="0"/>
        <v>44.973544973544975</v>
      </c>
      <c r="G10" s="498">
        <f t="shared" si="1"/>
        <v>716</v>
      </c>
      <c r="H10" s="499">
        <f t="shared" ref="H10" si="4">G10/G$7%</f>
        <v>28.023483365949119</v>
      </c>
    </row>
    <row r="11" spans="1:8">
      <c r="A11" s="496">
        <v>3.2</v>
      </c>
      <c r="B11" s="497" t="s">
        <v>777</v>
      </c>
      <c r="C11" s="498">
        <f>SUM(C15,C16,C17,C18,C20,C21,C22,C23)</f>
        <v>196</v>
      </c>
      <c r="D11" s="499">
        <f t="shared" si="0"/>
        <v>9.8591549295774659</v>
      </c>
      <c r="E11" s="498">
        <f>SUM(E15,E16,E17,E18,E20,E21,E22,E23)</f>
        <v>181</v>
      </c>
      <c r="F11" s="499">
        <f t="shared" si="0"/>
        <v>31.922398589065256</v>
      </c>
      <c r="G11" s="498">
        <f t="shared" si="1"/>
        <v>377</v>
      </c>
      <c r="H11" s="499">
        <f t="shared" ref="H11" si="5">G11/G$7%</f>
        <v>14.755381604696673</v>
      </c>
    </row>
    <row r="12" spans="1:8">
      <c r="A12" s="496">
        <v>3.3</v>
      </c>
      <c r="B12" s="497" t="s">
        <v>778</v>
      </c>
      <c r="C12" s="498">
        <f>SUM(C16,C18,C21,C23,C26,C28,C30,C32)</f>
        <v>370</v>
      </c>
      <c r="D12" s="499">
        <f t="shared" si="0"/>
        <v>18.611670020120727</v>
      </c>
      <c r="E12" s="498">
        <f>SUM(E16,E18,E21,E23,E26,E28,E30,E32)</f>
        <v>191</v>
      </c>
      <c r="F12" s="499">
        <f t="shared" si="0"/>
        <v>33.686067019400355</v>
      </c>
      <c r="G12" s="498">
        <f t="shared" si="1"/>
        <v>561</v>
      </c>
      <c r="H12" s="499">
        <f t="shared" ref="H12" si="6">G12/G$7%</f>
        <v>21.956947162426612</v>
      </c>
    </row>
    <row r="13" spans="1:8" ht="13.5" thickBot="1">
      <c r="A13" s="500">
        <v>3.4</v>
      </c>
      <c r="B13" s="501" t="s">
        <v>779</v>
      </c>
      <c r="C13" s="502">
        <f>SUM(C17,C18,C22,C23,C27,C28,C31,C32)</f>
        <v>911</v>
      </c>
      <c r="D13" s="503">
        <f t="shared" si="0"/>
        <v>45.824949698189137</v>
      </c>
      <c r="E13" s="502">
        <f>SUM(E17,E18,E22,E23,E27,E28,E31,E32)</f>
        <v>322</v>
      </c>
      <c r="F13" s="503">
        <f t="shared" si="0"/>
        <v>56.790123456790127</v>
      </c>
      <c r="G13" s="502">
        <f t="shared" si="1"/>
        <v>1233</v>
      </c>
      <c r="H13" s="503">
        <f t="shared" ref="H13" si="7">G13/G$7%</f>
        <v>48.258317025440313</v>
      </c>
    </row>
    <row r="14" spans="1:8">
      <c r="A14" s="488">
        <v>4</v>
      </c>
      <c r="B14" s="489" t="s">
        <v>780</v>
      </c>
      <c r="C14" s="490">
        <f>SUM(C15:C18)</f>
        <v>189</v>
      </c>
      <c r="D14" s="491">
        <f t="shared" si="0"/>
        <v>9.5070422535211279</v>
      </c>
      <c r="E14" s="490">
        <f>SUM(E15:E18)</f>
        <v>178</v>
      </c>
      <c r="F14" s="491">
        <f t="shared" si="0"/>
        <v>31.393298059964728</v>
      </c>
      <c r="G14" s="490">
        <f t="shared" si="1"/>
        <v>367</v>
      </c>
      <c r="H14" s="491">
        <f t="shared" ref="H14" si="8">G14/G$7%</f>
        <v>14.363992172211351</v>
      </c>
    </row>
    <row r="15" spans="1:8">
      <c r="A15" s="496">
        <v>4.0999999999999996</v>
      </c>
      <c r="B15" s="497" t="s">
        <v>770</v>
      </c>
      <c r="C15" s="498">
        <v>2</v>
      </c>
      <c r="D15" s="499">
        <f t="shared" si="0"/>
        <v>0.1006036217303823</v>
      </c>
      <c r="E15" s="498">
        <v>10</v>
      </c>
      <c r="F15" s="499">
        <f t="shared" si="0"/>
        <v>1.7636684303350971</v>
      </c>
      <c r="G15" s="498">
        <f t="shared" si="1"/>
        <v>12</v>
      </c>
      <c r="H15" s="499">
        <f t="shared" ref="H15" si="9">G15/G$7%</f>
        <v>0.46966731898238745</v>
      </c>
    </row>
    <row r="16" spans="1:8">
      <c r="A16" s="496">
        <v>4.2</v>
      </c>
      <c r="B16" s="497" t="s">
        <v>771</v>
      </c>
      <c r="C16" s="498">
        <v>2</v>
      </c>
      <c r="D16" s="499">
        <f t="shared" si="0"/>
        <v>0.1006036217303823</v>
      </c>
      <c r="E16" s="498">
        <v>1</v>
      </c>
      <c r="F16" s="499">
        <f t="shared" si="0"/>
        <v>0.17636684303350969</v>
      </c>
      <c r="G16" s="498">
        <f t="shared" si="1"/>
        <v>3</v>
      </c>
      <c r="H16" s="499">
        <f t="shared" ref="H16" si="10">G16/G$7%</f>
        <v>0.11741682974559686</v>
      </c>
    </row>
    <row r="17" spans="1:10">
      <c r="A17" s="496">
        <v>4.3</v>
      </c>
      <c r="B17" s="497" t="s">
        <v>773</v>
      </c>
      <c r="C17" s="498">
        <v>23</v>
      </c>
      <c r="D17" s="499">
        <f t="shared" si="0"/>
        <v>1.1569416498993965</v>
      </c>
      <c r="E17" s="498">
        <v>23</v>
      </c>
      <c r="F17" s="499">
        <f t="shared" si="0"/>
        <v>4.0564373897707231</v>
      </c>
      <c r="G17" s="498">
        <f t="shared" si="1"/>
        <v>46</v>
      </c>
      <c r="H17" s="499">
        <f t="shared" ref="H17" si="11">G17/G$7%</f>
        <v>1.8003913894324852</v>
      </c>
    </row>
    <row r="18" spans="1:10" ht="13.5" thickBot="1">
      <c r="A18" s="500">
        <v>4.4000000000000004</v>
      </c>
      <c r="B18" s="501" t="s">
        <v>772</v>
      </c>
      <c r="C18" s="502">
        <v>162</v>
      </c>
      <c r="D18" s="503">
        <f t="shared" si="0"/>
        <v>8.148893360160967</v>
      </c>
      <c r="E18" s="502">
        <v>144</v>
      </c>
      <c r="F18" s="503">
        <f t="shared" si="0"/>
        <v>25.396825396825395</v>
      </c>
      <c r="G18" s="502">
        <f t="shared" si="1"/>
        <v>306</v>
      </c>
      <c r="H18" s="503">
        <f t="shared" ref="H18" si="12">G18/G$7%</f>
        <v>11.97651663405088</v>
      </c>
    </row>
    <row r="19" spans="1:10">
      <c r="A19" s="488">
        <v>5</v>
      </c>
      <c r="B19" s="489" t="s">
        <v>787</v>
      </c>
      <c r="C19" s="490">
        <f>SUM(C20:C23)</f>
        <v>7</v>
      </c>
      <c r="D19" s="491">
        <f t="shared" si="0"/>
        <v>0.35211267605633806</v>
      </c>
      <c r="E19" s="490">
        <f>SUM(E20:E23)</f>
        <v>3</v>
      </c>
      <c r="F19" s="491">
        <f t="shared" si="0"/>
        <v>0.52910052910052907</v>
      </c>
      <c r="G19" s="490">
        <f t="shared" si="1"/>
        <v>10</v>
      </c>
      <c r="H19" s="491">
        <f t="shared" ref="H19" si="13">G19/G$7%</f>
        <v>0.39138943248532287</v>
      </c>
    </row>
    <row r="20" spans="1:10">
      <c r="A20" s="496">
        <v>5.0999999999999996</v>
      </c>
      <c r="B20" s="497" t="s">
        <v>752</v>
      </c>
      <c r="C20" s="498">
        <v>2</v>
      </c>
      <c r="D20" s="499">
        <f t="shared" si="0"/>
        <v>0.1006036217303823</v>
      </c>
      <c r="E20" s="498">
        <v>1</v>
      </c>
      <c r="F20" s="499">
        <f t="shared" si="0"/>
        <v>0.17636684303350969</v>
      </c>
      <c r="G20" s="498">
        <f t="shared" si="1"/>
        <v>3</v>
      </c>
      <c r="H20" s="499">
        <f t="shared" ref="H20" si="14">G20/G$7%</f>
        <v>0.11741682974559686</v>
      </c>
    </row>
    <row r="21" spans="1:10">
      <c r="A21" s="496">
        <v>5.2</v>
      </c>
      <c r="B21" s="497" t="s">
        <v>767</v>
      </c>
      <c r="C21" s="498">
        <v>1</v>
      </c>
      <c r="D21" s="499">
        <f t="shared" si="0"/>
        <v>5.030181086519115E-2</v>
      </c>
      <c r="E21" s="498">
        <v>0</v>
      </c>
      <c r="F21" s="499">
        <f t="shared" si="0"/>
        <v>0</v>
      </c>
      <c r="G21" s="498">
        <f t="shared" si="1"/>
        <v>1</v>
      </c>
      <c r="H21" s="499">
        <f t="shared" ref="H21" si="15">G21/G$7%</f>
        <v>3.9138943248532287E-2</v>
      </c>
    </row>
    <row r="22" spans="1:10">
      <c r="A22" s="496">
        <v>5.3</v>
      </c>
      <c r="B22" s="497" t="s">
        <v>769</v>
      </c>
      <c r="C22" s="498">
        <v>3</v>
      </c>
      <c r="D22" s="499">
        <f t="shared" si="0"/>
        <v>0.15090543259557346</v>
      </c>
      <c r="E22" s="498">
        <v>2</v>
      </c>
      <c r="F22" s="499">
        <f t="shared" si="0"/>
        <v>0.35273368606701938</v>
      </c>
      <c r="G22" s="498">
        <f t="shared" si="1"/>
        <v>5</v>
      </c>
      <c r="H22" s="499">
        <f t="shared" ref="H22" si="16">G22/G$7%</f>
        <v>0.19569471624266144</v>
      </c>
    </row>
    <row r="23" spans="1:10" ht="13.5" thickBot="1">
      <c r="A23" s="500">
        <v>5.4</v>
      </c>
      <c r="B23" s="501" t="s">
        <v>768</v>
      </c>
      <c r="C23" s="502">
        <v>1</v>
      </c>
      <c r="D23" s="503">
        <f t="shared" si="0"/>
        <v>5.030181086519115E-2</v>
      </c>
      <c r="E23" s="502">
        <v>0</v>
      </c>
      <c r="F23" s="503">
        <f t="shared" si="0"/>
        <v>0</v>
      </c>
      <c r="G23" s="502">
        <f t="shared" si="1"/>
        <v>1</v>
      </c>
      <c r="H23" s="503">
        <f t="shared" ref="H23" si="17">G23/G$7%</f>
        <v>3.9138943248532287E-2</v>
      </c>
    </row>
    <row r="24" spans="1:10">
      <c r="A24" s="488">
        <v>6</v>
      </c>
      <c r="B24" s="489" t="s">
        <v>788</v>
      </c>
      <c r="C24" s="490">
        <f>SUM(C25:C28)</f>
        <v>272</v>
      </c>
      <c r="D24" s="491">
        <f t="shared" si="0"/>
        <v>13.682092555331993</v>
      </c>
      <c r="E24" s="490">
        <f>SUM(E25:E28)</f>
        <v>77</v>
      </c>
      <c r="F24" s="491">
        <f t="shared" si="0"/>
        <v>13.580246913580247</v>
      </c>
      <c r="G24" s="490">
        <f t="shared" si="1"/>
        <v>349</v>
      </c>
      <c r="H24" s="491">
        <f t="shared" ref="H24" si="18">G24/G$7%</f>
        <v>13.659491193737768</v>
      </c>
    </row>
    <row r="25" spans="1:10">
      <c r="A25" s="496">
        <v>6.1</v>
      </c>
      <c r="B25" s="497" t="s">
        <v>223</v>
      </c>
      <c r="C25" s="498">
        <v>81</v>
      </c>
      <c r="D25" s="499">
        <f t="shared" si="0"/>
        <v>4.0744466800804835</v>
      </c>
      <c r="E25" s="498">
        <v>24</v>
      </c>
      <c r="F25" s="499">
        <f t="shared" si="0"/>
        <v>4.2328042328042326</v>
      </c>
      <c r="G25" s="498">
        <f t="shared" si="1"/>
        <v>105</v>
      </c>
      <c r="H25" s="499">
        <f t="shared" ref="H25" si="19">G25/G$7%</f>
        <v>4.10958904109589</v>
      </c>
      <c r="J25" s="150"/>
    </row>
    <row r="26" spans="1:10">
      <c r="A26" s="496">
        <v>6.2</v>
      </c>
      <c r="B26" s="497" t="s">
        <v>764</v>
      </c>
      <c r="C26" s="498">
        <v>9</v>
      </c>
      <c r="D26" s="499">
        <f t="shared" si="0"/>
        <v>0.45271629778672035</v>
      </c>
      <c r="E26" s="498">
        <v>1</v>
      </c>
      <c r="F26" s="499">
        <f t="shared" si="0"/>
        <v>0.17636684303350969</v>
      </c>
      <c r="G26" s="498">
        <f t="shared" si="1"/>
        <v>10</v>
      </c>
      <c r="H26" s="499">
        <f t="shared" ref="H26" si="20">G26/G$7%</f>
        <v>0.39138943248532287</v>
      </c>
      <c r="J26" s="150"/>
    </row>
    <row r="27" spans="1:10">
      <c r="A27" s="496">
        <v>6.3</v>
      </c>
      <c r="B27" s="497" t="s">
        <v>766</v>
      </c>
      <c r="C27" s="498">
        <v>152</v>
      </c>
      <c r="D27" s="499">
        <f t="shared" si="0"/>
        <v>7.6458752515090547</v>
      </c>
      <c r="E27" s="498">
        <v>42</v>
      </c>
      <c r="F27" s="499">
        <f t="shared" si="0"/>
        <v>7.4074074074074074</v>
      </c>
      <c r="G27" s="498">
        <f t="shared" si="1"/>
        <v>194</v>
      </c>
      <c r="H27" s="499">
        <f t="shared" ref="H27" si="21">G27/G$7%</f>
        <v>7.5929549902152642</v>
      </c>
      <c r="J27" s="150"/>
    </row>
    <row r="28" spans="1:10" ht="13.5" thickBot="1">
      <c r="A28" s="500">
        <v>6.4</v>
      </c>
      <c r="B28" s="501" t="s">
        <v>765</v>
      </c>
      <c r="C28" s="502">
        <v>30</v>
      </c>
      <c r="D28" s="503">
        <f t="shared" si="0"/>
        <v>1.5090543259557345</v>
      </c>
      <c r="E28" s="502">
        <v>10</v>
      </c>
      <c r="F28" s="503">
        <f t="shared" si="0"/>
        <v>1.7636684303350971</v>
      </c>
      <c r="G28" s="502">
        <f t="shared" si="1"/>
        <v>40</v>
      </c>
      <c r="H28" s="503">
        <f t="shared" ref="H28" si="22">G28/G$7%</f>
        <v>1.5655577299412915</v>
      </c>
      <c r="J28" s="150"/>
    </row>
    <row r="29" spans="1:10">
      <c r="A29" s="488">
        <v>7</v>
      </c>
      <c r="B29" s="489" t="s">
        <v>781</v>
      </c>
      <c r="C29" s="490">
        <f>SUM(C30:C32)</f>
        <v>634</v>
      </c>
      <c r="D29" s="491">
        <f t="shared" si="0"/>
        <v>31.891348088531188</v>
      </c>
      <c r="E29" s="490">
        <f>SUM(E30:E32)</f>
        <v>120</v>
      </c>
      <c r="F29" s="491">
        <f t="shared" si="0"/>
        <v>21.164021164021165</v>
      </c>
      <c r="G29" s="490">
        <f t="shared" si="1"/>
        <v>754</v>
      </c>
      <c r="H29" s="491">
        <f t="shared" ref="H29" si="23">G29/G$7%</f>
        <v>29.510763209393346</v>
      </c>
    </row>
    <row r="30" spans="1:10">
      <c r="A30" s="496">
        <v>7.1</v>
      </c>
      <c r="B30" s="497" t="s">
        <v>49</v>
      </c>
      <c r="C30" s="498">
        <v>94</v>
      </c>
      <c r="D30" s="499">
        <f t="shared" si="0"/>
        <v>4.7283702213279684</v>
      </c>
      <c r="E30" s="498">
        <v>19</v>
      </c>
      <c r="F30" s="499">
        <f t="shared" si="0"/>
        <v>3.3509700176366843</v>
      </c>
      <c r="G30" s="498">
        <f t="shared" si="1"/>
        <v>113</v>
      </c>
      <c r="H30" s="499">
        <f t="shared" ref="H30" si="24">G30/G$7%</f>
        <v>4.4227005870841483</v>
      </c>
    </row>
    <row r="31" spans="1:10">
      <c r="A31" s="496">
        <v>7.2</v>
      </c>
      <c r="B31" s="497" t="s">
        <v>753</v>
      </c>
      <c r="C31" s="498">
        <v>469</v>
      </c>
      <c r="D31" s="499">
        <f t="shared" si="0"/>
        <v>23.591549295774648</v>
      </c>
      <c r="E31" s="498">
        <v>85</v>
      </c>
      <c r="F31" s="499">
        <f t="shared" si="0"/>
        <v>14.991181657848324</v>
      </c>
      <c r="G31" s="498">
        <f t="shared" si="1"/>
        <v>554</v>
      </c>
      <c r="H31" s="499">
        <f t="shared" ref="H31" si="25">G31/G$7%</f>
        <v>21.682974559686887</v>
      </c>
    </row>
    <row r="32" spans="1:10" ht="13.5" thickBot="1">
      <c r="A32" s="504">
        <v>7.3</v>
      </c>
      <c r="B32" s="505" t="s">
        <v>763</v>
      </c>
      <c r="C32" s="506">
        <v>71</v>
      </c>
      <c r="D32" s="507">
        <f t="shared" si="0"/>
        <v>3.5714285714285716</v>
      </c>
      <c r="E32" s="506">
        <v>16</v>
      </c>
      <c r="F32" s="507">
        <f t="shared" si="0"/>
        <v>2.821869488536155</v>
      </c>
      <c r="G32" s="506">
        <f t="shared" si="1"/>
        <v>87</v>
      </c>
      <c r="H32" s="507">
        <f t="shared" ref="H32" si="26">G32/G$7%</f>
        <v>3.4050880626223092</v>
      </c>
    </row>
    <row r="33" spans="1:8">
      <c r="A33" s="488">
        <v>8</v>
      </c>
      <c r="B33" s="508" t="s">
        <v>791</v>
      </c>
      <c r="C33" s="490">
        <f>SUM(C34,C35,C36,C37)</f>
        <v>1988</v>
      </c>
      <c r="D33" s="491">
        <f t="shared" si="0"/>
        <v>100</v>
      </c>
      <c r="E33" s="490">
        <f>SUM(E34,E35,E36,E37)</f>
        <v>567</v>
      </c>
      <c r="F33" s="491">
        <f t="shared" si="0"/>
        <v>100</v>
      </c>
      <c r="G33" s="490">
        <f t="shared" si="1"/>
        <v>2555</v>
      </c>
      <c r="H33" s="491">
        <f t="shared" ref="H33" si="27">G33/G$7%</f>
        <v>100</v>
      </c>
    </row>
    <row r="34" spans="1:8">
      <c r="A34" s="509">
        <v>8.1</v>
      </c>
      <c r="B34" s="510" t="s">
        <v>775</v>
      </c>
      <c r="C34" s="511">
        <f>C7-SUM(C37,C36,C35)</f>
        <v>886</v>
      </c>
      <c r="D34" s="512">
        <f>C34/C$7%</f>
        <v>44.567404426559357</v>
      </c>
      <c r="E34" s="511">
        <f>E7-SUM(E37,E36,E35)</f>
        <v>189</v>
      </c>
      <c r="F34" s="512">
        <f>E34/E$7%</f>
        <v>33.333333333333336</v>
      </c>
      <c r="G34" s="511">
        <f>SUM(C34,E34)</f>
        <v>1075</v>
      </c>
      <c r="H34" s="512">
        <f>G34/G$7%</f>
        <v>42.074363992172209</v>
      </c>
    </row>
    <row r="35" spans="1:8">
      <c r="A35" s="513">
        <v>8.1999999999999993</v>
      </c>
      <c r="B35" s="514" t="s">
        <v>790</v>
      </c>
      <c r="C35" s="515">
        <f>C29</f>
        <v>634</v>
      </c>
      <c r="D35" s="516">
        <f>C35/C$7%</f>
        <v>31.891348088531188</v>
      </c>
      <c r="E35" s="515">
        <f>E29</f>
        <v>120</v>
      </c>
      <c r="F35" s="516">
        <f>E35/E$7%</f>
        <v>21.164021164021165</v>
      </c>
      <c r="G35" s="515">
        <f>SUM(C35,E35)</f>
        <v>754</v>
      </c>
      <c r="H35" s="516">
        <f>G35/G$7%</f>
        <v>29.510763209393346</v>
      </c>
    </row>
    <row r="36" spans="1:8">
      <c r="A36" s="517">
        <v>8.3000000000000007</v>
      </c>
      <c r="B36" s="518" t="s">
        <v>784</v>
      </c>
      <c r="C36" s="519">
        <f>SUM(C19,C24)</f>
        <v>279</v>
      </c>
      <c r="D36" s="520">
        <f>C36/C$7%</f>
        <v>14.034205231388331</v>
      </c>
      <c r="E36" s="519">
        <f>SUM(E19,E24)</f>
        <v>80</v>
      </c>
      <c r="F36" s="520">
        <f>E36/E$7%</f>
        <v>14.109347442680777</v>
      </c>
      <c r="G36" s="519">
        <f>SUM(C36,E36)</f>
        <v>359</v>
      </c>
      <c r="H36" s="520">
        <f>G36/G$7%</f>
        <v>14.050880626223092</v>
      </c>
    </row>
    <row r="37" spans="1:8">
      <c r="A37" s="521">
        <v>8.4</v>
      </c>
      <c r="B37" s="522" t="s">
        <v>782</v>
      </c>
      <c r="C37" s="523">
        <f>C14</f>
        <v>189</v>
      </c>
      <c r="D37" s="524">
        <f t="shared" si="0"/>
        <v>9.5070422535211279</v>
      </c>
      <c r="E37" s="523">
        <f>E14</f>
        <v>178</v>
      </c>
      <c r="F37" s="524">
        <f t="shared" si="0"/>
        <v>31.393298059964728</v>
      </c>
      <c r="G37" s="523">
        <f t="shared" si="1"/>
        <v>367</v>
      </c>
      <c r="H37" s="524">
        <f t="shared" ref="H37" si="28">G37/G$7%</f>
        <v>14.363992172211351</v>
      </c>
    </row>
    <row r="38" spans="1:8" ht="14.1" customHeight="1" thickBot="1">
      <c r="A38" s="525">
        <v>8.5</v>
      </c>
      <c r="B38" s="526" t="s">
        <v>783</v>
      </c>
      <c r="C38" s="527">
        <f>C14+C19</f>
        <v>196</v>
      </c>
      <c r="D38" s="528">
        <f t="shared" si="0"/>
        <v>9.8591549295774659</v>
      </c>
      <c r="E38" s="527">
        <f>E14+E19</f>
        <v>181</v>
      </c>
      <c r="F38" s="528">
        <f t="shared" si="0"/>
        <v>31.922398589065256</v>
      </c>
      <c r="G38" s="527">
        <f t="shared" si="1"/>
        <v>377</v>
      </c>
      <c r="H38" s="528">
        <f t="shared" ref="H38" si="29">G38/G$7%</f>
        <v>14.755381604696673</v>
      </c>
    </row>
    <row r="40" spans="1:8" ht="15.75">
      <c r="H40" s="792">
        <v>2011</v>
      </c>
    </row>
    <row r="41" spans="1:8" ht="13.5" thickBot="1"/>
    <row r="42" spans="1:8">
      <c r="A42" s="1826" t="s">
        <v>243</v>
      </c>
      <c r="B42" s="1828" t="s">
        <v>792</v>
      </c>
      <c r="C42" s="1830" t="s">
        <v>6</v>
      </c>
      <c r="D42" s="1831"/>
      <c r="E42" s="1830" t="s">
        <v>14</v>
      </c>
      <c r="F42" s="1831"/>
      <c r="G42" s="1830" t="s">
        <v>786</v>
      </c>
      <c r="H42" s="1831"/>
    </row>
    <row r="43" spans="1:8" ht="13.5" thickBot="1">
      <c r="A43" s="1827"/>
      <c r="B43" s="1829"/>
      <c r="C43" s="486" t="s">
        <v>785</v>
      </c>
      <c r="D43" s="487" t="s">
        <v>18</v>
      </c>
      <c r="E43" s="486" t="s">
        <v>785</v>
      </c>
      <c r="F43" s="487" t="s">
        <v>18</v>
      </c>
      <c r="G43" s="486" t="s">
        <v>785</v>
      </c>
      <c r="H43" s="487" t="s">
        <v>18</v>
      </c>
    </row>
    <row r="44" spans="1:8">
      <c r="A44" s="488">
        <v>1</v>
      </c>
      <c r="B44" s="489" t="s">
        <v>774</v>
      </c>
      <c r="C44" s="490">
        <v>2197</v>
      </c>
      <c r="D44" s="491">
        <f>C44/C$44%</f>
        <v>100</v>
      </c>
      <c r="E44" s="490">
        <v>675</v>
      </c>
      <c r="F44" s="491">
        <f>E44/E$44%</f>
        <v>100</v>
      </c>
      <c r="G44" s="490">
        <f>SUM(C44,E44)</f>
        <v>2872</v>
      </c>
      <c r="H44" s="491">
        <f>G44/G$44%</f>
        <v>100</v>
      </c>
    </row>
    <row r="45" spans="1:8">
      <c r="A45" s="492">
        <v>2</v>
      </c>
      <c r="B45" s="493" t="s">
        <v>775</v>
      </c>
      <c r="C45" s="494">
        <f>C44-C46</f>
        <v>1154</v>
      </c>
      <c r="D45" s="495">
        <f t="shared" ref="D45:F75" si="30">C45/C$44%</f>
        <v>52.526172052799275</v>
      </c>
      <c r="E45" s="494">
        <f>E44-E46</f>
        <v>240</v>
      </c>
      <c r="F45" s="495">
        <f t="shared" si="30"/>
        <v>35.555555555555557</v>
      </c>
      <c r="G45" s="494">
        <f t="shared" ref="G45:G70" si="31">SUM(C45,E45)</f>
        <v>1394</v>
      </c>
      <c r="H45" s="495">
        <f t="shared" ref="H45" si="32">G45/G$44%</f>
        <v>48.537604456824518</v>
      </c>
    </row>
    <row r="46" spans="1:8">
      <c r="A46" s="492">
        <v>3</v>
      </c>
      <c r="B46" s="493" t="s">
        <v>789</v>
      </c>
      <c r="C46" s="494">
        <f>SUM(C51,C56,C61,C66)</f>
        <v>1043</v>
      </c>
      <c r="D46" s="495">
        <f t="shared" si="30"/>
        <v>47.473827947200732</v>
      </c>
      <c r="E46" s="494">
        <f>SUM(E51,E56,E61,E66)</f>
        <v>435</v>
      </c>
      <c r="F46" s="495">
        <f t="shared" si="30"/>
        <v>64.444444444444443</v>
      </c>
      <c r="G46" s="494">
        <f t="shared" si="31"/>
        <v>1478</v>
      </c>
      <c r="H46" s="495">
        <f t="shared" ref="H46" si="33">G46/G$44%</f>
        <v>51.462395543175489</v>
      </c>
    </row>
    <row r="47" spans="1:8">
      <c r="A47" s="496">
        <v>3.1</v>
      </c>
      <c r="B47" s="497" t="s">
        <v>776</v>
      </c>
      <c r="C47" s="498">
        <f>SUM(C52,C53,C54,C55,C62,C63,C64,C65)</f>
        <v>521</v>
      </c>
      <c r="D47" s="499">
        <f t="shared" si="30"/>
        <v>23.714155666818389</v>
      </c>
      <c r="E47" s="498">
        <f>SUM(E52,E53,E54,E55,E62,E63,E64,E65)</f>
        <v>297</v>
      </c>
      <c r="F47" s="499">
        <f t="shared" si="30"/>
        <v>44</v>
      </c>
      <c r="G47" s="498">
        <f t="shared" si="31"/>
        <v>818</v>
      </c>
      <c r="H47" s="499">
        <f t="shared" ref="H47" si="34">G47/G$44%</f>
        <v>28.48189415041783</v>
      </c>
    </row>
    <row r="48" spans="1:8">
      <c r="A48" s="496">
        <v>3.2</v>
      </c>
      <c r="B48" s="497" t="s">
        <v>777</v>
      </c>
      <c r="C48" s="498">
        <f>SUM(C52,C53,C54,C55,C57,C58,C59,C60)</f>
        <v>262</v>
      </c>
      <c r="D48" s="499">
        <f t="shared" si="30"/>
        <v>11.925352753755121</v>
      </c>
      <c r="E48" s="498">
        <f>SUM(E52,E53,E54,E55,E57,E58,E59,E60)</f>
        <v>223</v>
      </c>
      <c r="F48" s="499">
        <f t="shared" si="30"/>
        <v>33.037037037037038</v>
      </c>
      <c r="G48" s="498">
        <f t="shared" si="31"/>
        <v>485</v>
      </c>
      <c r="H48" s="499">
        <f t="shared" ref="H48" si="35">G48/G$44%</f>
        <v>16.887186629526465</v>
      </c>
    </row>
    <row r="49" spans="1:10">
      <c r="A49" s="496">
        <v>3.3</v>
      </c>
      <c r="B49" s="497" t="s">
        <v>778</v>
      </c>
      <c r="C49" s="498">
        <f>SUM(C53,C55,C58,C60,C63,C65,C67,C69)</f>
        <v>249</v>
      </c>
      <c r="D49" s="499">
        <f t="shared" si="30"/>
        <v>11.333636777423759</v>
      </c>
      <c r="E49" s="498">
        <f>SUM(E53,E55,E58,E60,E63,E65,E67,E69)</f>
        <v>211</v>
      </c>
      <c r="F49" s="499">
        <f t="shared" si="30"/>
        <v>31.25925925925926</v>
      </c>
      <c r="G49" s="498">
        <f t="shared" si="31"/>
        <v>460</v>
      </c>
      <c r="H49" s="499">
        <f t="shared" ref="H49" si="36">G49/G$44%</f>
        <v>16.016713091922007</v>
      </c>
    </row>
    <row r="50" spans="1:10" ht="13.5" thickBot="1">
      <c r="A50" s="500">
        <v>3.4</v>
      </c>
      <c r="B50" s="501" t="s">
        <v>779</v>
      </c>
      <c r="C50" s="502">
        <f>SUM(C54,C55,C59,C60,C64,C65,C68,C69)</f>
        <v>921</v>
      </c>
      <c r="D50" s="503">
        <f t="shared" si="30"/>
        <v>41.920801092398726</v>
      </c>
      <c r="E50" s="502">
        <f>SUM(E54,E55,E59,E60,E64,E65,E68,E69)</f>
        <v>387</v>
      </c>
      <c r="F50" s="503">
        <f t="shared" si="30"/>
        <v>57.333333333333336</v>
      </c>
      <c r="G50" s="502">
        <f t="shared" si="31"/>
        <v>1308</v>
      </c>
      <c r="H50" s="503">
        <f t="shared" ref="H50" si="37">G50/G$44%</f>
        <v>45.543175487465184</v>
      </c>
    </row>
    <row r="51" spans="1:10">
      <c r="A51" s="488">
        <v>4</v>
      </c>
      <c r="B51" s="489" t="s">
        <v>780</v>
      </c>
      <c r="C51" s="490">
        <f>SUM(C52:C55)</f>
        <v>239</v>
      </c>
      <c r="D51" s="491">
        <f t="shared" si="30"/>
        <v>10.878470641784252</v>
      </c>
      <c r="E51" s="490">
        <f>SUM(E52:E55)</f>
        <v>214</v>
      </c>
      <c r="F51" s="491">
        <f t="shared" si="30"/>
        <v>31.703703703703702</v>
      </c>
      <c r="G51" s="490">
        <f t="shared" si="31"/>
        <v>453</v>
      </c>
      <c r="H51" s="491">
        <f t="shared" ref="H51" si="38">G51/G$44%</f>
        <v>15.772980501392759</v>
      </c>
    </row>
    <row r="52" spans="1:10">
      <c r="A52" s="496">
        <v>4.0999999999999996</v>
      </c>
      <c r="B52" s="497" t="s">
        <v>770</v>
      </c>
      <c r="C52" s="498">
        <v>6</v>
      </c>
      <c r="D52" s="499">
        <f t="shared" si="30"/>
        <v>0.27309968138370505</v>
      </c>
      <c r="E52" s="498">
        <v>9</v>
      </c>
      <c r="F52" s="499">
        <f t="shared" si="30"/>
        <v>1.3333333333333333</v>
      </c>
      <c r="G52" s="498">
        <f t="shared" si="31"/>
        <v>15</v>
      </c>
      <c r="H52" s="499">
        <f t="shared" ref="H52" si="39">G52/G$44%</f>
        <v>0.52228412256267409</v>
      </c>
    </row>
    <row r="53" spans="1:10">
      <c r="A53" s="496">
        <v>4.2</v>
      </c>
      <c r="B53" s="497" t="s">
        <v>771</v>
      </c>
      <c r="C53" s="498">
        <v>1</v>
      </c>
      <c r="D53" s="499">
        <f t="shared" si="30"/>
        <v>4.5516613563950842E-2</v>
      </c>
      <c r="E53" s="498">
        <v>2</v>
      </c>
      <c r="F53" s="499">
        <f t="shared" si="30"/>
        <v>0.29629629629629628</v>
      </c>
      <c r="G53" s="498">
        <f t="shared" si="31"/>
        <v>3</v>
      </c>
      <c r="H53" s="499">
        <f t="shared" ref="H53" si="40">G53/G$44%</f>
        <v>0.10445682451253482</v>
      </c>
    </row>
    <row r="54" spans="1:10">
      <c r="A54" s="496">
        <v>4.3</v>
      </c>
      <c r="B54" s="497" t="s">
        <v>773</v>
      </c>
      <c r="C54" s="498">
        <v>38</v>
      </c>
      <c r="D54" s="499">
        <f t="shared" si="30"/>
        <v>1.7296313154301322</v>
      </c>
      <c r="E54" s="498">
        <v>17</v>
      </c>
      <c r="F54" s="499">
        <f t="shared" si="30"/>
        <v>2.5185185185185186</v>
      </c>
      <c r="G54" s="498">
        <f t="shared" si="31"/>
        <v>55</v>
      </c>
      <c r="H54" s="499">
        <f t="shared" ref="H54" si="41">G54/G$44%</f>
        <v>1.9150417827298052</v>
      </c>
    </row>
    <row r="55" spans="1:10" ht="13.5" thickBot="1">
      <c r="A55" s="500">
        <v>4.4000000000000004</v>
      </c>
      <c r="B55" s="501" t="s">
        <v>772</v>
      </c>
      <c r="C55" s="502">
        <v>194</v>
      </c>
      <c r="D55" s="503">
        <f t="shared" si="30"/>
        <v>8.8302230314064634</v>
      </c>
      <c r="E55" s="502">
        <v>186</v>
      </c>
      <c r="F55" s="503">
        <f t="shared" si="30"/>
        <v>27.555555555555557</v>
      </c>
      <c r="G55" s="502">
        <f t="shared" si="31"/>
        <v>380</v>
      </c>
      <c r="H55" s="503">
        <f t="shared" ref="H55" si="42">G55/G$44%</f>
        <v>13.231197771587745</v>
      </c>
    </row>
    <row r="56" spans="1:10">
      <c r="A56" s="488">
        <v>5</v>
      </c>
      <c r="B56" s="489" t="s">
        <v>787</v>
      </c>
      <c r="C56" s="490">
        <f>SUM(C57:C60)</f>
        <v>23</v>
      </c>
      <c r="D56" s="491">
        <f t="shared" si="30"/>
        <v>1.0468821119708693</v>
      </c>
      <c r="E56" s="490">
        <f>SUM(E57:E60)</f>
        <v>9</v>
      </c>
      <c r="F56" s="491">
        <f t="shared" si="30"/>
        <v>1.3333333333333333</v>
      </c>
      <c r="G56" s="490">
        <f t="shared" si="31"/>
        <v>32</v>
      </c>
      <c r="H56" s="491">
        <f t="shared" ref="H56" si="43">G56/G$44%</f>
        <v>1.1142061281337048</v>
      </c>
    </row>
    <row r="57" spans="1:10">
      <c r="A57" s="496">
        <v>5.0999999999999996</v>
      </c>
      <c r="B57" s="497" t="s">
        <v>752</v>
      </c>
      <c r="C57" s="498">
        <v>9</v>
      </c>
      <c r="D57" s="499">
        <f t="shared" si="30"/>
        <v>0.4096495220755576</v>
      </c>
      <c r="E57" s="498">
        <v>3</v>
      </c>
      <c r="F57" s="499">
        <f t="shared" si="30"/>
        <v>0.44444444444444442</v>
      </c>
      <c r="G57" s="498">
        <f t="shared" si="31"/>
        <v>12</v>
      </c>
      <c r="H57" s="499">
        <f t="shared" ref="H57" si="44">G57/G$44%</f>
        <v>0.4178272980501393</v>
      </c>
    </row>
    <row r="58" spans="1:10">
      <c r="A58" s="496">
        <v>5.2</v>
      </c>
      <c r="B58" s="497" t="s">
        <v>767</v>
      </c>
      <c r="C58" s="498">
        <v>0</v>
      </c>
      <c r="D58" s="499">
        <f t="shared" si="30"/>
        <v>0</v>
      </c>
      <c r="E58" s="498">
        <v>0</v>
      </c>
      <c r="F58" s="499">
        <f t="shared" si="30"/>
        <v>0</v>
      </c>
      <c r="G58" s="498">
        <f t="shared" si="31"/>
        <v>0</v>
      </c>
      <c r="H58" s="499">
        <f t="shared" ref="H58" si="45">G58/G$44%</f>
        <v>0</v>
      </c>
    </row>
    <row r="59" spans="1:10">
      <c r="A59" s="496">
        <v>5.3</v>
      </c>
      <c r="B59" s="497" t="s">
        <v>769</v>
      </c>
      <c r="C59" s="498">
        <v>12</v>
      </c>
      <c r="D59" s="499">
        <f t="shared" si="30"/>
        <v>0.5461993627674101</v>
      </c>
      <c r="E59" s="498">
        <v>6</v>
      </c>
      <c r="F59" s="499">
        <f t="shared" si="30"/>
        <v>0.88888888888888884</v>
      </c>
      <c r="G59" s="498">
        <f t="shared" si="31"/>
        <v>18</v>
      </c>
      <c r="H59" s="499">
        <f t="shared" ref="H59" si="46">G59/G$44%</f>
        <v>0.62674094707520889</v>
      </c>
    </row>
    <row r="60" spans="1:10" ht="13.5" thickBot="1">
      <c r="A60" s="500">
        <v>5.4</v>
      </c>
      <c r="B60" s="501" t="s">
        <v>768</v>
      </c>
      <c r="C60" s="502">
        <v>2</v>
      </c>
      <c r="D60" s="503">
        <f t="shared" si="30"/>
        <v>9.1033227127901684E-2</v>
      </c>
      <c r="E60" s="502">
        <v>0</v>
      </c>
      <c r="F60" s="503">
        <f t="shared" si="30"/>
        <v>0</v>
      </c>
      <c r="G60" s="502">
        <f t="shared" si="31"/>
        <v>2</v>
      </c>
      <c r="H60" s="503">
        <f t="shared" ref="H60" si="47">G60/G$44%</f>
        <v>6.9637883008356549E-2</v>
      </c>
    </row>
    <row r="61" spans="1:10">
      <c r="A61" s="488">
        <v>6</v>
      </c>
      <c r="B61" s="489" t="s">
        <v>788</v>
      </c>
      <c r="C61" s="490">
        <f>SUM(C62:C65)</f>
        <v>282</v>
      </c>
      <c r="D61" s="491">
        <f t="shared" si="30"/>
        <v>12.835685025034138</v>
      </c>
      <c r="E61" s="490">
        <f>SUM(E62:E65)</f>
        <v>83</v>
      </c>
      <c r="F61" s="491">
        <f t="shared" si="30"/>
        <v>12.296296296296296</v>
      </c>
      <c r="G61" s="490">
        <f t="shared" si="31"/>
        <v>365</v>
      </c>
      <c r="H61" s="491">
        <f t="shared" ref="H61" si="48">G61/G$44%</f>
        <v>12.708913649025071</v>
      </c>
    </row>
    <row r="62" spans="1:10">
      <c r="A62" s="496">
        <v>6.1</v>
      </c>
      <c r="B62" s="497" t="s">
        <v>223</v>
      </c>
      <c r="C62" s="498">
        <v>86</v>
      </c>
      <c r="D62" s="499">
        <f t="shared" si="30"/>
        <v>3.9144287664997726</v>
      </c>
      <c r="E62" s="498">
        <v>29</v>
      </c>
      <c r="F62" s="499">
        <f t="shared" si="30"/>
        <v>4.2962962962962967</v>
      </c>
      <c r="G62" s="498">
        <f t="shared" si="31"/>
        <v>115</v>
      </c>
      <c r="H62" s="499">
        <f t="shared" ref="H62" si="49">G62/G$44%</f>
        <v>4.0041782729805018</v>
      </c>
      <c r="J62" s="150"/>
    </row>
    <row r="63" spans="1:10">
      <c r="A63" s="496">
        <v>6.2</v>
      </c>
      <c r="B63" s="497" t="s">
        <v>764</v>
      </c>
      <c r="C63" s="498">
        <v>7</v>
      </c>
      <c r="D63" s="499">
        <f t="shared" si="30"/>
        <v>0.31861629494765592</v>
      </c>
      <c r="E63" s="498">
        <v>0</v>
      </c>
      <c r="F63" s="499">
        <f t="shared" si="30"/>
        <v>0</v>
      </c>
      <c r="G63" s="498">
        <f t="shared" si="31"/>
        <v>7</v>
      </c>
      <c r="H63" s="499">
        <f t="shared" ref="H63" si="50">G63/G$44%</f>
        <v>0.24373259052924792</v>
      </c>
      <c r="J63" s="150"/>
    </row>
    <row r="64" spans="1:10">
      <c r="A64" s="496">
        <v>6.3</v>
      </c>
      <c r="B64" s="497" t="s">
        <v>766</v>
      </c>
      <c r="C64" s="498">
        <v>160</v>
      </c>
      <c r="D64" s="499">
        <f t="shared" si="30"/>
        <v>7.2826581702321347</v>
      </c>
      <c r="E64" s="498">
        <v>39</v>
      </c>
      <c r="F64" s="499">
        <f t="shared" si="30"/>
        <v>5.7777777777777777</v>
      </c>
      <c r="G64" s="498">
        <f t="shared" si="31"/>
        <v>199</v>
      </c>
      <c r="H64" s="499">
        <f t="shared" ref="H64" si="51">G64/G$44%</f>
        <v>6.928969359331477</v>
      </c>
      <c r="J64" s="150"/>
    </row>
    <row r="65" spans="1:10" ht="13.5" thickBot="1">
      <c r="A65" s="500">
        <v>6.4</v>
      </c>
      <c r="B65" s="501" t="s">
        <v>765</v>
      </c>
      <c r="C65" s="502">
        <v>29</v>
      </c>
      <c r="D65" s="503">
        <f t="shared" si="30"/>
        <v>1.3199817933545746</v>
      </c>
      <c r="E65" s="502">
        <v>15</v>
      </c>
      <c r="F65" s="503">
        <f t="shared" si="30"/>
        <v>2.2222222222222223</v>
      </c>
      <c r="G65" s="502">
        <f t="shared" si="31"/>
        <v>44</v>
      </c>
      <c r="H65" s="503">
        <f t="shared" ref="H65" si="52">G65/G$44%</f>
        <v>1.532033426183844</v>
      </c>
      <c r="J65" s="150"/>
    </row>
    <row r="66" spans="1:10">
      <c r="A66" s="488">
        <v>7</v>
      </c>
      <c r="B66" s="489" t="s">
        <v>781</v>
      </c>
      <c r="C66" s="490">
        <f>SUM(C67:C69)</f>
        <v>499</v>
      </c>
      <c r="D66" s="491">
        <f t="shared" si="30"/>
        <v>22.71279016841147</v>
      </c>
      <c r="E66" s="490">
        <f>SUM(E67:E69)</f>
        <v>129</v>
      </c>
      <c r="F66" s="491">
        <f t="shared" si="30"/>
        <v>19.111111111111111</v>
      </c>
      <c r="G66" s="490">
        <f t="shared" si="31"/>
        <v>628</v>
      </c>
      <c r="H66" s="491">
        <f t="shared" ref="H66" si="53">G66/G$44%</f>
        <v>21.866295264623957</v>
      </c>
    </row>
    <row r="67" spans="1:10">
      <c r="A67" s="496">
        <v>7.1</v>
      </c>
      <c r="B67" s="497" t="s">
        <v>49</v>
      </c>
      <c r="C67" s="498">
        <v>13</v>
      </c>
      <c r="D67" s="499">
        <f t="shared" si="30"/>
        <v>0.59171597633136097</v>
      </c>
      <c r="E67" s="498">
        <v>5</v>
      </c>
      <c r="F67" s="499">
        <f t="shared" si="30"/>
        <v>0.7407407407407407</v>
      </c>
      <c r="G67" s="498">
        <f t="shared" si="31"/>
        <v>18</v>
      </c>
      <c r="H67" s="499">
        <f t="shared" ref="H67" si="54">G67/G$44%</f>
        <v>0.62674094707520889</v>
      </c>
    </row>
    <row r="68" spans="1:10">
      <c r="A68" s="496">
        <v>7.2</v>
      </c>
      <c r="B68" s="497" t="s">
        <v>753</v>
      </c>
      <c r="C68" s="498">
        <v>483</v>
      </c>
      <c r="D68" s="499">
        <f t="shared" si="30"/>
        <v>21.984524351388259</v>
      </c>
      <c r="E68" s="498">
        <v>121</v>
      </c>
      <c r="F68" s="499">
        <f t="shared" si="30"/>
        <v>17.925925925925927</v>
      </c>
      <c r="G68" s="498">
        <f t="shared" si="31"/>
        <v>604</v>
      </c>
      <c r="H68" s="499">
        <f t="shared" ref="H68" si="55">G68/G$44%</f>
        <v>21.030640668523677</v>
      </c>
    </row>
    <row r="69" spans="1:10" ht="13.5" thickBot="1">
      <c r="A69" s="504">
        <v>7.3</v>
      </c>
      <c r="B69" s="505" t="s">
        <v>763</v>
      </c>
      <c r="C69" s="506">
        <v>3</v>
      </c>
      <c r="D69" s="507">
        <f t="shared" si="30"/>
        <v>0.13654984069185253</v>
      </c>
      <c r="E69" s="506">
        <v>3</v>
      </c>
      <c r="F69" s="507">
        <f t="shared" si="30"/>
        <v>0.44444444444444442</v>
      </c>
      <c r="G69" s="506">
        <f t="shared" si="31"/>
        <v>6</v>
      </c>
      <c r="H69" s="507">
        <f t="shared" ref="H69" si="56">G69/G$44%</f>
        <v>0.20891364902506965</v>
      </c>
    </row>
    <row r="70" spans="1:10">
      <c r="A70" s="488">
        <v>8</v>
      </c>
      <c r="B70" s="508" t="s">
        <v>791</v>
      </c>
      <c r="C70" s="490">
        <f>SUM(C71,C72,C73,C74)</f>
        <v>2197</v>
      </c>
      <c r="D70" s="491">
        <f t="shared" si="30"/>
        <v>100</v>
      </c>
      <c r="E70" s="490">
        <f>SUM(E71,E72,E73,E74)</f>
        <v>675</v>
      </c>
      <c r="F70" s="491">
        <f t="shared" si="30"/>
        <v>100</v>
      </c>
      <c r="G70" s="490">
        <f t="shared" si="31"/>
        <v>2872</v>
      </c>
      <c r="H70" s="491">
        <f t="shared" ref="H70" si="57">G70/G$44%</f>
        <v>100</v>
      </c>
    </row>
    <row r="71" spans="1:10">
      <c r="A71" s="509">
        <v>8.1</v>
      </c>
      <c r="B71" s="510" t="s">
        <v>775</v>
      </c>
      <c r="C71" s="511">
        <f>C44-SUM(C74,C73,C72)</f>
        <v>1154</v>
      </c>
      <c r="D71" s="512">
        <f t="shared" si="30"/>
        <v>52.526172052799275</v>
      </c>
      <c r="E71" s="511">
        <f>E44-SUM(E74,E73,E72)</f>
        <v>240</v>
      </c>
      <c r="F71" s="512">
        <f t="shared" si="30"/>
        <v>35.555555555555557</v>
      </c>
      <c r="G71" s="511">
        <f>SUM(C71,E71)</f>
        <v>1394</v>
      </c>
      <c r="H71" s="512">
        <f t="shared" ref="H71" si="58">G71/G$44%</f>
        <v>48.537604456824518</v>
      </c>
    </row>
    <row r="72" spans="1:10">
      <c r="A72" s="513">
        <v>8.1999999999999993</v>
      </c>
      <c r="B72" s="514" t="s">
        <v>790</v>
      </c>
      <c r="C72" s="515">
        <f>C66</f>
        <v>499</v>
      </c>
      <c r="D72" s="516">
        <f t="shared" si="30"/>
        <v>22.71279016841147</v>
      </c>
      <c r="E72" s="515">
        <f>E66</f>
        <v>129</v>
      </c>
      <c r="F72" s="516">
        <f t="shared" si="30"/>
        <v>19.111111111111111</v>
      </c>
      <c r="G72" s="515">
        <f>SUM(C72,E72)</f>
        <v>628</v>
      </c>
      <c r="H72" s="516">
        <f t="shared" ref="H72" si="59">G72/G$44%</f>
        <v>21.866295264623957</v>
      </c>
    </row>
    <row r="73" spans="1:10">
      <c r="A73" s="517">
        <v>8.3000000000000007</v>
      </c>
      <c r="B73" s="518" t="s">
        <v>784</v>
      </c>
      <c r="C73" s="519">
        <f>SUM(C56,C61)</f>
        <v>305</v>
      </c>
      <c r="D73" s="520">
        <f t="shared" si="30"/>
        <v>13.882567137005008</v>
      </c>
      <c r="E73" s="519">
        <f>SUM(E56,E61)</f>
        <v>92</v>
      </c>
      <c r="F73" s="520">
        <f t="shared" si="30"/>
        <v>13.62962962962963</v>
      </c>
      <c r="G73" s="519">
        <f>SUM(C73,E73)</f>
        <v>397</v>
      </c>
      <c r="H73" s="520">
        <f t="shared" ref="H73" si="60">G73/G$44%</f>
        <v>13.823119777158775</v>
      </c>
    </row>
    <row r="74" spans="1:10">
      <c r="A74" s="521">
        <v>8.4</v>
      </c>
      <c r="B74" s="522" t="s">
        <v>782</v>
      </c>
      <c r="C74" s="523">
        <f>C51</f>
        <v>239</v>
      </c>
      <c r="D74" s="524">
        <f t="shared" si="30"/>
        <v>10.878470641784252</v>
      </c>
      <c r="E74" s="523">
        <f>E51</f>
        <v>214</v>
      </c>
      <c r="F74" s="524">
        <f t="shared" si="30"/>
        <v>31.703703703703702</v>
      </c>
      <c r="G74" s="523">
        <f t="shared" ref="G74:G75" si="61">SUM(C74,E74)</f>
        <v>453</v>
      </c>
      <c r="H74" s="524">
        <f t="shared" ref="H74" si="62">G74/G$44%</f>
        <v>15.772980501392759</v>
      </c>
    </row>
    <row r="75" spans="1:10" ht="13.5" thickBot="1">
      <c r="A75" s="525">
        <v>8.5</v>
      </c>
      <c r="B75" s="526" t="s">
        <v>783</v>
      </c>
      <c r="C75" s="527">
        <f>C51+C56</f>
        <v>262</v>
      </c>
      <c r="D75" s="528">
        <f t="shared" si="30"/>
        <v>11.925352753755121</v>
      </c>
      <c r="E75" s="527">
        <f>E51+E56</f>
        <v>223</v>
      </c>
      <c r="F75" s="528">
        <f t="shared" si="30"/>
        <v>33.037037037037038</v>
      </c>
      <c r="G75" s="527">
        <f t="shared" si="61"/>
        <v>485</v>
      </c>
      <c r="H75" s="528">
        <f t="shared" ref="H75" si="63">G75/G$44%</f>
        <v>16.887186629526465</v>
      </c>
    </row>
    <row r="77" spans="1:10" ht="15.75">
      <c r="H77" s="792">
        <v>2012</v>
      </c>
    </row>
    <row r="78" spans="1:10" ht="13.5" thickBot="1"/>
    <row r="79" spans="1:10">
      <c r="A79" s="1826" t="s">
        <v>243</v>
      </c>
      <c r="B79" s="1828" t="s">
        <v>792</v>
      </c>
      <c r="C79" s="1830" t="s">
        <v>6</v>
      </c>
      <c r="D79" s="1831"/>
      <c r="E79" s="1830" t="s">
        <v>14</v>
      </c>
      <c r="F79" s="1831"/>
      <c r="G79" s="1830" t="s">
        <v>786</v>
      </c>
      <c r="H79" s="1831"/>
    </row>
    <row r="80" spans="1:10" ht="13.5" thickBot="1">
      <c r="A80" s="1827"/>
      <c r="B80" s="1829"/>
      <c r="C80" s="486" t="s">
        <v>785</v>
      </c>
      <c r="D80" s="487" t="s">
        <v>18</v>
      </c>
      <c r="E80" s="486" t="s">
        <v>785</v>
      </c>
      <c r="F80" s="487" t="s">
        <v>18</v>
      </c>
      <c r="G80" s="486" t="s">
        <v>785</v>
      </c>
      <c r="H80" s="487" t="s">
        <v>18</v>
      </c>
    </row>
    <row r="81" spans="1:8">
      <c r="A81" s="488">
        <v>1</v>
      </c>
      <c r="B81" s="489" t="s">
        <v>774</v>
      </c>
      <c r="C81" s="490">
        <v>1931</v>
      </c>
      <c r="D81" s="491">
        <f>C81/C$81%</f>
        <v>100</v>
      </c>
      <c r="E81" s="490">
        <v>541</v>
      </c>
      <c r="F81" s="491">
        <f>E81/E$81%</f>
        <v>100</v>
      </c>
      <c r="G81" s="490">
        <f>SUM(C81,E81)</f>
        <v>2472</v>
      </c>
      <c r="H81" s="491">
        <f>G81/G$81%</f>
        <v>100</v>
      </c>
    </row>
    <row r="82" spans="1:8">
      <c r="A82" s="492">
        <v>2</v>
      </c>
      <c r="B82" s="493" t="s">
        <v>775</v>
      </c>
      <c r="C82" s="494">
        <f>C81-C83</f>
        <v>1149</v>
      </c>
      <c r="D82" s="495">
        <f t="shared" ref="D82:F112" si="64">C82/C$81%</f>
        <v>59.502848265147598</v>
      </c>
      <c r="E82" s="494">
        <f>E81-E83</f>
        <v>227</v>
      </c>
      <c r="F82" s="495">
        <f t="shared" si="64"/>
        <v>41.959334565619223</v>
      </c>
      <c r="G82" s="494">
        <f t="shared" ref="G82:G107" si="65">SUM(C82,E82)</f>
        <v>1376</v>
      </c>
      <c r="H82" s="495">
        <f t="shared" ref="H82" si="66">G82/G$81%</f>
        <v>55.663430420711975</v>
      </c>
    </row>
    <row r="83" spans="1:8">
      <c r="A83" s="492">
        <v>3</v>
      </c>
      <c r="B83" s="493" t="s">
        <v>789</v>
      </c>
      <c r="C83" s="494">
        <f>SUM(C88,C93,C98,C103)</f>
        <v>782</v>
      </c>
      <c r="D83" s="495">
        <f t="shared" si="64"/>
        <v>40.497151734852409</v>
      </c>
      <c r="E83" s="494">
        <f>SUM(E88,E93,E98,E103)</f>
        <v>314</v>
      </c>
      <c r="F83" s="495">
        <f t="shared" si="64"/>
        <v>58.040665434380777</v>
      </c>
      <c r="G83" s="494">
        <f t="shared" si="65"/>
        <v>1096</v>
      </c>
      <c r="H83" s="495">
        <f t="shared" ref="H83" si="67">G83/G$81%</f>
        <v>44.336569579288025</v>
      </c>
    </row>
    <row r="84" spans="1:8">
      <c r="A84" s="496">
        <v>3.1</v>
      </c>
      <c r="B84" s="497" t="s">
        <v>776</v>
      </c>
      <c r="C84" s="498">
        <f>SUM(C89,C90,C91,C92,C99,C100,C101,C102)</f>
        <v>435</v>
      </c>
      <c r="D84" s="499">
        <f t="shared" si="64"/>
        <v>22.527187985499744</v>
      </c>
      <c r="E84" s="498">
        <f>SUM(E89,E90,E91,E92,E99,E100,E101,E102)</f>
        <v>227</v>
      </c>
      <c r="F84" s="499">
        <f t="shared" si="64"/>
        <v>41.959334565619223</v>
      </c>
      <c r="G84" s="498">
        <f t="shared" si="65"/>
        <v>662</v>
      </c>
      <c r="H84" s="499">
        <f t="shared" ref="H84" si="68">G84/G$81%</f>
        <v>26.779935275080906</v>
      </c>
    </row>
    <row r="85" spans="1:8">
      <c r="A85" s="496">
        <v>3.2</v>
      </c>
      <c r="B85" s="497" t="s">
        <v>777</v>
      </c>
      <c r="C85" s="498">
        <f>SUM(C89,C90,C91,C92,C94,C95,C96,C97)</f>
        <v>189</v>
      </c>
      <c r="D85" s="499">
        <f t="shared" si="64"/>
        <v>9.7876747799067854</v>
      </c>
      <c r="E85" s="498">
        <f>SUM(E89,E90,E91,E92,E94,E95,E96,E97)</f>
        <v>172</v>
      </c>
      <c r="F85" s="499">
        <f t="shared" si="64"/>
        <v>31.79297597042514</v>
      </c>
      <c r="G85" s="498">
        <f t="shared" si="65"/>
        <v>361</v>
      </c>
      <c r="H85" s="499">
        <f t="shared" ref="H85" si="69">G85/G$81%</f>
        <v>14.603559870550162</v>
      </c>
    </row>
    <row r="86" spans="1:8">
      <c r="A86" s="496">
        <v>3.3</v>
      </c>
      <c r="B86" s="497" t="s">
        <v>778</v>
      </c>
      <c r="C86" s="498">
        <f>SUM(C90,C92,C95,C97,C100,C102,C104,C106)</f>
        <v>203</v>
      </c>
      <c r="D86" s="499">
        <f t="shared" si="64"/>
        <v>10.512687726566547</v>
      </c>
      <c r="E86" s="498">
        <f>SUM(E90,E92,E95,E97,E100,E102,E104,E106)</f>
        <v>159</v>
      </c>
      <c r="F86" s="499">
        <f t="shared" si="64"/>
        <v>29.390018484288355</v>
      </c>
      <c r="G86" s="498">
        <f t="shared" si="65"/>
        <v>362</v>
      </c>
      <c r="H86" s="499">
        <f t="shared" ref="H86" si="70">G86/G$81%</f>
        <v>14.644012944983819</v>
      </c>
    </row>
    <row r="87" spans="1:8" ht="13.5" thickBot="1">
      <c r="A87" s="500">
        <v>3.4</v>
      </c>
      <c r="B87" s="501" t="s">
        <v>779</v>
      </c>
      <c r="C87" s="502">
        <f>SUM(C91,C92,C96,C97,C101,C102,C105,C106)</f>
        <v>648</v>
      </c>
      <c r="D87" s="503">
        <f t="shared" si="64"/>
        <v>33.557742102537546</v>
      </c>
      <c r="E87" s="502">
        <f>SUM(E91,E92,E96,E97,E101,E102,E105,E106)</f>
        <v>283</v>
      </c>
      <c r="F87" s="503">
        <f t="shared" si="64"/>
        <v>52.310536044362294</v>
      </c>
      <c r="G87" s="502">
        <f t="shared" si="65"/>
        <v>931</v>
      </c>
      <c r="H87" s="503">
        <f t="shared" ref="H87" si="71">G87/G$81%</f>
        <v>37.661812297734627</v>
      </c>
    </row>
    <row r="88" spans="1:8">
      <c r="A88" s="488">
        <v>4</v>
      </c>
      <c r="B88" s="489" t="s">
        <v>780</v>
      </c>
      <c r="C88" s="490">
        <f>SUM(C89:C92)</f>
        <v>177</v>
      </c>
      <c r="D88" s="491">
        <f t="shared" si="64"/>
        <v>9.1662351113412743</v>
      </c>
      <c r="E88" s="490">
        <f>SUM(E89:E92)</f>
        <v>169</v>
      </c>
      <c r="F88" s="491">
        <f t="shared" si="64"/>
        <v>31.238447319778189</v>
      </c>
      <c r="G88" s="490">
        <f t="shared" si="65"/>
        <v>346</v>
      </c>
      <c r="H88" s="491">
        <f t="shared" ref="H88" si="72">G88/G$81%</f>
        <v>13.996763754045308</v>
      </c>
    </row>
    <row r="89" spans="1:8">
      <c r="A89" s="496">
        <v>4.0999999999999996</v>
      </c>
      <c r="B89" s="497" t="s">
        <v>770</v>
      </c>
      <c r="C89" s="498">
        <v>1</v>
      </c>
      <c r="D89" s="499">
        <f t="shared" si="64"/>
        <v>5.1786639047125847E-2</v>
      </c>
      <c r="E89" s="498">
        <v>3</v>
      </c>
      <c r="F89" s="499">
        <f t="shared" si="64"/>
        <v>0.55452865064695012</v>
      </c>
      <c r="G89" s="498">
        <f t="shared" si="65"/>
        <v>4</v>
      </c>
      <c r="H89" s="499">
        <f t="shared" ref="H89" si="73">G89/G$81%</f>
        <v>0.16181229773462785</v>
      </c>
    </row>
    <row r="90" spans="1:8">
      <c r="A90" s="496">
        <v>4.2</v>
      </c>
      <c r="B90" s="497" t="s">
        <v>771</v>
      </c>
      <c r="C90" s="498">
        <v>1</v>
      </c>
      <c r="D90" s="499">
        <f t="shared" si="64"/>
        <v>5.1786639047125847E-2</v>
      </c>
      <c r="E90" s="498">
        <v>1</v>
      </c>
      <c r="F90" s="499">
        <f t="shared" si="64"/>
        <v>0.18484288354898337</v>
      </c>
      <c r="G90" s="498">
        <f t="shared" si="65"/>
        <v>2</v>
      </c>
      <c r="H90" s="499">
        <f t="shared" ref="H90" si="74">G90/G$81%</f>
        <v>8.0906148867313926E-2</v>
      </c>
    </row>
    <row r="91" spans="1:8">
      <c r="A91" s="496">
        <v>4.3</v>
      </c>
      <c r="B91" s="497" t="s">
        <v>773</v>
      </c>
      <c r="C91" s="498">
        <v>22</v>
      </c>
      <c r="D91" s="499">
        <f t="shared" si="64"/>
        <v>1.1393060590367685</v>
      </c>
      <c r="E91" s="498">
        <v>14</v>
      </c>
      <c r="F91" s="499">
        <f t="shared" si="64"/>
        <v>2.587800369685767</v>
      </c>
      <c r="G91" s="498">
        <f t="shared" si="65"/>
        <v>36</v>
      </c>
      <c r="H91" s="499">
        <f t="shared" ref="H91" si="75">G91/G$81%</f>
        <v>1.4563106796116505</v>
      </c>
    </row>
    <row r="92" spans="1:8" ht="13.5" thickBot="1">
      <c r="A92" s="500">
        <v>4.4000000000000004</v>
      </c>
      <c r="B92" s="501" t="s">
        <v>772</v>
      </c>
      <c r="C92" s="502">
        <v>153</v>
      </c>
      <c r="D92" s="503">
        <f t="shared" si="64"/>
        <v>7.9233557742102541</v>
      </c>
      <c r="E92" s="502">
        <v>151</v>
      </c>
      <c r="F92" s="503">
        <f t="shared" si="64"/>
        <v>27.911275415896487</v>
      </c>
      <c r="G92" s="502">
        <f t="shared" si="65"/>
        <v>304</v>
      </c>
      <c r="H92" s="503">
        <f t="shared" ref="H92" si="76">G92/G$81%</f>
        <v>12.297734627831716</v>
      </c>
    </row>
    <row r="93" spans="1:8">
      <c r="A93" s="488">
        <v>5</v>
      </c>
      <c r="B93" s="489" t="s">
        <v>787</v>
      </c>
      <c r="C93" s="490">
        <f>SUM(C94:C97)</f>
        <v>12</v>
      </c>
      <c r="D93" s="491">
        <f t="shared" si="64"/>
        <v>0.62143966856551014</v>
      </c>
      <c r="E93" s="490">
        <f>SUM(E94:E97)</f>
        <v>3</v>
      </c>
      <c r="F93" s="491">
        <f t="shared" si="64"/>
        <v>0.55452865064695012</v>
      </c>
      <c r="G93" s="490">
        <f t="shared" si="65"/>
        <v>15</v>
      </c>
      <c r="H93" s="491">
        <f t="shared" ref="H93" si="77">G93/G$81%</f>
        <v>0.60679611650485443</v>
      </c>
    </row>
    <row r="94" spans="1:8">
      <c r="A94" s="496">
        <v>5.0999999999999996</v>
      </c>
      <c r="B94" s="497" t="s">
        <v>752</v>
      </c>
      <c r="C94" s="498">
        <v>7</v>
      </c>
      <c r="D94" s="499">
        <f t="shared" si="64"/>
        <v>0.3625064733298809</v>
      </c>
      <c r="E94" s="498">
        <v>1</v>
      </c>
      <c r="F94" s="499">
        <f t="shared" si="64"/>
        <v>0.18484288354898337</v>
      </c>
      <c r="G94" s="498">
        <f t="shared" si="65"/>
        <v>8</v>
      </c>
      <c r="H94" s="499">
        <f t="shared" ref="H94" si="78">G94/G$81%</f>
        <v>0.3236245954692557</v>
      </c>
    </row>
    <row r="95" spans="1:8">
      <c r="A95" s="496">
        <v>5.2</v>
      </c>
      <c r="B95" s="497" t="s">
        <v>767</v>
      </c>
      <c r="C95" s="498">
        <v>1</v>
      </c>
      <c r="D95" s="499">
        <f t="shared" si="64"/>
        <v>5.1786639047125847E-2</v>
      </c>
      <c r="E95" s="498">
        <v>0</v>
      </c>
      <c r="F95" s="499">
        <f t="shared" si="64"/>
        <v>0</v>
      </c>
      <c r="G95" s="498">
        <f t="shared" si="65"/>
        <v>1</v>
      </c>
      <c r="H95" s="499">
        <f t="shared" ref="H95" si="79">G95/G$81%</f>
        <v>4.0453074433656963E-2</v>
      </c>
    </row>
    <row r="96" spans="1:8">
      <c r="A96" s="496">
        <v>5.3</v>
      </c>
      <c r="B96" s="497" t="s">
        <v>769</v>
      </c>
      <c r="C96" s="498">
        <v>4</v>
      </c>
      <c r="D96" s="499">
        <f t="shared" si="64"/>
        <v>0.20714655618850339</v>
      </c>
      <c r="E96" s="498">
        <v>2</v>
      </c>
      <c r="F96" s="499">
        <f t="shared" si="64"/>
        <v>0.36968576709796674</v>
      </c>
      <c r="G96" s="498">
        <f t="shared" si="65"/>
        <v>6</v>
      </c>
      <c r="H96" s="499">
        <f t="shared" ref="H96" si="80">G96/G$81%</f>
        <v>0.24271844660194175</v>
      </c>
    </row>
    <row r="97" spans="1:10" ht="13.5" thickBot="1">
      <c r="A97" s="500">
        <v>5.4</v>
      </c>
      <c r="B97" s="501" t="s">
        <v>768</v>
      </c>
      <c r="C97" s="502">
        <v>0</v>
      </c>
      <c r="D97" s="503">
        <f t="shared" si="64"/>
        <v>0</v>
      </c>
      <c r="E97" s="502">
        <v>0</v>
      </c>
      <c r="F97" s="503">
        <f t="shared" si="64"/>
        <v>0</v>
      </c>
      <c r="G97" s="502">
        <f t="shared" si="65"/>
        <v>0</v>
      </c>
      <c r="H97" s="503">
        <f t="shared" ref="H97" si="81">G97/G$81%</f>
        <v>0</v>
      </c>
    </row>
    <row r="98" spans="1:10">
      <c r="A98" s="488">
        <v>6</v>
      </c>
      <c r="B98" s="489" t="s">
        <v>788</v>
      </c>
      <c r="C98" s="490">
        <f>SUM(C99:C102)</f>
        <v>258</v>
      </c>
      <c r="D98" s="491">
        <f t="shared" si="64"/>
        <v>13.360952874158468</v>
      </c>
      <c r="E98" s="490">
        <f>SUM(E99:E102)</f>
        <v>58</v>
      </c>
      <c r="F98" s="491">
        <f t="shared" si="64"/>
        <v>10.720887245841034</v>
      </c>
      <c r="G98" s="490">
        <f t="shared" si="65"/>
        <v>316</v>
      </c>
      <c r="H98" s="491">
        <f t="shared" ref="H98" si="82">G98/G$81%</f>
        <v>12.7831715210356</v>
      </c>
    </row>
    <row r="99" spans="1:10">
      <c r="A99" s="496">
        <v>6.1</v>
      </c>
      <c r="B99" s="497" t="s">
        <v>223</v>
      </c>
      <c r="C99" s="498">
        <v>107</v>
      </c>
      <c r="D99" s="499">
        <f t="shared" si="64"/>
        <v>5.541170378042465</v>
      </c>
      <c r="E99" s="498">
        <v>23</v>
      </c>
      <c r="F99" s="499">
        <f t="shared" si="64"/>
        <v>4.251386321626617</v>
      </c>
      <c r="G99" s="498">
        <f t="shared" si="65"/>
        <v>130</v>
      </c>
      <c r="H99" s="499">
        <f t="shared" ref="H99" si="83">G99/G$81%</f>
        <v>5.258899676375405</v>
      </c>
      <c r="J99" s="150"/>
    </row>
    <row r="100" spans="1:10">
      <c r="A100" s="496">
        <v>6.2</v>
      </c>
      <c r="B100" s="497" t="s">
        <v>764</v>
      </c>
      <c r="C100" s="498">
        <v>4</v>
      </c>
      <c r="D100" s="499">
        <f t="shared" si="64"/>
        <v>0.20714655618850339</v>
      </c>
      <c r="E100" s="498">
        <v>1</v>
      </c>
      <c r="F100" s="499">
        <f t="shared" si="64"/>
        <v>0.18484288354898337</v>
      </c>
      <c r="G100" s="498">
        <f t="shared" si="65"/>
        <v>5</v>
      </c>
      <c r="H100" s="499">
        <f t="shared" ref="H100" si="84">G100/G$81%</f>
        <v>0.2022653721682848</v>
      </c>
      <c r="J100" s="150"/>
    </row>
    <row r="101" spans="1:10">
      <c r="A101" s="496">
        <v>6.3</v>
      </c>
      <c r="B101" s="497" t="s">
        <v>766</v>
      </c>
      <c r="C101" s="498">
        <v>121</v>
      </c>
      <c r="D101" s="499">
        <f t="shared" si="64"/>
        <v>6.2661833247022276</v>
      </c>
      <c r="E101" s="498">
        <v>30</v>
      </c>
      <c r="F101" s="499">
        <f t="shared" si="64"/>
        <v>5.5452865064695009</v>
      </c>
      <c r="G101" s="498">
        <f t="shared" si="65"/>
        <v>151</v>
      </c>
      <c r="H101" s="499">
        <f t="shared" ref="H101" si="85">G101/G$81%</f>
        <v>6.108414239482201</v>
      </c>
      <c r="J101" s="150"/>
    </row>
    <row r="102" spans="1:10" ht="13.5" thickBot="1">
      <c r="A102" s="500">
        <v>6.4</v>
      </c>
      <c r="B102" s="501" t="s">
        <v>765</v>
      </c>
      <c r="C102" s="502">
        <v>26</v>
      </c>
      <c r="D102" s="503">
        <f t="shared" si="64"/>
        <v>1.346452615225272</v>
      </c>
      <c r="E102" s="502">
        <v>4</v>
      </c>
      <c r="F102" s="503">
        <f t="shared" si="64"/>
        <v>0.73937153419593349</v>
      </c>
      <c r="G102" s="502">
        <f t="shared" si="65"/>
        <v>30</v>
      </c>
      <c r="H102" s="503">
        <f t="shared" ref="H102" si="86">G102/G$81%</f>
        <v>1.2135922330097089</v>
      </c>
      <c r="J102" s="150"/>
    </row>
    <row r="103" spans="1:10">
      <c r="A103" s="488">
        <v>7</v>
      </c>
      <c r="B103" s="489" t="s">
        <v>781</v>
      </c>
      <c r="C103" s="490">
        <f>SUM(C104:C106)</f>
        <v>335</v>
      </c>
      <c r="D103" s="491">
        <f t="shared" si="64"/>
        <v>17.348524080787158</v>
      </c>
      <c r="E103" s="490">
        <f>SUM(E104:E106)</f>
        <v>84</v>
      </c>
      <c r="F103" s="491">
        <f t="shared" si="64"/>
        <v>15.526802218114602</v>
      </c>
      <c r="G103" s="490">
        <f t="shared" si="65"/>
        <v>419</v>
      </c>
      <c r="H103" s="491">
        <f t="shared" ref="H103" si="87">G103/G$81%</f>
        <v>16.949838187702266</v>
      </c>
    </row>
    <row r="104" spans="1:10">
      <c r="A104" s="496">
        <v>7.1</v>
      </c>
      <c r="B104" s="497" t="s">
        <v>49</v>
      </c>
      <c r="C104" s="498">
        <v>13</v>
      </c>
      <c r="D104" s="499">
        <f t="shared" si="64"/>
        <v>0.67322630761263602</v>
      </c>
      <c r="E104" s="498">
        <v>2</v>
      </c>
      <c r="F104" s="499">
        <f t="shared" si="64"/>
        <v>0.36968576709796674</v>
      </c>
      <c r="G104" s="498">
        <f t="shared" si="65"/>
        <v>15</v>
      </c>
      <c r="H104" s="499">
        <f t="shared" ref="H104" si="88">G104/G$81%</f>
        <v>0.60679611650485443</v>
      </c>
    </row>
    <row r="105" spans="1:10">
      <c r="A105" s="496">
        <v>7.2</v>
      </c>
      <c r="B105" s="497" t="s">
        <v>753</v>
      </c>
      <c r="C105" s="498">
        <v>317</v>
      </c>
      <c r="D105" s="499">
        <f t="shared" si="64"/>
        <v>16.416364577938893</v>
      </c>
      <c r="E105" s="498">
        <v>82</v>
      </c>
      <c r="F105" s="499">
        <f t="shared" si="64"/>
        <v>15.157116451016636</v>
      </c>
      <c r="G105" s="498">
        <f t="shared" si="65"/>
        <v>399</v>
      </c>
      <c r="H105" s="499">
        <f t="shared" ref="H105" si="89">G105/G$81%</f>
        <v>16.140776699029129</v>
      </c>
    </row>
    <row r="106" spans="1:10" ht="13.5" thickBot="1">
      <c r="A106" s="504">
        <v>7.3</v>
      </c>
      <c r="B106" s="505" t="s">
        <v>763</v>
      </c>
      <c r="C106" s="506">
        <v>5</v>
      </c>
      <c r="D106" s="507">
        <f t="shared" si="64"/>
        <v>0.25893319523562924</v>
      </c>
      <c r="E106" s="506">
        <v>0</v>
      </c>
      <c r="F106" s="507">
        <f t="shared" si="64"/>
        <v>0</v>
      </c>
      <c r="G106" s="506">
        <f t="shared" si="65"/>
        <v>5</v>
      </c>
      <c r="H106" s="507">
        <f t="shared" ref="H106" si="90">G106/G$81%</f>
        <v>0.2022653721682848</v>
      </c>
    </row>
    <row r="107" spans="1:10">
      <c r="A107" s="488">
        <v>8</v>
      </c>
      <c r="B107" s="508" t="s">
        <v>791</v>
      </c>
      <c r="C107" s="490">
        <f>SUM(C108,C109,C110,C111)</f>
        <v>1931</v>
      </c>
      <c r="D107" s="491">
        <f t="shared" si="64"/>
        <v>100</v>
      </c>
      <c r="E107" s="490">
        <f>SUM(E108,E109,E110,E111)</f>
        <v>541</v>
      </c>
      <c r="F107" s="491">
        <f t="shared" si="64"/>
        <v>100</v>
      </c>
      <c r="G107" s="490">
        <f t="shared" si="65"/>
        <v>2472</v>
      </c>
      <c r="H107" s="491">
        <f t="shared" ref="H107" si="91">G107/G$81%</f>
        <v>100</v>
      </c>
    </row>
    <row r="108" spans="1:10">
      <c r="A108" s="509">
        <v>8.1</v>
      </c>
      <c r="B108" s="510" t="s">
        <v>775</v>
      </c>
      <c r="C108" s="511">
        <f>C81-SUM(C111,C110,C109)</f>
        <v>1149</v>
      </c>
      <c r="D108" s="512">
        <f t="shared" si="64"/>
        <v>59.502848265147598</v>
      </c>
      <c r="E108" s="511">
        <f>E81-SUM(E111,E110,E109)</f>
        <v>227</v>
      </c>
      <c r="F108" s="512">
        <f t="shared" si="64"/>
        <v>41.959334565619223</v>
      </c>
      <c r="G108" s="511">
        <f>SUM(C108,E108)</f>
        <v>1376</v>
      </c>
      <c r="H108" s="512">
        <f t="shared" ref="H108" si="92">G108/G$81%</f>
        <v>55.663430420711975</v>
      </c>
    </row>
    <row r="109" spans="1:10">
      <c r="A109" s="513">
        <v>8.1999999999999993</v>
      </c>
      <c r="B109" s="514" t="s">
        <v>790</v>
      </c>
      <c r="C109" s="515">
        <f>C103</f>
        <v>335</v>
      </c>
      <c r="D109" s="516">
        <f t="shared" si="64"/>
        <v>17.348524080787158</v>
      </c>
      <c r="E109" s="515">
        <f>E103</f>
        <v>84</v>
      </c>
      <c r="F109" s="516">
        <f t="shared" si="64"/>
        <v>15.526802218114602</v>
      </c>
      <c r="G109" s="515">
        <f>SUM(C109,E109)</f>
        <v>419</v>
      </c>
      <c r="H109" s="516">
        <f t="shared" ref="H109" si="93">G109/G$81%</f>
        <v>16.949838187702266</v>
      </c>
    </row>
    <row r="110" spans="1:10">
      <c r="A110" s="517">
        <v>8.3000000000000007</v>
      </c>
      <c r="B110" s="518" t="s">
        <v>784</v>
      </c>
      <c r="C110" s="519">
        <f>SUM(C93,C98)</f>
        <v>270</v>
      </c>
      <c r="D110" s="520">
        <f t="shared" si="64"/>
        <v>13.982392542723979</v>
      </c>
      <c r="E110" s="519">
        <f>SUM(E93,E98)</f>
        <v>61</v>
      </c>
      <c r="F110" s="520">
        <f t="shared" si="64"/>
        <v>11.275415896487985</v>
      </c>
      <c r="G110" s="519">
        <f>SUM(C110,E110)</f>
        <v>331</v>
      </c>
      <c r="H110" s="520">
        <f t="shared" ref="H110" si="94">G110/G$81%</f>
        <v>13.389967637540453</v>
      </c>
    </row>
    <row r="111" spans="1:10">
      <c r="A111" s="521">
        <v>8.4</v>
      </c>
      <c r="B111" s="522" t="s">
        <v>782</v>
      </c>
      <c r="C111" s="523">
        <f>C88</f>
        <v>177</v>
      </c>
      <c r="D111" s="524">
        <f t="shared" si="64"/>
        <v>9.1662351113412743</v>
      </c>
      <c r="E111" s="523">
        <f>E88</f>
        <v>169</v>
      </c>
      <c r="F111" s="524">
        <f t="shared" si="64"/>
        <v>31.238447319778189</v>
      </c>
      <c r="G111" s="523">
        <f t="shared" ref="G111:G112" si="95">SUM(C111,E111)</f>
        <v>346</v>
      </c>
      <c r="H111" s="524">
        <f t="shared" ref="H111" si="96">G111/G$81%</f>
        <v>13.996763754045308</v>
      </c>
    </row>
    <row r="112" spans="1:10" ht="13.5" thickBot="1">
      <c r="A112" s="525">
        <v>8.5</v>
      </c>
      <c r="B112" s="526" t="s">
        <v>783</v>
      </c>
      <c r="C112" s="527">
        <f>C88+C93</f>
        <v>189</v>
      </c>
      <c r="D112" s="528">
        <f t="shared" si="64"/>
        <v>9.7876747799067854</v>
      </c>
      <c r="E112" s="527">
        <f>E88+E93</f>
        <v>172</v>
      </c>
      <c r="F112" s="528">
        <f t="shared" si="64"/>
        <v>31.79297597042514</v>
      </c>
      <c r="G112" s="527">
        <f t="shared" si="95"/>
        <v>361</v>
      </c>
      <c r="H112" s="528">
        <f t="shared" ref="H112" si="97">G112/G$81%</f>
        <v>14.603559870550162</v>
      </c>
    </row>
    <row r="114" spans="1:8" ht="15.75">
      <c r="H114" s="792">
        <v>2013</v>
      </c>
    </row>
    <row r="115" spans="1:8" ht="13.5" thickBot="1"/>
    <row r="116" spans="1:8">
      <c r="A116" s="1826" t="s">
        <v>243</v>
      </c>
      <c r="B116" s="1828" t="s">
        <v>792</v>
      </c>
      <c r="C116" s="1830" t="s">
        <v>6</v>
      </c>
      <c r="D116" s="1831"/>
      <c r="E116" s="1830" t="s">
        <v>14</v>
      </c>
      <c r="F116" s="1831"/>
      <c r="G116" s="1830" t="s">
        <v>786</v>
      </c>
      <c r="H116" s="1831"/>
    </row>
    <row r="117" spans="1:8" ht="13.5" thickBot="1">
      <c r="A117" s="1827"/>
      <c r="B117" s="1829"/>
      <c r="C117" s="486" t="s">
        <v>785</v>
      </c>
      <c r="D117" s="487" t="s">
        <v>18</v>
      </c>
      <c r="E117" s="486" t="s">
        <v>785</v>
      </c>
      <c r="F117" s="487" t="s">
        <v>18</v>
      </c>
      <c r="G117" s="486" t="s">
        <v>785</v>
      </c>
      <c r="H117" s="487" t="s">
        <v>18</v>
      </c>
    </row>
    <row r="118" spans="1:8">
      <c r="A118" s="488">
        <v>1</v>
      </c>
      <c r="B118" s="489" t="s">
        <v>774</v>
      </c>
      <c r="C118" s="490">
        <v>1629</v>
      </c>
      <c r="D118" s="491">
        <f>C118/C$118%</f>
        <v>100</v>
      </c>
      <c r="E118" s="490">
        <v>527</v>
      </c>
      <c r="F118" s="491">
        <f>E118/E$118%</f>
        <v>100.00000000000001</v>
      </c>
      <c r="G118" s="490">
        <f>SUM(C118,E118)</f>
        <v>2156</v>
      </c>
      <c r="H118" s="491">
        <f>G118/G$118%</f>
        <v>100</v>
      </c>
    </row>
    <row r="119" spans="1:8">
      <c r="A119" s="492">
        <v>2</v>
      </c>
      <c r="B119" s="493" t="s">
        <v>775</v>
      </c>
      <c r="C119" s="494">
        <f>C118-C120</f>
        <v>959</v>
      </c>
      <c r="D119" s="495">
        <f t="shared" ref="D119:F149" si="98">C119/C$118%</f>
        <v>58.87047268262738</v>
      </c>
      <c r="E119" s="494">
        <f>E118-E120</f>
        <v>202</v>
      </c>
      <c r="F119" s="495">
        <f t="shared" si="98"/>
        <v>38.33017077798862</v>
      </c>
      <c r="G119" s="494">
        <f t="shared" ref="G119:G144" si="99">SUM(C119,E119)</f>
        <v>1161</v>
      </c>
      <c r="H119" s="495">
        <f t="shared" ref="H119" si="100">G119/G$118%</f>
        <v>53.849721706864564</v>
      </c>
    </row>
    <row r="120" spans="1:8">
      <c r="A120" s="492">
        <v>3</v>
      </c>
      <c r="B120" s="493" t="s">
        <v>789</v>
      </c>
      <c r="C120" s="494">
        <f>SUM(C125,C130,C135,C140)</f>
        <v>670</v>
      </c>
      <c r="D120" s="495">
        <f t="shared" si="98"/>
        <v>41.12952731737262</v>
      </c>
      <c r="E120" s="494">
        <f>SUM(E125,E130,E135,E140)</f>
        <v>325</v>
      </c>
      <c r="F120" s="495">
        <f t="shared" si="98"/>
        <v>61.669829222011387</v>
      </c>
      <c r="G120" s="494">
        <f t="shared" si="99"/>
        <v>995</v>
      </c>
      <c r="H120" s="495">
        <f t="shared" ref="H120" si="101">G120/G$118%</f>
        <v>46.150278293135436</v>
      </c>
    </row>
    <row r="121" spans="1:8">
      <c r="A121" s="496">
        <v>3.1</v>
      </c>
      <c r="B121" s="497" t="s">
        <v>776</v>
      </c>
      <c r="C121" s="498">
        <f>SUM(C126,C127,C128,C129,C136,C137,C138,C139)</f>
        <v>374</v>
      </c>
      <c r="D121" s="499">
        <f t="shared" si="98"/>
        <v>22.95887047268263</v>
      </c>
      <c r="E121" s="498">
        <f>SUM(E126,E127,E128,E129,E136,E137,E138,E139)</f>
        <v>253</v>
      </c>
      <c r="F121" s="499">
        <f t="shared" si="98"/>
        <v>48.007590132827332</v>
      </c>
      <c r="G121" s="498">
        <f t="shared" si="99"/>
        <v>627</v>
      </c>
      <c r="H121" s="499">
        <f t="shared" ref="H121" si="102">G121/G$118%</f>
        <v>29.081632653061227</v>
      </c>
    </row>
    <row r="122" spans="1:8">
      <c r="A122" s="496">
        <v>3.2</v>
      </c>
      <c r="B122" s="497" t="s">
        <v>777</v>
      </c>
      <c r="C122" s="498">
        <f>SUM(C126,C127,C128,C129,C131,C132,C133,C134)</f>
        <v>189</v>
      </c>
      <c r="D122" s="499">
        <f t="shared" si="98"/>
        <v>11.602209944751381</v>
      </c>
      <c r="E122" s="498">
        <f>SUM(E126,E127,E128,E129,E131,E132,E133,E134)</f>
        <v>201</v>
      </c>
      <c r="F122" s="499">
        <f t="shared" si="98"/>
        <v>38.140417457305503</v>
      </c>
      <c r="G122" s="498">
        <f t="shared" si="99"/>
        <v>390</v>
      </c>
      <c r="H122" s="499">
        <f t="shared" ref="H122" si="103">G122/G$118%</f>
        <v>18.089053803339517</v>
      </c>
    </row>
    <row r="123" spans="1:8">
      <c r="A123" s="496">
        <v>3.3</v>
      </c>
      <c r="B123" s="497" t="s">
        <v>778</v>
      </c>
      <c r="C123" s="498">
        <f>SUM(C127,C129,C132,C134,C137,C139,C141,C143)</f>
        <v>179</v>
      </c>
      <c r="D123" s="499">
        <f t="shared" si="98"/>
        <v>10.988336402701044</v>
      </c>
      <c r="E123" s="498">
        <f>SUM(E127,E129,E132,E134,E137,E139,E141,E143)</f>
        <v>179</v>
      </c>
      <c r="F123" s="499">
        <f t="shared" si="98"/>
        <v>33.965844402277042</v>
      </c>
      <c r="G123" s="498">
        <f t="shared" si="99"/>
        <v>358</v>
      </c>
      <c r="H123" s="499">
        <f t="shared" ref="H123" si="104">G123/G$118%</f>
        <v>16.604823747680893</v>
      </c>
    </row>
    <row r="124" spans="1:8" ht="13.5" thickBot="1">
      <c r="A124" s="500">
        <v>3.4</v>
      </c>
      <c r="B124" s="501" t="s">
        <v>779</v>
      </c>
      <c r="C124" s="502">
        <f>SUM(C128,C129,C133,C134,C138,C139,C142,C143)</f>
        <v>573</v>
      </c>
      <c r="D124" s="503">
        <f t="shared" si="98"/>
        <v>35.174953959484348</v>
      </c>
      <c r="E124" s="502">
        <f>SUM(E128,E129,E133,E134,E138,E139,E142,E143)</f>
        <v>287</v>
      </c>
      <c r="F124" s="503">
        <f t="shared" si="98"/>
        <v>54.459203036053133</v>
      </c>
      <c r="G124" s="502">
        <f t="shared" si="99"/>
        <v>860</v>
      </c>
      <c r="H124" s="503">
        <f t="shared" ref="H124" si="105">G124/G$118%</f>
        <v>39.888682745825605</v>
      </c>
    </row>
    <row r="125" spans="1:8">
      <c r="A125" s="488">
        <v>4</v>
      </c>
      <c r="B125" s="489" t="s">
        <v>780</v>
      </c>
      <c r="C125" s="490">
        <f>SUM(C126:C129)</f>
        <v>183</v>
      </c>
      <c r="D125" s="491">
        <f t="shared" si="98"/>
        <v>11.233885819521179</v>
      </c>
      <c r="E125" s="490">
        <f>SUM(E126:E129)</f>
        <v>201</v>
      </c>
      <c r="F125" s="491">
        <f t="shared" si="98"/>
        <v>38.140417457305503</v>
      </c>
      <c r="G125" s="490">
        <f t="shared" si="99"/>
        <v>384</v>
      </c>
      <c r="H125" s="491">
        <f t="shared" ref="H125" si="106">G125/G$118%</f>
        <v>17.810760667903526</v>
      </c>
    </row>
    <row r="126" spans="1:8">
      <c r="A126" s="496">
        <v>4.0999999999999996</v>
      </c>
      <c r="B126" s="497" t="s">
        <v>770</v>
      </c>
      <c r="C126" s="498">
        <v>11</v>
      </c>
      <c r="D126" s="499">
        <f t="shared" si="98"/>
        <v>0.67526089625537145</v>
      </c>
      <c r="E126" s="498">
        <v>7</v>
      </c>
      <c r="F126" s="499">
        <f t="shared" si="98"/>
        <v>1.3282732447817838</v>
      </c>
      <c r="G126" s="498">
        <f t="shared" si="99"/>
        <v>18</v>
      </c>
      <c r="H126" s="499">
        <f t="shared" ref="H126" si="107">G126/G$118%</f>
        <v>0.83487940630797774</v>
      </c>
    </row>
    <row r="127" spans="1:8">
      <c r="A127" s="496">
        <v>4.2</v>
      </c>
      <c r="B127" s="497" t="s">
        <v>771</v>
      </c>
      <c r="C127" s="498">
        <v>2</v>
      </c>
      <c r="D127" s="499">
        <f t="shared" si="98"/>
        <v>0.12277470841006753</v>
      </c>
      <c r="E127" s="498">
        <v>1</v>
      </c>
      <c r="F127" s="499">
        <f t="shared" si="98"/>
        <v>0.18975332068311196</v>
      </c>
      <c r="G127" s="498">
        <f t="shared" si="99"/>
        <v>3</v>
      </c>
      <c r="H127" s="499">
        <f t="shared" ref="H127" si="108">G127/G$118%</f>
        <v>0.1391465677179963</v>
      </c>
    </row>
    <row r="128" spans="1:8">
      <c r="A128" s="496">
        <v>4.3</v>
      </c>
      <c r="B128" s="497" t="s">
        <v>773</v>
      </c>
      <c r="C128" s="498">
        <v>24</v>
      </c>
      <c r="D128" s="499">
        <f t="shared" si="98"/>
        <v>1.4732965009208103</v>
      </c>
      <c r="E128" s="498">
        <v>21</v>
      </c>
      <c r="F128" s="499">
        <f t="shared" si="98"/>
        <v>3.9848197343453515</v>
      </c>
      <c r="G128" s="498">
        <f t="shared" si="99"/>
        <v>45</v>
      </c>
      <c r="H128" s="499">
        <f t="shared" ref="H128" si="109">G128/G$118%</f>
        <v>2.0871985157699444</v>
      </c>
    </row>
    <row r="129" spans="1:10" ht="13.5" thickBot="1">
      <c r="A129" s="500">
        <v>4.4000000000000004</v>
      </c>
      <c r="B129" s="501" t="s">
        <v>772</v>
      </c>
      <c r="C129" s="502">
        <v>146</v>
      </c>
      <c r="D129" s="503">
        <f t="shared" si="98"/>
        <v>8.9625537139349305</v>
      </c>
      <c r="E129" s="502">
        <v>172</v>
      </c>
      <c r="F129" s="503">
        <f t="shared" si="98"/>
        <v>32.637571157495259</v>
      </c>
      <c r="G129" s="502">
        <f t="shared" si="99"/>
        <v>318</v>
      </c>
      <c r="H129" s="503">
        <f t="shared" ref="H129" si="110">G129/G$118%</f>
        <v>14.749536178107608</v>
      </c>
    </row>
    <row r="130" spans="1:10">
      <c r="A130" s="488">
        <v>5</v>
      </c>
      <c r="B130" s="489" t="s">
        <v>787</v>
      </c>
      <c r="C130" s="490">
        <f>SUM(C131:C134)</f>
        <v>6</v>
      </c>
      <c r="D130" s="491">
        <f t="shared" si="98"/>
        <v>0.36832412523020258</v>
      </c>
      <c r="E130" s="490">
        <f>SUM(E131:E134)</f>
        <v>0</v>
      </c>
      <c r="F130" s="491">
        <f t="shared" si="98"/>
        <v>0</v>
      </c>
      <c r="G130" s="490">
        <f t="shared" si="99"/>
        <v>6</v>
      </c>
      <c r="H130" s="491">
        <f t="shared" ref="H130" si="111">G130/G$118%</f>
        <v>0.2782931354359926</v>
      </c>
    </row>
    <row r="131" spans="1:10">
      <c r="A131" s="496">
        <v>5.0999999999999996</v>
      </c>
      <c r="B131" s="497" t="s">
        <v>752</v>
      </c>
      <c r="C131" s="498">
        <v>4</v>
      </c>
      <c r="D131" s="499">
        <f t="shared" si="98"/>
        <v>0.24554941682013506</v>
      </c>
      <c r="E131" s="498">
        <v>0</v>
      </c>
      <c r="F131" s="499">
        <f t="shared" si="98"/>
        <v>0</v>
      </c>
      <c r="G131" s="498">
        <f t="shared" si="99"/>
        <v>4</v>
      </c>
      <c r="H131" s="499">
        <f t="shared" ref="H131" si="112">G131/G$118%</f>
        <v>0.1855287569573284</v>
      </c>
    </row>
    <row r="132" spans="1:10">
      <c r="A132" s="496">
        <v>5.2</v>
      </c>
      <c r="B132" s="497" t="s">
        <v>767</v>
      </c>
      <c r="C132" s="498">
        <v>0</v>
      </c>
      <c r="D132" s="499">
        <f t="shared" si="98"/>
        <v>0</v>
      </c>
      <c r="E132" s="498">
        <v>0</v>
      </c>
      <c r="F132" s="499">
        <f t="shared" si="98"/>
        <v>0</v>
      </c>
      <c r="G132" s="498">
        <f t="shared" si="99"/>
        <v>0</v>
      </c>
      <c r="H132" s="499">
        <f t="shared" ref="H132" si="113">G132/G$118%</f>
        <v>0</v>
      </c>
    </row>
    <row r="133" spans="1:10">
      <c r="A133" s="496">
        <v>5.3</v>
      </c>
      <c r="B133" s="497" t="s">
        <v>769</v>
      </c>
      <c r="C133" s="498">
        <v>2</v>
      </c>
      <c r="D133" s="499">
        <f t="shared" si="98"/>
        <v>0.12277470841006753</v>
      </c>
      <c r="E133" s="498">
        <v>0</v>
      </c>
      <c r="F133" s="499">
        <f t="shared" si="98"/>
        <v>0</v>
      </c>
      <c r="G133" s="498">
        <f t="shared" si="99"/>
        <v>2</v>
      </c>
      <c r="H133" s="499">
        <f t="shared" ref="H133" si="114">G133/G$118%</f>
        <v>9.27643784786642E-2</v>
      </c>
    </row>
    <row r="134" spans="1:10" ht="13.5" thickBot="1">
      <c r="A134" s="500">
        <v>5.4</v>
      </c>
      <c r="B134" s="501" t="s">
        <v>768</v>
      </c>
      <c r="C134" s="502">
        <v>0</v>
      </c>
      <c r="D134" s="503">
        <f t="shared" si="98"/>
        <v>0</v>
      </c>
      <c r="E134" s="502">
        <v>0</v>
      </c>
      <c r="F134" s="503">
        <f t="shared" si="98"/>
        <v>0</v>
      </c>
      <c r="G134" s="502">
        <f t="shared" si="99"/>
        <v>0</v>
      </c>
      <c r="H134" s="503">
        <f t="shared" ref="H134" si="115">G134/G$118%</f>
        <v>0</v>
      </c>
    </row>
    <row r="135" spans="1:10">
      <c r="A135" s="488">
        <v>6</v>
      </c>
      <c r="B135" s="489" t="s">
        <v>788</v>
      </c>
      <c r="C135" s="490">
        <f>SUM(C136:C139)</f>
        <v>191</v>
      </c>
      <c r="D135" s="491">
        <f t="shared" si="98"/>
        <v>11.724984653161449</v>
      </c>
      <c r="E135" s="490">
        <f>SUM(E136:E139)</f>
        <v>52</v>
      </c>
      <c r="F135" s="491">
        <f t="shared" si="98"/>
        <v>9.8671726755218216</v>
      </c>
      <c r="G135" s="490">
        <f t="shared" si="99"/>
        <v>243</v>
      </c>
      <c r="H135" s="491">
        <f t="shared" ref="H135" si="116">G135/G$118%</f>
        <v>11.270871985157701</v>
      </c>
    </row>
    <row r="136" spans="1:10">
      <c r="A136" s="496">
        <v>6.1</v>
      </c>
      <c r="B136" s="497" t="s">
        <v>223</v>
      </c>
      <c r="C136" s="498">
        <v>73</v>
      </c>
      <c r="D136" s="499">
        <f t="shared" si="98"/>
        <v>4.4812768569674652</v>
      </c>
      <c r="E136" s="498">
        <v>27</v>
      </c>
      <c r="F136" s="499">
        <f t="shared" si="98"/>
        <v>5.1233396584440234</v>
      </c>
      <c r="G136" s="498">
        <f t="shared" si="99"/>
        <v>100</v>
      </c>
      <c r="H136" s="499">
        <f t="shared" ref="H136" si="117">G136/G$118%</f>
        <v>4.6382189239332101</v>
      </c>
      <c r="J136" s="150"/>
    </row>
    <row r="137" spans="1:10">
      <c r="A137" s="496">
        <v>6.2</v>
      </c>
      <c r="B137" s="497" t="s">
        <v>764</v>
      </c>
      <c r="C137" s="498">
        <v>1</v>
      </c>
      <c r="D137" s="499">
        <f t="shared" si="98"/>
        <v>6.1387354205033766E-2</v>
      </c>
      <c r="E137" s="498">
        <v>0</v>
      </c>
      <c r="F137" s="499">
        <f t="shared" si="98"/>
        <v>0</v>
      </c>
      <c r="G137" s="498">
        <f t="shared" si="99"/>
        <v>1</v>
      </c>
      <c r="H137" s="499">
        <f t="shared" ref="H137" si="118">G137/G$118%</f>
        <v>4.63821892393321E-2</v>
      </c>
      <c r="J137" s="150"/>
    </row>
    <row r="138" spans="1:10">
      <c r="A138" s="496">
        <v>6.3</v>
      </c>
      <c r="B138" s="497" t="s">
        <v>766</v>
      </c>
      <c r="C138" s="498">
        <v>99</v>
      </c>
      <c r="D138" s="499">
        <f t="shared" si="98"/>
        <v>6.0773480662983426</v>
      </c>
      <c r="E138" s="498">
        <v>22</v>
      </c>
      <c r="F138" s="499">
        <f t="shared" si="98"/>
        <v>4.1745730550284632</v>
      </c>
      <c r="G138" s="498">
        <f t="shared" si="99"/>
        <v>121</v>
      </c>
      <c r="H138" s="499">
        <f t="shared" ref="H138" si="119">G138/G$118%</f>
        <v>5.6122448979591839</v>
      </c>
      <c r="J138" s="150"/>
    </row>
    <row r="139" spans="1:10" ht="13.5" thickBot="1">
      <c r="A139" s="500">
        <v>6.4</v>
      </c>
      <c r="B139" s="501" t="s">
        <v>765</v>
      </c>
      <c r="C139" s="502">
        <v>18</v>
      </c>
      <c r="D139" s="503">
        <f t="shared" si="98"/>
        <v>1.1049723756906078</v>
      </c>
      <c r="E139" s="502">
        <v>3</v>
      </c>
      <c r="F139" s="503">
        <f t="shared" si="98"/>
        <v>0.56925996204933593</v>
      </c>
      <c r="G139" s="502">
        <f t="shared" si="99"/>
        <v>21</v>
      </c>
      <c r="H139" s="503">
        <f t="shared" ref="H139" si="120">G139/G$118%</f>
        <v>0.97402597402597413</v>
      </c>
      <c r="J139" s="150"/>
    </row>
    <row r="140" spans="1:10">
      <c r="A140" s="488">
        <v>7</v>
      </c>
      <c r="B140" s="489" t="s">
        <v>781</v>
      </c>
      <c r="C140" s="490">
        <f>SUM(C141:C143)</f>
        <v>290</v>
      </c>
      <c r="D140" s="491">
        <f t="shared" si="98"/>
        <v>17.802332719459791</v>
      </c>
      <c r="E140" s="490">
        <f>SUM(E141:E143)</f>
        <v>72</v>
      </c>
      <c r="F140" s="491">
        <f t="shared" si="98"/>
        <v>13.662239089184062</v>
      </c>
      <c r="G140" s="490">
        <f t="shared" si="99"/>
        <v>362</v>
      </c>
      <c r="H140" s="491">
        <f t="shared" ref="H140" si="121">G140/G$118%</f>
        <v>16.790352504638221</v>
      </c>
    </row>
    <row r="141" spans="1:10">
      <c r="A141" s="496">
        <v>7.1</v>
      </c>
      <c r="B141" s="497" t="s">
        <v>49</v>
      </c>
      <c r="C141" s="498">
        <v>6</v>
      </c>
      <c r="D141" s="499">
        <f t="shared" si="98"/>
        <v>0.36832412523020258</v>
      </c>
      <c r="E141" s="498">
        <v>3</v>
      </c>
      <c r="F141" s="499">
        <f t="shared" si="98"/>
        <v>0.56925996204933593</v>
      </c>
      <c r="G141" s="498">
        <f t="shared" si="99"/>
        <v>9</v>
      </c>
      <c r="H141" s="499">
        <f t="shared" ref="H141" si="122">G141/G$118%</f>
        <v>0.41743970315398887</v>
      </c>
    </row>
    <row r="142" spans="1:10">
      <c r="A142" s="496">
        <v>7.2</v>
      </c>
      <c r="B142" s="497" t="s">
        <v>753</v>
      </c>
      <c r="C142" s="498">
        <v>278</v>
      </c>
      <c r="D142" s="499">
        <f t="shared" si="98"/>
        <v>17.065684468999386</v>
      </c>
      <c r="E142" s="498">
        <v>69</v>
      </c>
      <c r="F142" s="499">
        <f t="shared" si="98"/>
        <v>13.092979127134726</v>
      </c>
      <c r="G142" s="498">
        <f t="shared" si="99"/>
        <v>347</v>
      </c>
      <c r="H142" s="499">
        <f t="shared" ref="H142" si="123">G142/G$118%</f>
        <v>16.094619666048239</v>
      </c>
    </row>
    <row r="143" spans="1:10" ht="13.5" thickBot="1">
      <c r="A143" s="504">
        <v>7.3</v>
      </c>
      <c r="B143" s="505" t="s">
        <v>763</v>
      </c>
      <c r="C143" s="506">
        <v>6</v>
      </c>
      <c r="D143" s="507">
        <f t="shared" si="98"/>
        <v>0.36832412523020258</v>
      </c>
      <c r="E143" s="506">
        <v>0</v>
      </c>
      <c r="F143" s="507">
        <f t="shared" si="98"/>
        <v>0</v>
      </c>
      <c r="G143" s="506">
        <f t="shared" si="99"/>
        <v>6</v>
      </c>
      <c r="H143" s="507">
        <f t="shared" ref="H143" si="124">G143/G$118%</f>
        <v>0.2782931354359926</v>
      </c>
    </row>
    <row r="144" spans="1:10">
      <c r="A144" s="488">
        <v>8</v>
      </c>
      <c r="B144" s="508" t="s">
        <v>791</v>
      </c>
      <c r="C144" s="490">
        <f>SUM(C145,C146,C147,C148)</f>
        <v>1629</v>
      </c>
      <c r="D144" s="491">
        <f t="shared" si="98"/>
        <v>100</v>
      </c>
      <c r="E144" s="490">
        <f>SUM(E145,E146,E147,E148)</f>
        <v>527</v>
      </c>
      <c r="F144" s="491">
        <f t="shared" si="98"/>
        <v>100.00000000000001</v>
      </c>
      <c r="G144" s="490">
        <f t="shared" si="99"/>
        <v>2156</v>
      </c>
      <c r="H144" s="491">
        <f t="shared" ref="H144" si="125">G144/G$118%</f>
        <v>100</v>
      </c>
    </row>
    <row r="145" spans="1:10">
      <c r="A145" s="509">
        <v>8.1</v>
      </c>
      <c r="B145" s="510" t="s">
        <v>775</v>
      </c>
      <c r="C145" s="511">
        <f>C118-SUM(C148,C147,C146)</f>
        <v>959</v>
      </c>
      <c r="D145" s="512">
        <f t="shared" si="98"/>
        <v>58.87047268262738</v>
      </c>
      <c r="E145" s="511">
        <f>E118-SUM(E148,E147,E146)</f>
        <v>202</v>
      </c>
      <c r="F145" s="512">
        <f t="shared" si="98"/>
        <v>38.33017077798862</v>
      </c>
      <c r="G145" s="511">
        <f>SUM(C145,E145)</f>
        <v>1161</v>
      </c>
      <c r="H145" s="512">
        <f t="shared" ref="H145" si="126">G145/G$118%</f>
        <v>53.849721706864564</v>
      </c>
    </row>
    <row r="146" spans="1:10">
      <c r="A146" s="513">
        <v>8.1999999999999993</v>
      </c>
      <c r="B146" s="514" t="s">
        <v>790</v>
      </c>
      <c r="C146" s="515">
        <f>C140</f>
        <v>290</v>
      </c>
      <c r="D146" s="516">
        <f t="shared" si="98"/>
        <v>17.802332719459791</v>
      </c>
      <c r="E146" s="515">
        <f>E140</f>
        <v>72</v>
      </c>
      <c r="F146" s="516">
        <f t="shared" si="98"/>
        <v>13.662239089184062</v>
      </c>
      <c r="G146" s="515">
        <f>SUM(C146,E146)</f>
        <v>362</v>
      </c>
      <c r="H146" s="516">
        <f t="shared" ref="H146" si="127">G146/G$118%</f>
        <v>16.790352504638221</v>
      </c>
    </row>
    <row r="147" spans="1:10">
      <c r="A147" s="517">
        <v>8.3000000000000007</v>
      </c>
      <c r="B147" s="518" t="s">
        <v>784</v>
      </c>
      <c r="C147" s="519">
        <f>SUM(C130,C135)</f>
        <v>197</v>
      </c>
      <c r="D147" s="520">
        <f t="shared" si="98"/>
        <v>12.093308778391652</v>
      </c>
      <c r="E147" s="519">
        <f>SUM(E130,E135)</f>
        <v>52</v>
      </c>
      <c r="F147" s="520">
        <f t="shared" si="98"/>
        <v>9.8671726755218216</v>
      </c>
      <c r="G147" s="519">
        <f>SUM(C147,E147)</f>
        <v>249</v>
      </c>
      <c r="H147" s="520">
        <f t="shared" ref="H147" si="128">G147/G$118%</f>
        <v>11.549165120593692</v>
      </c>
    </row>
    <row r="148" spans="1:10">
      <c r="A148" s="521">
        <v>8.4</v>
      </c>
      <c r="B148" s="522" t="s">
        <v>782</v>
      </c>
      <c r="C148" s="523">
        <f>C125</f>
        <v>183</v>
      </c>
      <c r="D148" s="524">
        <f t="shared" si="98"/>
        <v>11.233885819521179</v>
      </c>
      <c r="E148" s="523">
        <f>E125</f>
        <v>201</v>
      </c>
      <c r="F148" s="524">
        <f t="shared" si="98"/>
        <v>38.140417457305503</v>
      </c>
      <c r="G148" s="523">
        <f t="shared" ref="G148:G149" si="129">SUM(C148,E148)</f>
        <v>384</v>
      </c>
      <c r="H148" s="524">
        <f t="shared" ref="H148" si="130">G148/G$118%</f>
        <v>17.810760667903526</v>
      </c>
    </row>
    <row r="149" spans="1:10" ht="13.5" thickBot="1">
      <c r="A149" s="525">
        <v>8.5</v>
      </c>
      <c r="B149" s="526" t="s">
        <v>783</v>
      </c>
      <c r="C149" s="527">
        <f>C125+C130</f>
        <v>189</v>
      </c>
      <c r="D149" s="528">
        <f t="shared" si="98"/>
        <v>11.602209944751381</v>
      </c>
      <c r="E149" s="527">
        <f>E125+E130</f>
        <v>201</v>
      </c>
      <c r="F149" s="528">
        <f t="shared" si="98"/>
        <v>38.140417457305503</v>
      </c>
      <c r="G149" s="527">
        <f t="shared" si="129"/>
        <v>390</v>
      </c>
      <c r="H149" s="528">
        <f t="shared" ref="H149" si="131">G149/G$118%</f>
        <v>18.089053803339517</v>
      </c>
    </row>
    <row r="151" spans="1:10" ht="15.75">
      <c r="F151" s="276"/>
      <c r="G151" s="276"/>
      <c r="H151" s="797">
        <v>2014</v>
      </c>
    </row>
    <row r="152" spans="1:10" ht="13.5" thickBot="1"/>
    <row r="153" spans="1:10">
      <c r="A153" s="1826" t="s">
        <v>243</v>
      </c>
      <c r="B153" s="1828" t="s">
        <v>792</v>
      </c>
      <c r="C153" s="1830" t="s">
        <v>6</v>
      </c>
      <c r="D153" s="1831"/>
      <c r="E153" s="1830" t="s">
        <v>14</v>
      </c>
      <c r="F153" s="1831"/>
      <c r="G153" s="1830" t="s">
        <v>786</v>
      </c>
      <c r="H153" s="1831"/>
    </row>
    <row r="154" spans="1:10" ht="13.5" thickBot="1">
      <c r="A154" s="1827"/>
      <c r="B154" s="1829"/>
      <c r="C154" s="486" t="s">
        <v>785</v>
      </c>
      <c r="D154" s="487" t="s">
        <v>18</v>
      </c>
      <c r="E154" s="486" t="s">
        <v>785</v>
      </c>
      <c r="F154" s="487" t="s">
        <v>18</v>
      </c>
      <c r="G154" s="486" t="s">
        <v>785</v>
      </c>
      <c r="H154" s="487" t="s">
        <v>18</v>
      </c>
    </row>
    <row r="155" spans="1:10">
      <c r="A155" s="488">
        <v>1</v>
      </c>
      <c r="B155" s="489" t="s">
        <v>774</v>
      </c>
      <c r="C155" s="490">
        <v>1482</v>
      </c>
      <c r="D155" s="491">
        <f>C155/C$155%</f>
        <v>100</v>
      </c>
      <c r="E155" s="490">
        <v>503</v>
      </c>
      <c r="F155" s="491">
        <f>E155/E$155%</f>
        <v>100</v>
      </c>
      <c r="G155" s="490">
        <f>SUM(C155,E155)</f>
        <v>1985</v>
      </c>
      <c r="H155" s="491">
        <f>G155/G$155%</f>
        <v>99.999999999999986</v>
      </c>
      <c r="J155" s="95"/>
    </row>
    <row r="156" spans="1:10">
      <c r="A156" s="492">
        <v>2</v>
      </c>
      <c r="B156" s="493" t="s">
        <v>775</v>
      </c>
      <c r="C156" s="494">
        <f>C155-C157</f>
        <v>855</v>
      </c>
      <c r="D156" s="495">
        <f t="shared" ref="D156:F186" si="132">C156/C$155%</f>
        <v>57.692307692307693</v>
      </c>
      <c r="E156" s="494">
        <f>E155-E157</f>
        <v>191</v>
      </c>
      <c r="F156" s="495">
        <f t="shared" si="132"/>
        <v>37.972166998011929</v>
      </c>
      <c r="G156" s="494">
        <f t="shared" ref="G156:G181" si="133">SUM(C156,E156)</f>
        <v>1046</v>
      </c>
      <c r="H156" s="495">
        <f t="shared" ref="H156" si="134">G156/G$155%</f>
        <v>52.695214105793447</v>
      </c>
    </row>
    <row r="157" spans="1:10">
      <c r="A157" s="492">
        <v>3</v>
      </c>
      <c r="B157" s="493" t="s">
        <v>789</v>
      </c>
      <c r="C157" s="494">
        <f>SUM(C162,C167,C172,C177)</f>
        <v>627</v>
      </c>
      <c r="D157" s="495">
        <f t="shared" si="132"/>
        <v>42.307692307692307</v>
      </c>
      <c r="E157" s="494">
        <f>SUM(E162,E167,E172,E177)</f>
        <v>312</v>
      </c>
      <c r="F157" s="495">
        <f t="shared" si="132"/>
        <v>62.027833001988071</v>
      </c>
      <c r="G157" s="494">
        <f t="shared" si="133"/>
        <v>939</v>
      </c>
      <c r="H157" s="495">
        <f t="shared" ref="H157" si="135">G157/G$155%</f>
        <v>47.304785894206546</v>
      </c>
    </row>
    <row r="158" spans="1:10">
      <c r="A158" s="496">
        <v>3.1</v>
      </c>
      <c r="B158" s="497" t="s">
        <v>776</v>
      </c>
      <c r="C158" s="498">
        <f>SUM(C163,C164,C165,C166,C173,C174,C175,C176)</f>
        <v>355</v>
      </c>
      <c r="D158" s="499">
        <f t="shared" si="132"/>
        <v>23.954116059379217</v>
      </c>
      <c r="E158" s="498">
        <f>SUM(E163,E164,E165,E166,E173,E174,E175,E176)</f>
        <v>245</v>
      </c>
      <c r="F158" s="499">
        <f t="shared" si="132"/>
        <v>48.707753479125245</v>
      </c>
      <c r="G158" s="498">
        <f t="shared" si="133"/>
        <v>600</v>
      </c>
      <c r="H158" s="499">
        <f t="shared" ref="H158" si="136">G158/G$155%</f>
        <v>30.226700251889167</v>
      </c>
    </row>
    <row r="159" spans="1:10">
      <c r="A159" s="496">
        <v>3.2</v>
      </c>
      <c r="B159" s="497" t="s">
        <v>777</v>
      </c>
      <c r="C159" s="498">
        <f>SUM(C163,C164,C165,C166,C168,C169,C170,C171)</f>
        <v>175</v>
      </c>
      <c r="D159" s="499">
        <f t="shared" si="132"/>
        <v>11.808367071524966</v>
      </c>
      <c r="E159" s="498">
        <f>SUM(E163,E164,E165,E166,E168,E169,E170,E171)</f>
        <v>204</v>
      </c>
      <c r="F159" s="499">
        <f t="shared" si="132"/>
        <v>40.556660039761432</v>
      </c>
      <c r="G159" s="498">
        <f t="shared" si="133"/>
        <v>379</v>
      </c>
      <c r="H159" s="499">
        <f t="shared" ref="H159" si="137">G159/G$155%</f>
        <v>19.093198992443323</v>
      </c>
    </row>
    <row r="160" spans="1:10">
      <c r="A160" s="496">
        <v>3.3</v>
      </c>
      <c r="B160" s="497" t="s">
        <v>778</v>
      </c>
      <c r="C160" s="498">
        <f>SUM(C164,C166,C169,C171,C174,C176,C178,C180)</f>
        <v>179</v>
      </c>
      <c r="D160" s="499">
        <f t="shared" si="132"/>
        <v>12.078272604588394</v>
      </c>
      <c r="E160" s="498">
        <f>SUM(E164,E166,E169,E171,E174,E176,E178,E180)</f>
        <v>172</v>
      </c>
      <c r="F160" s="499">
        <f t="shared" si="132"/>
        <v>34.194831013916499</v>
      </c>
      <c r="G160" s="498">
        <f t="shared" si="133"/>
        <v>351</v>
      </c>
      <c r="H160" s="499">
        <f t="shared" ref="H160" si="138">G160/G$155%</f>
        <v>17.682619647355164</v>
      </c>
    </row>
    <row r="161" spans="1:10" ht="13.5" thickBot="1">
      <c r="A161" s="500">
        <v>3.4</v>
      </c>
      <c r="B161" s="501" t="s">
        <v>779</v>
      </c>
      <c r="C161" s="502">
        <f>SUM(C165,C166,C170,C171,C175,C176,C179,C180)</f>
        <v>541</v>
      </c>
      <c r="D161" s="503">
        <f t="shared" si="132"/>
        <v>36.504723346828612</v>
      </c>
      <c r="E161" s="502">
        <f>SUM(E165,E166,E170,E171,E175,E176,E179,E180)</f>
        <v>274</v>
      </c>
      <c r="F161" s="503">
        <f t="shared" si="132"/>
        <v>54.473161033797211</v>
      </c>
      <c r="G161" s="502">
        <f t="shared" si="133"/>
        <v>815</v>
      </c>
      <c r="H161" s="503">
        <f t="shared" ref="H161" si="139">G161/G$155%</f>
        <v>41.057934508816118</v>
      </c>
    </row>
    <row r="162" spans="1:10">
      <c r="A162" s="488">
        <v>4</v>
      </c>
      <c r="B162" s="489" t="s">
        <v>780</v>
      </c>
      <c r="C162" s="490">
        <f>SUM(C163:C166)</f>
        <v>172</v>
      </c>
      <c r="D162" s="491">
        <f t="shared" si="132"/>
        <v>11.605937921727396</v>
      </c>
      <c r="E162" s="490">
        <f>SUM(E163:E166)</f>
        <v>197</v>
      </c>
      <c r="F162" s="491">
        <f t="shared" si="132"/>
        <v>39.165009940357848</v>
      </c>
      <c r="G162" s="490">
        <f t="shared" si="133"/>
        <v>369</v>
      </c>
      <c r="H162" s="491">
        <f t="shared" ref="H162" si="140">G162/G$155%</f>
        <v>18.589420654911837</v>
      </c>
    </row>
    <row r="163" spans="1:10">
      <c r="A163" s="496">
        <v>4.0999999999999996</v>
      </c>
      <c r="B163" s="497" t="s">
        <v>770</v>
      </c>
      <c r="C163" s="498">
        <v>4</v>
      </c>
      <c r="D163" s="499">
        <f t="shared" si="132"/>
        <v>0.26990553306342779</v>
      </c>
      <c r="E163" s="498">
        <v>6</v>
      </c>
      <c r="F163" s="499">
        <f t="shared" si="132"/>
        <v>1.1928429423459244</v>
      </c>
      <c r="G163" s="498">
        <f t="shared" si="133"/>
        <v>10</v>
      </c>
      <c r="H163" s="499">
        <f t="shared" ref="H163" si="141">G163/G$155%</f>
        <v>0.50377833753148615</v>
      </c>
    </row>
    <row r="164" spans="1:10">
      <c r="A164" s="496">
        <v>4.2</v>
      </c>
      <c r="B164" s="497" t="s">
        <v>771</v>
      </c>
      <c r="C164" s="498">
        <v>2</v>
      </c>
      <c r="D164" s="499">
        <f t="shared" si="132"/>
        <v>0.1349527665317139</v>
      </c>
      <c r="E164" s="498">
        <v>4</v>
      </c>
      <c r="F164" s="499">
        <f t="shared" si="132"/>
        <v>0.79522862823061624</v>
      </c>
      <c r="G164" s="498">
        <f t="shared" si="133"/>
        <v>6</v>
      </c>
      <c r="H164" s="499">
        <f t="shared" ref="H164" si="142">G164/G$155%</f>
        <v>0.30226700251889166</v>
      </c>
    </row>
    <row r="165" spans="1:10">
      <c r="A165" s="496">
        <v>4.3</v>
      </c>
      <c r="B165" s="497" t="s">
        <v>773</v>
      </c>
      <c r="C165" s="498">
        <v>33</v>
      </c>
      <c r="D165" s="499">
        <f t="shared" si="132"/>
        <v>2.2267206477732793</v>
      </c>
      <c r="E165" s="498">
        <v>32</v>
      </c>
      <c r="F165" s="499">
        <f t="shared" si="132"/>
        <v>6.3618290258449299</v>
      </c>
      <c r="G165" s="498">
        <f t="shared" si="133"/>
        <v>65</v>
      </c>
      <c r="H165" s="499">
        <f t="shared" ref="H165" si="143">G165/G$155%</f>
        <v>3.2745591939546599</v>
      </c>
    </row>
    <row r="166" spans="1:10" ht="13.5" thickBot="1">
      <c r="A166" s="500">
        <v>4.4000000000000004</v>
      </c>
      <c r="B166" s="501" t="s">
        <v>772</v>
      </c>
      <c r="C166" s="502">
        <v>133</v>
      </c>
      <c r="D166" s="503">
        <f t="shared" si="132"/>
        <v>8.9743589743589745</v>
      </c>
      <c r="E166" s="502">
        <v>155</v>
      </c>
      <c r="F166" s="503">
        <f t="shared" si="132"/>
        <v>30.815109343936381</v>
      </c>
      <c r="G166" s="502">
        <f t="shared" si="133"/>
        <v>288</v>
      </c>
      <c r="H166" s="503">
        <f t="shared" ref="H166" si="144">G166/G$155%</f>
        <v>14.508816120906801</v>
      </c>
    </row>
    <row r="167" spans="1:10">
      <c r="A167" s="488">
        <v>5</v>
      </c>
      <c r="B167" s="489" t="s">
        <v>787</v>
      </c>
      <c r="C167" s="490">
        <f>SUM(C168:C171)</f>
        <v>3</v>
      </c>
      <c r="D167" s="491">
        <f t="shared" si="132"/>
        <v>0.20242914979757085</v>
      </c>
      <c r="E167" s="490">
        <f>SUM(E168:E171)</f>
        <v>7</v>
      </c>
      <c r="F167" s="491">
        <f t="shared" si="132"/>
        <v>1.3916500994035785</v>
      </c>
      <c r="G167" s="490">
        <f t="shared" si="133"/>
        <v>10</v>
      </c>
      <c r="H167" s="491">
        <f t="shared" ref="H167" si="145">G167/G$155%</f>
        <v>0.50377833753148615</v>
      </c>
    </row>
    <row r="168" spans="1:10">
      <c r="A168" s="496">
        <v>5.0999999999999996</v>
      </c>
      <c r="B168" s="497" t="s">
        <v>752</v>
      </c>
      <c r="C168" s="498">
        <v>1</v>
      </c>
      <c r="D168" s="499">
        <f t="shared" si="132"/>
        <v>6.7476383265856948E-2</v>
      </c>
      <c r="E168" s="498">
        <v>2</v>
      </c>
      <c r="F168" s="499">
        <f t="shared" si="132"/>
        <v>0.39761431411530812</v>
      </c>
      <c r="G168" s="498">
        <f t="shared" si="133"/>
        <v>3</v>
      </c>
      <c r="H168" s="499">
        <f t="shared" ref="H168" si="146">G168/G$155%</f>
        <v>0.15113350125944583</v>
      </c>
    </row>
    <row r="169" spans="1:10">
      <c r="A169" s="496">
        <v>5.2</v>
      </c>
      <c r="B169" s="497" t="s">
        <v>767</v>
      </c>
      <c r="C169" s="498">
        <v>0</v>
      </c>
      <c r="D169" s="499">
        <f t="shared" si="132"/>
        <v>0</v>
      </c>
      <c r="E169" s="498">
        <v>1</v>
      </c>
      <c r="F169" s="499">
        <f t="shared" si="132"/>
        <v>0.19880715705765406</v>
      </c>
      <c r="G169" s="498">
        <f t="shared" si="133"/>
        <v>1</v>
      </c>
      <c r="H169" s="499">
        <f t="shared" ref="H169" si="147">G169/G$155%</f>
        <v>5.037783375314861E-2</v>
      </c>
    </row>
    <row r="170" spans="1:10">
      <c r="A170" s="496">
        <v>5.3</v>
      </c>
      <c r="B170" s="497" t="s">
        <v>769</v>
      </c>
      <c r="C170" s="498">
        <v>2</v>
      </c>
      <c r="D170" s="499">
        <f t="shared" si="132"/>
        <v>0.1349527665317139</v>
      </c>
      <c r="E170" s="498">
        <v>3</v>
      </c>
      <c r="F170" s="499">
        <f t="shared" si="132"/>
        <v>0.59642147117296218</v>
      </c>
      <c r="G170" s="498">
        <f t="shared" si="133"/>
        <v>5</v>
      </c>
      <c r="H170" s="499">
        <f t="shared" ref="H170" si="148">G170/G$155%</f>
        <v>0.25188916876574308</v>
      </c>
    </row>
    <row r="171" spans="1:10" ht="13.5" thickBot="1">
      <c r="A171" s="500">
        <v>5.4</v>
      </c>
      <c r="B171" s="501" t="s">
        <v>768</v>
      </c>
      <c r="C171" s="502">
        <v>0</v>
      </c>
      <c r="D171" s="503">
        <f t="shared" si="132"/>
        <v>0</v>
      </c>
      <c r="E171" s="502">
        <v>1</v>
      </c>
      <c r="F171" s="503">
        <f t="shared" si="132"/>
        <v>0.19880715705765406</v>
      </c>
      <c r="G171" s="502">
        <f t="shared" si="133"/>
        <v>1</v>
      </c>
      <c r="H171" s="503">
        <f t="shared" ref="H171" si="149">G171/G$155%</f>
        <v>5.037783375314861E-2</v>
      </c>
    </row>
    <row r="172" spans="1:10">
      <c r="A172" s="488">
        <v>6</v>
      </c>
      <c r="B172" s="489" t="s">
        <v>788</v>
      </c>
      <c r="C172" s="490">
        <f>SUM(C173:C176)</f>
        <v>183</v>
      </c>
      <c r="D172" s="491">
        <f t="shared" si="132"/>
        <v>12.348178137651821</v>
      </c>
      <c r="E172" s="490">
        <f>SUM(E173:E176)</f>
        <v>48</v>
      </c>
      <c r="F172" s="491">
        <f t="shared" si="132"/>
        <v>9.5427435387673949</v>
      </c>
      <c r="G172" s="490">
        <f t="shared" si="133"/>
        <v>231</v>
      </c>
      <c r="H172" s="491">
        <f>G172/G$155%</f>
        <v>11.637279596977329</v>
      </c>
    </row>
    <row r="173" spans="1:10">
      <c r="A173" s="496">
        <v>6.1</v>
      </c>
      <c r="B173" s="497" t="s">
        <v>223</v>
      </c>
      <c r="C173" s="498">
        <v>62</v>
      </c>
      <c r="D173" s="499">
        <f t="shared" si="132"/>
        <v>4.1835357624831309</v>
      </c>
      <c r="E173" s="498">
        <v>19</v>
      </c>
      <c r="F173" s="499">
        <f t="shared" si="132"/>
        <v>3.7773359840954273</v>
      </c>
      <c r="G173" s="498">
        <f t="shared" si="133"/>
        <v>81</v>
      </c>
      <c r="H173" s="499">
        <f t="shared" ref="H173" si="150">G173/G$155%</f>
        <v>4.0806045340050376</v>
      </c>
      <c r="J173" s="150"/>
    </row>
    <row r="174" spans="1:10">
      <c r="A174" s="496">
        <v>6.2</v>
      </c>
      <c r="B174" s="497" t="s">
        <v>764</v>
      </c>
      <c r="C174" s="498">
        <v>3</v>
      </c>
      <c r="D174" s="499">
        <f t="shared" si="132"/>
        <v>0.20242914979757085</v>
      </c>
      <c r="E174" s="498">
        <v>3</v>
      </c>
      <c r="F174" s="499">
        <f t="shared" si="132"/>
        <v>0.59642147117296218</v>
      </c>
      <c r="G174" s="498">
        <f t="shared" si="133"/>
        <v>6</v>
      </c>
      <c r="H174" s="499">
        <f t="shared" ref="H174" si="151">G174/G$155%</f>
        <v>0.30226700251889166</v>
      </c>
      <c r="J174" s="150"/>
    </row>
    <row r="175" spans="1:10">
      <c r="A175" s="496">
        <v>6.3</v>
      </c>
      <c r="B175" s="497" t="s">
        <v>766</v>
      </c>
      <c r="C175" s="498">
        <v>96</v>
      </c>
      <c r="D175" s="499">
        <f t="shared" si="132"/>
        <v>6.4777327935222671</v>
      </c>
      <c r="E175" s="498">
        <v>22</v>
      </c>
      <c r="F175" s="499">
        <f t="shared" si="132"/>
        <v>4.3737574552683895</v>
      </c>
      <c r="G175" s="498">
        <f t="shared" si="133"/>
        <v>118</v>
      </c>
      <c r="H175" s="499">
        <f t="shared" ref="H175" si="152">G175/G$155%</f>
        <v>5.9445843828715361</v>
      </c>
      <c r="J175" s="150"/>
    </row>
    <row r="176" spans="1:10" ht="13.5" thickBot="1">
      <c r="A176" s="500">
        <v>6.4</v>
      </c>
      <c r="B176" s="501" t="s">
        <v>765</v>
      </c>
      <c r="C176" s="502">
        <v>22</v>
      </c>
      <c r="D176" s="503">
        <f t="shared" si="132"/>
        <v>1.4844804318488529</v>
      </c>
      <c r="E176" s="502">
        <v>4</v>
      </c>
      <c r="F176" s="503">
        <f t="shared" si="132"/>
        <v>0.79522862823061624</v>
      </c>
      <c r="G176" s="502">
        <f t="shared" si="133"/>
        <v>26</v>
      </c>
      <c r="H176" s="503">
        <f t="shared" ref="H176" si="153">G176/G$155%</f>
        <v>1.3098236775818639</v>
      </c>
      <c r="J176" s="150"/>
    </row>
    <row r="177" spans="1:8">
      <c r="A177" s="488">
        <v>7</v>
      </c>
      <c r="B177" s="489" t="s">
        <v>781</v>
      </c>
      <c r="C177" s="490">
        <f>SUM(C178:C180)</f>
        <v>269</v>
      </c>
      <c r="D177" s="491">
        <f t="shared" si="132"/>
        <v>18.151147098515519</v>
      </c>
      <c r="E177" s="490">
        <f>SUM(E178:E180)</f>
        <v>60</v>
      </c>
      <c r="F177" s="491">
        <f t="shared" si="132"/>
        <v>11.928429423459244</v>
      </c>
      <c r="G177" s="490">
        <f t="shared" si="133"/>
        <v>329</v>
      </c>
      <c r="H177" s="491">
        <f t="shared" ref="H177" si="154">G177/G$155%</f>
        <v>16.574307304785894</v>
      </c>
    </row>
    <row r="178" spans="1:8">
      <c r="A178" s="496">
        <v>7.1</v>
      </c>
      <c r="B178" s="497" t="s">
        <v>49</v>
      </c>
      <c r="C178" s="498">
        <v>14</v>
      </c>
      <c r="D178" s="499">
        <f t="shared" si="132"/>
        <v>0.94466936572199733</v>
      </c>
      <c r="E178" s="498">
        <v>3</v>
      </c>
      <c r="F178" s="499">
        <f t="shared" si="132"/>
        <v>0.59642147117296218</v>
      </c>
      <c r="G178" s="498">
        <f t="shared" si="133"/>
        <v>17</v>
      </c>
      <c r="H178" s="499">
        <f t="shared" ref="H178" si="155">G178/G$155%</f>
        <v>0.85642317380352639</v>
      </c>
    </row>
    <row r="179" spans="1:8">
      <c r="A179" s="496">
        <v>7.2</v>
      </c>
      <c r="B179" s="497" t="s">
        <v>753</v>
      </c>
      <c r="C179" s="498">
        <v>250</v>
      </c>
      <c r="D179" s="499">
        <f t="shared" si="132"/>
        <v>16.869095816464238</v>
      </c>
      <c r="E179" s="498">
        <v>56</v>
      </c>
      <c r="F179" s="499">
        <f t="shared" si="132"/>
        <v>11.133200795228628</v>
      </c>
      <c r="G179" s="498">
        <f t="shared" si="133"/>
        <v>306</v>
      </c>
      <c r="H179" s="499">
        <f t="shared" ref="H179" si="156">G179/G$155%</f>
        <v>15.415617128463476</v>
      </c>
    </row>
    <row r="180" spans="1:8" ht="13.5" thickBot="1">
      <c r="A180" s="504">
        <v>7.3</v>
      </c>
      <c r="B180" s="505" t="s">
        <v>763</v>
      </c>
      <c r="C180" s="506">
        <v>5</v>
      </c>
      <c r="D180" s="507">
        <f t="shared" si="132"/>
        <v>0.33738191632928477</v>
      </c>
      <c r="E180" s="506">
        <v>1</v>
      </c>
      <c r="F180" s="507">
        <f t="shared" si="132"/>
        <v>0.19880715705765406</v>
      </c>
      <c r="G180" s="506">
        <f t="shared" si="133"/>
        <v>6</v>
      </c>
      <c r="H180" s="507">
        <f t="shared" ref="H180" si="157">G180/G$155%</f>
        <v>0.30226700251889166</v>
      </c>
    </row>
    <row r="181" spans="1:8">
      <c r="A181" s="488">
        <v>8</v>
      </c>
      <c r="B181" s="508" t="s">
        <v>791</v>
      </c>
      <c r="C181" s="490">
        <f>SUM(C182,C183,C184,C185)</f>
        <v>1482</v>
      </c>
      <c r="D181" s="491">
        <f t="shared" si="132"/>
        <v>100</v>
      </c>
      <c r="E181" s="490">
        <f>SUM(E182,E183,E184,E185)</f>
        <v>503</v>
      </c>
      <c r="F181" s="491">
        <f t="shared" si="132"/>
        <v>100</v>
      </c>
      <c r="G181" s="490">
        <f t="shared" si="133"/>
        <v>1985</v>
      </c>
      <c r="H181" s="491">
        <f t="shared" ref="H181" si="158">G181/G$155%</f>
        <v>99.999999999999986</v>
      </c>
    </row>
    <row r="182" spans="1:8">
      <c r="A182" s="509">
        <v>8.1</v>
      </c>
      <c r="B182" s="510" t="s">
        <v>775</v>
      </c>
      <c r="C182" s="511">
        <f>C155-SUM(C185,C184,C183)</f>
        <v>855</v>
      </c>
      <c r="D182" s="512">
        <f t="shared" si="132"/>
        <v>57.692307692307693</v>
      </c>
      <c r="E182" s="511">
        <f>E155-SUM(E185,E184,E183)</f>
        <v>191</v>
      </c>
      <c r="F182" s="512">
        <f t="shared" si="132"/>
        <v>37.972166998011929</v>
      </c>
      <c r="G182" s="511">
        <f>SUM(C182,E182)</f>
        <v>1046</v>
      </c>
      <c r="H182" s="512">
        <f t="shared" ref="H182" si="159">G182/G$155%</f>
        <v>52.695214105793447</v>
      </c>
    </row>
    <row r="183" spans="1:8">
      <c r="A183" s="513">
        <v>8.1999999999999993</v>
      </c>
      <c r="B183" s="514" t="s">
        <v>790</v>
      </c>
      <c r="C183" s="515">
        <f>C177</f>
        <v>269</v>
      </c>
      <c r="D183" s="516">
        <f t="shared" si="132"/>
        <v>18.151147098515519</v>
      </c>
      <c r="E183" s="515">
        <f>E177</f>
        <v>60</v>
      </c>
      <c r="F183" s="516">
        <f t="shared" si="132"/>
        <v>11.928429423459244</v>
      </c>
      <c r="G183" s="515">
        <f>SUM(C183,E183)</f>
        <v>329</v>
      </c>
      <c r="H183" s="516">
        <f t="shared" ref="H183" si="160">G183/G$155%</f>
        <v>16.574307304785894</v>
      </c>
    </row>
    <row r="184" spans="1:8">
      <c r="A184" s="517">
        <v>8.3000000000000007</v>
      </c>
      <c r="B184" s="518" t="s">
        <v>784</v>
      </c>
      <c r="C184" s="519">
        <f>SUM(C167,C172)</f>
        <v>186</v>
      </c>
      <c r="D184" s="520">
        <f t="shared" si="132"/>
        <v>12.550607287449392</v>
      </c>
      <c r="E184" s="519">
        <f>SUM(E167,E172)</f>
        <v>55</v>
      </c>
      <c r="F184" s="520">
        <f t="shared" si="132"/>
        <v>10.934393638170974</v>
      </c>
      <c r="G184" s="519">
        <f>SUM(C184,E184)</f>
        <v>241</v>
      </c>
      <c r="H184" s="520">
        <f t="shared" ref="H184" si="161">G184/G$155%</f>
        <v>12.141057934508815</v>
      </c>
    </row>
    <row r="185" spans="1:8">
      <c r="A185" s="521">
        <v>8.4</v>
      </c>
      <c r="B185" s="522" t="s">
        <v>782</v>
      </c>
      <c r="C185" s="523">
        <f>C162</f>
        <v>172</v>
      </c>
      <c r="D185" s="524">
        <f t="shared" si="132"/>
        <v>11.605937921727396</v>
      </c>
      <c r="E185" s="523">
        <f>E162</f>
        <v>197</v>
      </c>
      <c r="F185" s="524">
        <f t="shared" si="132"/>
        <v>39.165009940357848</v>
      </c>
      <c r="G185" s="523">
        <f t="shared" ref="G185:G186" si="162">SUM(C185,E185)</f>
        <v>369</v>
      </c>
      <c r="H185" s="524">
        <f t="shared" ref="H185" si="163">G185/G$155%</f>
        <v>18.589420654911837</v>
      </c>
    </row>
    <row r="186" spans="1:8" ht="13.5" thickBot="1">
      <c r="A186" s="525">
        <v>8.5</v>
      </c>
      <c r="B186" s="526" t="s">
        <v>783</v>
      </c>
      <c r="C186" s="527">
        <f>C162+C167</f>
        <v>175</v>
      </c>
      <c r="D186" s="528">
        <f t="shared" si="132"/>
        <v>11.808367071524966</v>
      </c>
      <c r="E186" s="527">
        <f>E162+E167</f>
        <v>204</v>
      </c>
      <c r="F186" s="528">
        <f t="shared" si="132"/>
        <v>40.556660039761432</v>
      </c>
      <c r="G186" s="527">
        <f t="shared" si="162"/>
        <v>379</v>
      </c>
      <c r="H186" s="528">
        <f t="shared" ref="H186" si="164">G186/G$155%</f>
        <v>19.093198992443323</v>
      </c>
    </row>
    <row r="188" spans="1:8">
      <c r="B188" s="529" t="s">
        <v>793</v>
      </c>
    </row>
    <row r="190" spans="1:8" ht="15.75">
      <c r="F190" s="276"/>
      <c r="G190" s="276"/>
      <c r="H190" s="1306">
        <v>2015</v>
      </c>
    </row>
    <row r="191" spans="1:8" ht="13.5" thickBot="1"/>
    <row r="192" spans="1:8">
      <c r="A192" s="1307" t="s">
        <v>243</v>
      </c>
      <c r="B192" s="1308" t="s">
        <v>792</v>
      </c>
      <c r="C192" s="1309" t="s">
        <v>6</v>
      </c>
      <c r="D192" s="1310"/>
      <c r="E192" s="1309" t="s">
        <v>14</v>
      </c>
      <c r="F192" s="1310"/>
      <c r="G192" s="1309" t="s">
        <v>786</v>
      </c>
      <c r="H192" s="1310"/>
    </row>
    <row r="193" spans="1:8">
      <c r="A193" s="1340"/>
      <c r="B193" s="1341"/>
      <c r="C193" s="1329" t="s">
        <v>785</v>
      </c>
      <c r="D193" s="1318" t="s">
        <v>18</v>
      </c>
      <c r="E193" s="1329" t="s">
        <v>785</v>
      </c>
      <c r="F193" s="1318" t="s">
        <v>18</v>
      </c>
      <c r="G193" s="1329" t="s">
        <v>785</v>
      </c>
      <c r="H193" s="1318" t="s">
        <v>18</v>
      </c>
    </row>
    <row r="194" spans="1:8">
      <c r="A194" s="1342">
        <v>1</v>
      </c>
      <c r="B194" s="1343" t="s">
        <v>774</v>
      </c>
      <c r="C194" s="1330">
        <v>1447</v>
      </c>
      <c r="D194" s="1331">
        <f>C194/C$194%</f>
        <v>100</v>
      </c>
      <c r="E194" s="1330">
        <v>479</v>
      </c>
      <c r="F194" s="1319">
        <f>E194/E$194%</f>
        <v>100</v>
      </c>
      <c r="G194" s="1330">
        <f>SUM(C194,E194)</f>
        <v>1926</v>
      </c>
      <c r="H194" s="1319">
        <f>G194/G$194%</f>
        <v>99.999999999999986</v>
      </c>
    </row>
    <row r="195" spans="1:8">
      <c r="A195" s="1342">
        <v>2</v>
      </c>
      <c r="B195" s="1343" t="s">
        <v>775</v>
      </c>
      <c r="C195" s="1330">
        <f>C194-C196</f>
        <v>846</v>
      </c>
      <c r="D195" s="1331">
        <f>C195/C$194%</f>
        <v>58.465791292328952</v>
      </c>
      <c r="E195" s="1330">
        <f>E194-E196</f>
        <v>175</v>
      </c>
      <c r="F195" s="1319">
        <f t="shared" ref="F195:F225" si="165">E195/E$194%</f>
        <v>36.534446764091861</v>
      </c>
      <c r="G195" s="1330">
        <f t="shared" ref="G195:G220" si="166">SUM(C195,E195)</f>
        <v>1021</v>
      </c>
      <c r="H195" s="1319">
        <f t="shared" ref="H195:H224" si="167">G195/G$194%</f>
        <v>53.011422637590854</v>
      </c>
    </row>
    <row r="196" spans="1:8">
      <c r="A196" s="1342">
        <v>3</v>
      </c>
      <c r="B196" s="1343" t="s">
        <v>789</v>
      </c>
      <c r="C196" s="1330">
        <f>SUM(C201,C206,C211,C216)</f>
        <v>601</v>
      </c>
      <c r="D196" s="1331">
        <f>C196/C$194%</f>
        <v>41.534208707671041</v>
      </c>
      <c r="E196" s="1330">
        <f>SUM(E201,E206,E211,E216)</f>
        <v>304</v>
      </c>
      <c r="F196" s="1319">
        <f t="shared" si="165"/>
        <v>63.465553235908139</v>
      </c>
      <c r="G196" s="1330">
        <f t="shared" si="166"/>
        <v>905</v>
      </c>
      <c r="H196" s="1319">
        <f t="shared" si="167"/>
        <v>46.988577362409131</v>
      </c>
    </row>
    <row r="197" spans="1:8">
      <c r="A197" s="1344">
        <v>3.1</v>
      </c>
      <c r="B197" s="1345" t="s">
        <v>776</v>
      </c>
      <c r="C197" s="1332">
        <v>320</v>
      </c>
      <c r="D197" s="1333">
        <f>C197/C$194%</f>
        <v>22.1147201105736</v>
      </c>
      <c r="E197" s="1332">
        <v>237</v>
      </c>
      <c r="F197" s="1319">
        <f t="shared" si="165"/>
        <v>49.478079331941544</v>
      </c>
      <c r="G197" s="1332">
        <f t="shared" si="166"/>
        <v>557</v>
      </c>
      <c r="H197" s="1319">
        <f t="shared" si="167"/>
        <v>28.920041536863966</v>
      </c>
    </row>
    <row r="198" spans="1:8">
      <c r="A198" s="1344">
        <v>3.2</v>
      </c>
      <c r="B198" s="1345" t="s">
        <v>777</v>
      </c>
      <c r="C198" s="1332">
        <v>178</v>
      </c>
      <c r="D198" s="1333">
        <f>C198/C$194%</f>
        <v>12.301313061506566</v>
      </c>
      <c r="E198" s="1332">
        <v>190</v>
      </c>
      <c r="F198" s="1319">
        <f t="shared" si="165"/>
        <v>39.665970772442591</v>
      </c>
      <c r="G198" s="1332">
        <f t="shared" si="166"/>
        <v>368</v>
      </c>
      <c r="H198" s="1319">
        <f t="shared" si="167"/>
        <v>19.106957424714434</v>
      </c>
    </row>
    <row r="199" spans="1:8">
      <c r="A199" s="1344">
        <v>3.3</v>
      </c>
      <c r="B199" s="1345" t="s">
        <v>778</v>
      </c>
      <c r="C199" s="1332">
        <v>180</v>
      </c>
      <c r="D199" s="1333">
        <f t="shared" ref="D199:D224" si="168">C199/C$194%</f>
        <v>12.439530062197649</v>
      </c>
      <c r="E199" s="1332">
        <v>173</v>
      </c>
      <c r="F199" s="1319">
        <f t="shared" si="165"/>
        <v>36.116910229645093</v>
      </c>
      <c r="G199" s="1332">
        <f t="shared" si="166"/>
        <v>353</v>
      </c>
      <c r="H199" s="1319">
        <f t="shared" si="167"/>
        <v>18.328141225337486</v>
      </c>
    </row>
    <row r="200" spans="1:8">
      <c r="A200" s="1344">
        <v>3.4</v>
      </c>
      <c r="B200" s="1345" t="s">
        <v>779</v>
      </c>
      <c r="C200" s="1332">
        <v>519</v>
      </c>
      <c r="D200" s="1333">
        <f t="shared" si="168"/>
        <v>35.867311679336559</v>
      </c>
      <c r="E200" s="1332">
        <v>277</v>
      </c>
      <c r="F200" s="1319">
        <f t="shared" si="165"/>
        <v>57.828810020876823</v>
      </c>
      <c r="G200" s="1332">
        <f t="shared" si="166"/>
        <v>796</v>
      </c>
      <c r="H200" s="1319">
        <f t="shared" si="167"/>
        <v>41.329179646936652</v>
      </c>
    </row>
    <row r="201" spans="1:8">
      <c r="A201" s="1342">
        <v>4</v>
      </c>
      <c r="B201" s="1343" t="s">
        <v>780</v>
      </c>
      <c r="C201" s="1330">
        <f>SUM(C202:C205)</f>
        <v>168</v>
      </c>
      <c r="D201" s="1333">
        <f t="shared" si="168"/>
        <v>11.61022805805114</v>
      </c>
      <c r="E201" s="1330">
        <f>SUM(E202:E205)</f>
        <v>186</v>
      </c>
      <c r="F201" s="1319">
        <f t="shared" si="165"/>
        <v>38.830897703549063</v>
      </c>
      <c r="G201" s="1330">
        <f t="shared" si="166"/>
        <v>354</v>
      </c>
      <c r="H201" s="1319">
        <f t="shared" si="167"/>
        <v>18.380062305295947</v>
      </c>
    </row>
    <row r="202" spans="1:8">
      <c r="A202" s="1344">
        <v>4.0999999999999996</v>
      </c>
      <c r="B202" s="1345" t="s">
        <v>770</v>
      </c>
      <c r="C202" s="1332">
        <v>5</v>
      </c>
      <c r="D202" s="1333">
        <f t="shared" si="168"/>
        <v>0.3455425017277125</v>
      </c>
      <c r="E202" s="1332">
        <v>3</v>
      </c>
      <c r="F202" s="1319">
        <f t="shared" si="165"/>
        <v>0.62630480167014613</v>
      </c>
      <c r="G202" s="1332">
        <f t="shared" si="166"/>
        <v>8</v>
      </c>
      <c r="H202" s="1319">
        <f t="shared" si="167"/>
        <v>0.41536863966770504</v>
      </c>
    </row>
    <row r="203" spans="1:8">
      <c r="A203" s="1344">
        <v>4.2</v>
      </c>
      <c r="B203" s="1345" t="s">
        <v>771</v>
      </c>
      <c r="C203" s="1332">
        <v>2</v>
      </c>
      <c r="D203" s="1333">
        <f t="shared" si="168"/>
        <v>0.138217000691085</v>
      </c>
      <c r="E203" s="1332">
        <v>4</v>
      </c>
      <c r="F203" s="1319">
        <f t="shared" si="165"/>
        <v>0.83507306889352817</v>
      </c>
      <c r="G203" s="1332">
        <f t="shared" si="166"/>
        <v>6</v>
      </c>
      <c r="H203" s="1319">
        <f t="shared" si="167"/>
        <v>0.3115264797507788</v>
      </c>
    </row>
    <row r="204" spans="1:8">
      <c r="A204" s="1344">
        <v>4.3</v>
      </c>
      <c r="B204" s="1345" t="s">
        <v>773</v>
      </c>
      <c r="C204" s="1332">
        <v>15</v>
      </c>
      <c r="D204" s="1333">
        <f t="shared" si="168"/>
        <v>1.0366275051831375</v>
      </c>
      <c r="E204" s="1332">
        <v>20</v>
      </c>
      <c r="F204" s="1319">
        <f t="shared" si="165"/>
        <v>4.1753653444676413</v>
      </c>
      <c r="G204" s="1332">
        <f t="shared" si="166"/>
        <v>35</v>
      </c>
      <c r="H204" s="1319">
        <f t="shared" si="167"/>
        <v>1.8172377985462096</v>
      </c>
    </row>
    <row r="205" spans="1:8">
      <c r="A205" s="1344">
        <v>4.4000000000000004</v>
      </c>
      <c r="B205" s="1345" t="s">
        <v>772</v>
      </c>
      <c r="C205" s="1332">
        <v>146</v>
      </c>
      <c r="D205" s="1333">
        <f t="shared" si="168"/>
        <v>10.089841050449206</v>
      </c>
      <c r="E205" s="1332">
        <v>159</v>
      </c>
      <c r="F205" s="1319">
        <f t="shared" si="165"/>
        <v>33.194154488517746</v>
      </c>
      <c r="G205" s="1332">
        <f t="shared" si="166"/>
        <v>305</v>
      </c>
      <c r="H205" s="1319">
        <f t="shared" si="167"/>
        <v>15.835929387331255</v>
      </c>
    </row>
    <row r="206" spans="1:8">
      <c r="A206" s="1342">
        <v>5</v>
      </c>
      <c r="B206" s="1343" t="s">
        <v>787</v>
      </c>
      <c r="C206" s="1330">
        <f>SUM(C207:C210)</f>
        <v>10</v>
      </c>
      <c r="D206" s="1333">
        <f t="shared" si="168"/>
        <v>0.69108500345542501</v>
      </c>
      <c r="E206" s="1330">
        <f>SUM(E207:E210)</f>
        <v>4</v>
      </c>
      <c r="F206" s="1319">
        <f t="shared" si="165"/>
        <v>0.83507306889352817</v>
      </c>
      <c r="G206" s="1330">
        <f t="shared" si="166"/>
        <v>14</v>
      </c>
      <c r="H206" s="1319">
        <f t="shared" si="167"/>
        <v>0.72689511941848384</v>
      </c>
    </row>
    <row r="207" spans="1:8">
      <c r="A207" s="1344">
        <v>5.0999999999999996</v>
      </c>
      <c r="B207" s="1345" t="s">
        <v>752</v>
      </c>
      <c r="C207" s="1332">
        <v>8</v>
      </c>
      <c r="D207" s="1333">
        <f t="shared" si="168"/>
        <v>0.55286800276434001</v>
      </c>
      <c r="E207" s="1332">
        <v>3</v>
      </c>
      <c r="F207" s="1319">
        <f t="shared" si="165"/>
        <v>0.62630480167014613</v>
      </c>
      <c r="G207" s="1332">
        <f t="shared" si="166"/>
        <v>11</v>
      </c>
      <c r="H207" s="1319">
        <f t="shared" si="167"/>
        <v>0.57113187954309441</v>
      </c>
    </row>
    <row r="208" spans="1:8">
      <c r="A208" s="1344">
        <v>5.2</v>
      </c>
      <c r="B208" s="1345" t="s">
        <v>767</v>
      </c>
      <c r="C208" s="1332">
        <v>0</v>
      </c>
      <c r="D208" s="1333">
        <f t="shared" si="168"/>
        <v>0</v>
      </c>
      <c r="E208" s="1332">
        <v>0</v>
      </c>
      <c r="F208" s="1319">
        <f t="shared" si="165"/>
        <v>0</v>
      </c>
      <c r="G208" s="1332">
        <f t="shared" si="166"/>
        <v>0</v>
      </c>
      <c r="H208" s="1319">
        <f t="shared" si="167"/>
        <v>0</v>
      </c>
    </row>
    <row r="209" spans="1:8">
      <c r="A209" s="1344">
        <v>5.3</v>
      </c>
      <c r="B209" s="1345" t="s">
        <v>769</v>
      </c>
      <c r="C209" s="1332">
        <v>1</v>
      </c>
      <c r="D209" s="1333">
        <f t="shared" si="168"/>
        <v>6.9108500345542501E-2</v>
      </c>
      <c r="E209" s="1332">
        <v>1</v>
      </c>
      <c r="F209" s="1319">
        <f t="shared" si="165"/>
        <v>0.20876826722338204</v>
      </c>
      <c r="G209" s="1332">
        <f t="shared" si="166"/>
        <v>2</v>
      </c>
      <c r="H209" s="1319">
        <f t="shared" si="167"/>
        <v>0.10384215991692626</v>
      </c>
    </row>
    <row r="210" spans="1:8">
      <c r="A210" s="1344">
        <v>5.4</v>
      </c>
      <c r="B210" s="1345" t="s">
        <v>768</v>
      </c>
      <c r="C210" s="1332">
        <v>1</v>
      </c>
      <c r="D210" s="1333">
        <f t="shared" si="168"/>
        <v>6.9108500345542501E-2</v>
      </c>
      <c r="E210" s="1332">
        <v>0</v>
      </c>
      <c r="F210" s="1319">
        <f t="shared" si="165"/>
        <v>0</v>
      </c>
      <c r="G210" s="1332">
        <f t="shared" si="166"/>
        <v>1</v>
      </c>
      <c r="H210" s="1319">
        <f t="shared" si="167"/>
        <v>5.192107995846313E-2</v>
      </c>
    </row>
    <row r="211" spans="1:8">
      <c r="A211" s="1342">
        <v>6</v>
      </c>
      <c r="B211" s="1343" t="s">
        <v>788</v>
      </c>
      <c r="C211" s="1330">
        <f>SUM(C212:C215)</f>
        <v>152</v>
      </c>
      <c r="D211" s="1333">
        <f t="shared" si="168"/>
        <v>10.50449205252246</v>
      </c>
      <c r="E211" s="1330">
        <f>SUM(E212:E215)</f>
        <v>51</v>
      </c>
      <c r="F211" s="1319">
        <f t="shared" si="165"/>
        <v>10.647181628392484</v>
      </c>
      <c r="G211" s="1330">
        <f t="shared" si="166"/>
        <v>203</v>
      </c>
      <c r="H211" s="1319">
        <f t="shared" si="167"/>
        <v>10.539979231568015</v>
      </c>
    </row>
    <row r="212" spans="1:8">
      <c r="A212" s="1344">
        <v>6.1</v>
      </c>
      <c r="B212" s="1345" t="s">
        <v>223</v>
      </c>
      <c r="C212" s="1332">
        <v>53</v>
      </c>
      <c r="D212" s="1333">
        <f t="shared" si="168"/>
        <v>3.6627505183137523</v>
      </c>
      <c r="E212" s="1332">
        <v>16</v>
      </c>
      <c r="F212" s="1319">
        <f t="shared" si="165"/>
        <v>3.3402922755741127</v>
      </c>
      <c r="G212" s="1332">
        <f t="shared" si="166"/>
        <v>69</v>
      </c>
      <c r="H212" s="1319">
        <f t="shared" si="167"/>
        <v>3.5825545171339561</v>
      </c>
    </row>
    <row r="213" spans="1:8">
      <c r="A213" s="1344">
        <v>6.2</v>
      </c>
      <c r="B213" s="1345" t="s">
        <v>764</v>
      </c>
      <c r="C213" s="1332">
        <v>3</v>
      </c>
      <c r="D213" s="1333">
        <f t="shared" si="168"/>
        <v>0.2073255010366275</v>
      </c>
      <c r="E213" s="1332">
        <v>1</v>
      </c>
      <c r="F213" s="1319">
        <f t="shared" si="165"/>
        <v>0.20876826722338204</v>
      </c>
      <c r="G213" s="1332">
        <f t="shared" si="166"/>
        <v>4</v>
      </c>
      <c r="H213" s="1319">
        <f t="shared" si="167"/>
        <v>0.20768431983385252</v>
      </c>
    </row>
    <row r="214" spans="1:8">
      <c r="A214" s="1344">
        <v>6.3</v>
      </c>
      <c r="B214" s="1345" t="s">
        <v>766</v>
      </c>
      <c r="C214" s="1332">
        <v>83</v>
      </c>
      <c r="D214" s="1333">
        <f t="shared" si="168"/>
        <v>5.7360055286800273</v>
      </c>
      <c r="E214" s="1332">
        <v>26</v>
      </c>
      <c r="F214" s="1319">
        <f t="shared" si="165"/>
        <v>5.4279749478079333</v>
      </c>
      <c r="G214" s="1332">
        <f t="shared" si="166"/>
        <v>109</v>
      </c>
      <c r="H214" s="1319">
        <f t="shared" si="167"/>
        <v>5.6593977154724815</v>
      </c>
    </row>
    <row r="215" spans="1:8">
      <c r="A215" s="1344">
        <v>6.4</v>
      </c>
      <c r="B215" s="1345" t="s">
        <v>765</v>
      </c>
      <c r="C215" s="1332">
        <v>13</v>
      </c>
      <c r="D215" s="1333">
        <f t="shared" si="168"/>
        <v>0.89841050449205251</v>
      </c>
      <c r="E215" s="1332">
        <v>8</v>
      </c>
      <c r="F215" s="1319">
        <f t="shared" si="165"/>
        <v>1.6701461377870563</v>
      </c>
      <c r="G215" s="1332">
        <f t="shared" si="166"/>
        <v>21</v>
      </c>
      <c r="H215" s="1319">
        <f t="shared" si="167"/>
        <v>1.0903426791277258</v>
      </c>
    </row>
    <row r="216" spans="1:8">
      <c r="A216" s="1342">
        <v>7</v>
      </c>
      <c r="B216" s="1343" t="s">
        <v>781</v>
      </c>
      <c r="C216" s="1330">
        <f>SUM(C217:C219)</f>
        <v>271</v>
      </c>
      <c r="D216" s="1333">
        <f t="shared" si="168"/>
        <v>18.728403593642017</v>
      </c>
      <c r="E216" s="1330">
        <f>SUM(E217:E219)</f>
        <v>63</v>
      </c>
      <c r="F216" s="1319">
        <f t="shared" si="165"/>
        <v>13.152400835073069</v>
      </c>
      <c r="G216" s="1330">
        <f t="shared" si="166"/>
        <v>334</v>
      </c>
      <c r="H216" s="1319">
        <f t="shared" si="167"/>
        <v>17.341640706126686</v>
      </c>
    </row>
    <row r="217" spans="1:8">
      <c r="A217" s="1344">
        <v>7.1</v>
      </c>
      <c r="B217" s="1345" t="s">
        <v>49</v>
      </c>
      <c r="C217" s="1332">
        <v>11</v>
      </c>
      <c r="D217" s="1333">
        <f t="shared" si="168"/>
        <v>0.76019350380096751</v>
      </c>
      <c r="E217" s="1332">
        <v>0</v>
      </c>
      <c r="F217" s="1319">
        <f t="shared" si="165"/>
        <v>0</v>
      </c>
      <c r="G217" s="1332">
        <f t="shared" si="166"/>
        <v>11</v>
      </c>
      <c r="H217" s="1319">
        <f t="shared" si="167"/>
        <v>0.57113187954309441</v>
      </c>
    </row>
    <row r="218" spans="1:8">
      <c r="A218" s="1344">
        <v>7.2</v>
      </c>
      <c r="B218" s="1345" t="s">
        <v>753</v>
      </c>
      <c r="C218" s="1332">
        <v>256</v>
      </c>
      <c r="D218" s="1333">
        <f t="shared" si="168"/>
        <v>17.69177608845888</v>
      </c>
      <c r="E218" s="1332">
        <v>62</v>
      </c>
      <c r="F218" s="1319">
        <f t="shared" si="165"/>
        <v>12.943632567849686</v>
      </c>
      <c r="G218" s="1332">
        <f t="shared" si="166"/>
        <v>318</v>
      </c>
      <c r="H218" s="1319">
        <f t="shared" si="167"/>
        <v>16.510903426791277</v>
      </c>
    </row>
    <row r="219" spans="1:8">
      <c r="A219" s="1344">
        <v>7.3</v>
      </c>
      <c r="B219" s="1345" t="s">
        <v>763</v>
      </c>
      <c r="C219" s="1332">
        <v>4</v>
      </c>
      <c r="D219" s="1333">
        <f t="shared" si="168"/>
        <v>0.27643400138217</v>
      </c>
      <c r="E219" s="1332">
        <v>1</v>
      </c>
      <c r="F219" s="1319">
        <f t="shared" si="165"/>
        <v>0.20876826722338204</v>
      </c>
      <c r="G219" s="1332">
        <f t="shared" si="166"/>
        <v>5</v>
      </c>
      <c r="H219" s="1319">
        <f t="shared" si="167"/>
        <v>0.25960539979231567</v>
      </c>
    </row>
    <row r="220" spans="1:8">
      <c r="A220" s="1342">
        <v>8</v>
      </c>
      <c r="B220" s="1343" t="s">
        <v>791</v>
      </c>
      <c r="C220" s="1330">
        <f>SUM(C221,C222,C223,C224)</f>
        <v>1447</v>
      </c>
      <c r="D220" s="1333">
        <f t="shared" si="168"/>
        <v>100</v>
      </c>
      <c r="E220" s="1330">
        <f>SUM(E221,E222,E223,E224)</f>
        <v>479</v>
      </c>
      <c r="F220" s="1319">
        <f t="shared" si="165"/>
        <v>100</v>
      </c>
      <c r="G220" s="1330">
        <f t="shared" si="166"/>
        <v>1926</v>
      </c>
      <c r="H220" s="1319">
        <f t="shared" si="167"/>
        <v>99.999999999999986</v>
      </c>
    </row>
    <row r="221" spans="1:8">
      <c r="A221" s="1346">
        <v>8.1</v>
      </c>
      <c r="B221" s="1347" t="s">
        <v>775</v>
      </c>
      <c r="C221" s="1334">
        <f>C194-SUM(C224,C223,C222)</f>
        <v>846</v>
      </c>
      <c r="D221" s="1333">
        <f t="shared" si="168"/>
        <v>58.465791292328952</v>
      </c>
      <c r="E221" s="1334">
        <f>E194-SUM(E224,E223,E222)</f>
        <v>175</v>
      </c>
      <c r="F221" s="1319">
        <f t="shared" si="165"/>
        <v>36.534446764091861</v>
      </c>
      <c r="G221" s="1334">
        <f>SUM(C221,E221)</f>
        <v>1021</v>
      </c>
      <c r="H221" s="1319">
        <f t="shared" si="167"/>
        <v>53.011422637590854</v>
      </c>
    </row>
    <row r="222" spans="1:8">
      <c r="A222" s="1348">
        <v>8.1999999999999993</v>
      </c>
      <c r="B222" s="1349" t="s">
        <v>790</v>
      </c>
      <c r="C222" s="1335">
        <f>C216</f>
        <v>271</v>
      </c>
      <c r="D222" s="1333">
        <f t="shared" si="168"/>
        <v>18.728403593642017</v>
      </c>
      <c r="E222" s="1335">
        <f>E216</f>
        <v>63</v>
      </c>
      <c r="F222" s="1319">
        <f t="shared" si="165"/>
        <v>13.152400835073069</v>
      </c>
      <c r="G222" s="1335">
        <f>SUM(C222,E222)</f>
        <v>334</v>
      </c>
      <c r="H222" s="1319">
        <f t="shared" si="167"/>
        <v>17.341640706126686</v>
      </c>
    </row>
    <row r="223" spans="1:8">
      <c r="A223" s="1350">
        <v>8.3000000000000007</v>
      </c>
      <c r="B223" s="1351" t="s">
        <v>784</v>
      </c>
      <c r="C223" s="1336">
        <f>SUM(C206,C211)</f>
        <v>162</v>
      </c>
      <c r="D223" s="1333">
        <f t="shared" si="168"/>
        <v>11.195577055977886</v>
      </c>
      <c r="E223" s="1336">
        <f>SUM(E206,E211)</f>
        <v>55</v>
      </c>
      <c r="F223" s="1319">
        <f t="shared" si="165"/>
        <v>11.482254697286013</v>
      </c>
      <c r="G223" s="1336">
        <f>SUM(C223,E223)</f>
        <v>217</v>
      </c>
      <c r="H223" s="1319">
        <f t="shared" si="167"/>
        <v>11.2668743509865</v>
      </c>
    </row>
    <row r="224" spans="1:8">
      <c r="A224" s="1352">
        <v>8.4</v>
      </c>
      <c r="B224" s="1353" t="s">
        <v>782</v>
      </c>
      <c r="C224" s="1337">
        <f>C201</f>
        <v>168</v>
      </c>
      <c r="D224" s="1333">
        <f t="shared" si="168"/>
        <v>11.61022805805114</v>
      </c>
      <c r="E224" s="1337">
        <f>E201</f>
        <v>186</v>
      </c>
      <c r="F224" s="1319">
        <f t="shared" si="165"/>
        <v>38.830897703549063</v>
      </c>
      <c r="G224" s="1337">
        <f t="shared" ref="G224:G225" si="169">SUM(C224,E224)</f>
        <v>354</v>
      </c>
      <c r="H224" s="1319">
        <f t="shared" si="167"/>
        <v>18.380062305295947</v>
      </c>
    </row>
    <row r="225" spans="1:8">
      <c r="A225" s="1354">
        <v>8.5</v>
      </c>
      <c r="B225" s="1355" t="s">
        <v>783</v>
      </c>
      <c r="C225" s="1338">
        <f>C201+C206</f>
        <v>178</v>
      </c>
      <c r="D225" s="1339">
        <f>C225/C$194%</f>
        <v>12.301313061506566</v>
      </c>
      <c r="E225" s="1338">
        <f>E201+E206</f>
        <v>190</v>
      </c>
      <c r="F225" s="1319">
        <f t="shared" si="165"/>
        <v>39.665970772442591</v>
      </c>
      <c r="G225" s="1338">
        <f t="shared" si="169"/>
        <v>368</v>
      </c>
      <c r="H225" s="1339">
        <f>G225/G$194%</f>
        <v>19.106957424714434</v>
      </c>
    </row>
    <row r="228" spans="1:8" ht="15.75">
      <c r="F228" s="276"/>
      <c r="G228" s="276"/>
      <c r="H228" s="1306">
        <v>2016</v>
      </c>
    </row>
    <row r="229" spans="1:8" ht="13.5" thickBot="1"/>
    <row r="230" spans="1:8">
      <c r="A230" s="1826" t="s">
        <v>243</v>
      </c>
      <c r="B230" s="1828" t="s">
        <v>792</v>
      </c>
      <c r="C230" s="1830" t="s">
        <v>6</v>
      </c>
      <c r="D230" s="1831"/>
      <c r="E230" s="1830" t="s">
        <v>14</v>
      </c>
      <c r="F230" s="1831"/>
      <c r="G230" s="1830" t="s">
        <v>786</v>
      </c>
      <c r="H230" s="1831"/>
    </row>
    <row r="231" spans="1:8" ht="13.5" thickBot="1">
      <c r="A231" s="1827"/>
      <c r="B231" s="1829"/>
      <c r="C231" s="1329" t="s">
        <v>785</v>
      </c>
      <c r="D231" s="1318" t="s">
        <v>18</v>
      </c>
      <c r="E231" s="1329" t="s">
        <v>785</v>
      </c>
      <c r="F231" s="1318" t="s">
        <v>18</v>
      </c>
      <c r="G231" s="1329" t="s">
        <v>785</v>
      </c>
      <c r="H231" s="1318" t="s">
        <v>18</v>
      </c>
    </row>
    <row r="232" spans="1:8">
      <c r="A232" s="488">
        <v>1</v>
      </c>
      <c r="B232" s="489" t="s">
        <v>774</v>
      </c>
      <c r="C232" s="1330">
        <v>1383</v>
      </c>
      <c r="D232" s="1331">
        <f>C232/C$232%</f>
        <v>100</v>
      </c>
      <c r="E232" s="1330">
        <v>503</v>
      </c>
      <c r="F232" s="1331">
        <f>E232/E$232%</f>
        <v>100</v>
      </c>
      <c r="G232" s="1330">
        <f>SUM(C232,E232)</f>
        <v>1886</v>
      </c>
      <c r="H232" s="1331">
        <f>G232/G$232%</f>
        <v>100</v>
      </c>
    </row>
    <row r="233" spans="1:8">
      <c r="A233" s="492">
        <v>2</v>
      </c>
      <c r="B233" s="1320" t="s">
        <v>775</v>
      </c>
      <c r="C233" s="1330">
        <f>C232-C234</f>
        <v>832</v>
      </c>
      <c r="D233" s="1331">
        <f t="shared" ref="D233:D263" si="170">C233/C$232%</f>
        <v>60.159074475777295</v>
      </c>
      <c r="E233" s="1330">
        <f>E232-E234</f>
        <v>265</v>
      </c>
      <c r="F233" s="1331">
        <f t="shared" ref="F233:F263" si="171">E233/E$232%</f>
        <v>52.683896620278325</v>
      </c>
      <c r="G233" s="1330">
        <f t="shared" ref="G233:G258" si="172">SUM(C233,E233)</f>
        <v>1097</v>
      </c>
      <c r="H233" s="1331">
        <f t="shared" ref="H233:H263" si="173">G233/G$232%</f>
        <v>58.165429480381761</v>
      </c>
    </row>
    <row r="234" spans="1:8">
      <c r="A234" s="492">
        <v>3</v>
      </c>
      <c r="B234" s="1320" t="s">
        <v>789</v>
      </c>
      <c r="C234" s="1330">
        <f>SUM(C239,C244,C249,C254)</f>
        <v>551</v>
      </c>
      <c r="D234" s="1331">
        <f t="shared" si="170"/>
        <v>39.840925524222705</v>
      </c>
      <c r="E234" s="1330">
        <f>SUM(E239,E244,E249,E254)</f>
        <v>238</v>
      </c>
      <c r="F234" s="1331">
        <f t="shared" si="171"/>
        <v>47.316103379721667</v>
      </c>
      <c r="G234" s="1330">
        <f t="shared" si="172"/>
        <v>789</v>
      </c>
      <c r="H234" s="1331">
        <f t="shared" si="173"/>
        <v>41.834570519618239</v>
      </c>
    </row>
    <row r="235" spans="1:8">
      <c r="A235" s="496">
        <v>3.1</v>
      </c>
      <c r="B235" s="1321" t="s">
        <v>776</v>
      </c>
      <c r="C235" s="1332">
        <v>307</v>
      </c>
      <c r="D235" s="1331">
        <f t="shared" si="170"/>
        <v>22.198120028922631</v>
      </c>
      <c r="E235" s="1332">
        <v>184</v>
      </c>
      <c r="F235" s="1331">
        <f t="shared" si="171"/>
        <v>36.580516898608352</v>
      </c>
      <c r="G235" s="1332">
        <f t="shared" si="172"/>
        <v>491</v>
      </c>
      <c r="H235" s="1331">
        <f t="shared" si="173"/>
        <v>26.033934252386004</v>
      </c>
    </row>
    <row r="236" spans="1:8">
      <c r="A236" s="496">
        <v>3.2</v>
      </c>
      <c r="B236" s="1321" t="s">
        <v>777</v>
      </c>
      <c r="C236" s="1332">
        <v>152</v>
      </c>
      <c r="D236" s="1331">
        <f t="shared" si="170"/>
        <v>10.990600144613159</v>
      </c>
      <c r="E236" s="1332">
        <v>159</v>
      </c>
      <c r="F236" s="1331">
        <f t="shared" si="171"/>
        <v>31.610337972166995</v>
      </c>
      <c r="G236" s="1332">
        <f t="shared" si="172"/>
        <v>311</v>
      </c>
      <c r="H236" s="1331">
        <f t="shared" si="173"/>
        <v>16.489925768822907</v>
      </c>
    </row>
    <row r="237" spans="1:8">
      <c r="A237" s="496">
        <v>3.3</v>
      </c>
      <c r="B237" s="1321" t="s">
        <v>778</v>
      </c>
      <c r="C237" s="1332">
        <v>142</v>
      </c>
      <c r="D237" s="1331">
        <f t="shared" si="170"/>
        <v>10.267534345625451</v>
      </c>
      <c r="E237" s="1332">
        <v>128</v>
      </c>
      <c r="F237" s="1331">
        <f t="shared" si="171"/>
        <v>25.44731610337972</v>
      </c>
      <c r="G237" s="1332">
        <f t="shared" si="172"/>
        <v>270</v>
      </c>
      <c r="H237" s="1331">
        <f t="shared" si="173"/>
        <v>14.316012725344645</v>
      </c>
    </row>
    <row r="238" spans="1:8" ht="13.5" thickBot="1">
      <c r="A238" s="500">
        <v>3.4</v>
      </c>
      <c r="B238" s="501" t="s">
        <v>779</v>
      </c>
      <c r="C238" s="1332">
        <v>226</v>
      </c>
      <c r="D238" s="1331">
        <f t="shared" si="170"/>
        <v>16.341287057122198</v>
      </c>
      <c r="E238" s="1332">
        <v>47</v>
      </c>
      <c r="F238" s="1331">
        <f t="shared" si="171"/>
        <v>9.3439363817097405</v>
      </c>
      <c r="G238" s="1332">
        <f t="shared" si="172"/>
        <v>273</v>
      </c>
      <c r="H238" s="1331">
        <f t="shared" si="173"/>
        <v>14.475079533404029</v>
      </c>
    </row>
    <row r="239" spans="1:8">
      <c r="A239" s="488">
        <v>4</v>
      </c>
      <c r="B239" s="489" t="s">
        <v>780</v>
      </c>
      <c r="C239" s="1330">
        <f>SUM(C240:C243)</f>
        <v>142</v>
      </c>
      <c r="D239" s="1331">
        <f t="shared" si="170"/>
        <v>10.267534345625451</v>
      </c>
      <c r="E239" s="1330">
        <f>SUM(E240:E243)</f>
        <v>154</v>
      </c>
      <c r="F239" s="1331">
        <f t="shared" si="171"/>
        <v>30.616302186878727</v>
      </c>
      <c r="G239" s="1330">
        <f t="shared" si="172"/>
        <v>296</v>
      </c>
      <c r="H239" s="1331">
        <f t="shared" si="173"/>
        <v>15.694591728525982</v>
      </c>
    </row>
    <row r="240" spans="1:8">
      <c r="A240" s="496">
        <v>4.0999999999999996</v>
      </c>
      <c r="B240" s="1321" t="s">
        <v>770</v>
      </c>
      <c r="C240" s="1332">
        <v>2</v>
      </c>
      <c r="D240" s="1331">
        <f t="shared" si="170"/>
        <v>0.14461315979754158</v>
      </c>
      <c r="E240" s="1332">
        <v>1</v>
      </c>
      <c r="F240" s="1331">
        <f t="shared" si="171"/>
        <v>0.19880715705765406</v>
      </c>
      <c r="G240" s="1332">
        <f t="shared" si="172"/>
        <v>3</v>
      </c>
      <c r="H240" s="1331">
        <f t="shared" si="173"/>
        <v>0.15906680805938495</v>
      </c>
    </row>
    <row r="241" spans="1:8">
      <c r="A241" s="496">
        <v>4.2</v>
      </c>
      <c r="B241" s="1321" t="s">
        <v>771</v>
      </c>
      <c r="C241" s="1332">
        <v>1</v>
      </c>
      <c r="D241" s="1331">
        <f t="shared" si="170"/>
        <v>7.230657989877079E-2</v>
      </c>
      <c r="E241" s="1332">
        <v>3</v>
      </c>
      <c r="F241" s="1331">
        <f t="shared" si="171"/>
        <v>0.59642147117296218</v>
      </c>
      <c r="G241" s="1332">
        <f t="shared" si="172"/>
        <v>4</v>
      </c>
      <c r="H241" s="1331">
        <f t="shared" si="173"/>
        <v>0.21208907741251326</v>
      </c>
    </row>
    <row r="242" spans="1:8">
      <c r="A242" s="496">
        <v>4.3</v>
      </c>
      <c r="B242" s="1321" t="s">
        <v>773</v>
      </c>
      <c r="C242" s="1332">
        <v>23</v>
      </c>
      <c r="D242" s="1331">
        <f t="shared" si="170"/>
        <v>1.6630513376717282</v>
      </c>
      <c r="E242" s="1332">
        <v>31</v>
      </c>
      <c r="F242" s="1331">
        <f t="shared" si="171"/>
        <v>6.1630218687872764</v>
      </c>
      <c r="G242" s="1332">
        <f t="shared" si="172"/>
        <v>54</v>
      </c>
      <c r="H242" s="1331">
        <f t="shared" si="173"/>
        <v>2.8632025450689289</v>
      </c>
    </row>
    <row r="243" spans="1:8" ht="13.5" thickBot="1">
      <c r="A243" s="500">
        <v>4.4000000000000004</v>
      </c>
      <c r="B243" s="501" t="s">
        <v>772</v>
      </c>
      <c r="C243" s="1332">
        <v>116</v>
      </c>
      <c r="D243" s="1331">
        <f t="shared" si="170"/>
        <v>8.3875632682574111</v>
      </c>
      <c r="E243" s="1332">
        <v>119</v>
      </c>
      <c r="F243" s="1331">
        <f t="shared" si="171"/>
        <v>23.658051689860834</v>
      </c>
      <c r="G243" s="1332">
        <f t="shared" si="172"/>
        <v>235</v>
      </c>
      <c r="H243" s="1331">
        <f t="shared" si="173"/>
        <v>12.460233297985154</v>
      </c>
    </row>
    <row r="244" spans="1:8">
      <c r="A244" s="488">
        <v>5</v>
      </c>
      <c r="B244" s="489" t="s">
        <v>787</v>
      </c>
      <c r="C244" s="1330">
        <f>SUM(C245:C248)</f>
        <v>10</v>
      </c>
      <c r="D244" s="1331">
        <f t="shared" si="170"/>
        <v>0.72306579898770784</v>
      </c>
      <c r="E244" s="1330">
        <f>SUM(E245:E248)</f>
        <v>5</v>
      </c>
      <c r="F244" s="1331">
        <f t="shared" si="171"/>
        <v>0.9940357852882703</v>
      </c>
      <c r="G244" s="1330">
        <f t="shared" si="172"/>
        <v>15</v>
      </c>
      <c r="H244" s="1331">
        <f t="shared" si="173"/>
        <v>0.79533404029692478</v>
      </c>
    </row>
    <row r="245" spans="1:8">
      <c r="A245" s="496">
        <v>5.0999999999999996</v>
      </c>
      <c r="B245" s="1321" t="s">
        <v>752</v>
      </c>
      <c r="C245" s="1332">
        <v>6</v>
      </c>
      <c r="D245" s="1331">
        <f t="shared" si="170"/>
        <v>0.43383947939262474</v>
      </c>
      <c r="E245" s="1332">
        <v>3</v>
      </c>
      <c r="F245" s="1331">
        <f t="shared" si="171"/>
        <v>0.59642147117296218</v>
      </c>
      <c r="G245" s="1332">
        <f t="shared" si="172"/>
        <v>9</v>
      </c>
      <c r="H245" s="1331">
        <f t="shared" si="173"/>
        <v>0.47720042417815484</v>
      </c>
    </row>
    <row r="246" spans="1:8">
      <c r="A246" s="496">
        <v>5.2</v>
      </c>
      <c r="B246" s="1321" t="s">
        <v>767</v>
      </c>
      <c r="C246" s="1332">
        <v>1</v>
      </c>
      <c r="D246" s="1331">
        <f t="shared" si="170"/>
        <v>7.230657989877079E-2</v>
      </c>
      <c r="E246" s="1332">
        <v>0</v>
      </c>
      <c r="F246" s="1331">
        <f t="shared" si="171"/>
        <v>0</v>
      </c>
      <c r="G246" s="1332">
        <f t="shared" si="172"/>
        <v>1</v>
      </c>
      <c r="H246" s="1331">
        <f t="shared" si="173"/>
        <v>5.3022269353128315E-2</v>
      </c>
    </row>
    <row r="247" spans="1:8">
      <c r="A247" s="496">
        <v>5.3</v>
      </c>
      <c r="B247" s="1321" t="s">
        <v>769</v>
      </c>
      <c r="C247" s="1332">
        <v>3</v>
      </c>
      <c r="D247" s="1331">
        <f t="shared" si="170"/>
        <v>0.21691973969631237</v>
      </c>
      <c r="E247" s="1332">
        <v>2</v>
      </c>
      <c r="F247" s="1331">
        <f t="shared" si="171"/>
        <v>0.39761431411530812</v>
      </c>
      <c r="G247" s="1332">
        <f t="shared" si="172"/>
        <v>5</v>
      </c>
      <c r="H247" s="1331">
        <f t="shared" si="173"/>
        <v>0.26511134676564158</v>
      </c>
    </row>
    <row r="248" spans="1:8" ht="13.5" thickBot="1">
      <c r="A248" s="500">
        <v>5.4</v>
      </c>
      <c r="B248" s="501" t="s">
        <v>768</v>
      </c>
      <c r="C248" s="1332">
        <v>0</v>
      </c>
      <c r="D248" s="1331">
        <f t="shared" si="170"/>
        <v>0</v>
      </c>
      <c r="E248" s="1332">
        <v>0</v>
      </c>
      <c r="F248" s="1331">
        <f t="shared" si="171"/>
        <v>0</v>
      </c>
      <c r="G248" s="1332">
        <f t="shared" si="172"/>
        <v>0</v>
      </c>
      <c r="H248" s="1331">
        <f t="shared" si="173"/>
        <v>0</v>
      </c>
    </row>
    <row r="249" spans="1:8">
      <c r="A249" s="488">
        <v>6</v>
      </c>
      <c r="B249" s="489" t="s">
        <v>788</v>
      </c>
      <c r="C249" s="1330">
        <f>SUM(C250:C253)</f>
        <v>165</v>
      </c>
      <c r="D249" s="1331">
        <f t="shared" si="170"/>
        <v>11.93058568329718</v>
      </c>
      <c r="E249" s="1330">
        <f>SUM(E250:E253)</f>
        <v>30</v>
      </c>
      <c r="F249" s="1331">
        <f t="shared" si="171"/>
        <v>5.964214711729622</v>
      </c>
      <c r="G249" s="1330">
        <f t="shared" si="172"/>
        <v>195</v>
      </c>
      <c r="H249" s="1331">
        <f t="shared" si="173"/>
        <v>10.339342523860022</v>
      </c>
    </row>
    <row r="250" spans="1:8">
      <c r="A250" s="496">
        <v>6.1</v>
      </c>
      <c r="B250" s="1321" t="s">
        <v>223</v>
      </c>
      <c r="C250" s="1332">
        <v>60</v>
      </c>
      <c r="D250" s="1331">
        <f t="shared" si="170"/>
        <v>4.3383947939262475</v>
      </c>
      <c r="E250" s="1332">
        <v>12</v>
      </c>
      <c r="F250" s="1331">
        <f t="shared" si="171"/>
        <v>2.3856858846918487</v>
      </c>
      <c r="G250" s="1332">
        <f t="shared" si="172"/>
        <v>72</v>
      </c>
      <c r="H250" s="1331">
        <f t="shared" si="173"/>
        <v>3.8176033934252387</v>
      </c>
    </row>
    <row r="251" spans="1:8">
      <c r="A251" s="496">
        <v>6.2</v>
      </c>
      <c r="B251" s="1321" t="s">
        <v>764</v>
      </c>
      <c r="C251" s="1332">
        <v>3</v>
      </c>
      <c r="D251" s="1331">
        <f t="shared" si="170"/>
        <v>0.21691973969631237</v>
      </c>
      <c r="E251" s="1332">
        <v>1</v>
      </c>
      <c r="F251" s="1331">
        <f t="shared" si="171"/>
        <v>0.19880715705765406</v>
      </c>
      <c r="G251" s="1332">
        <f t="shared" si="172"/>
        <v>4</v>
      </c>
      <c r="H251" s="1331">
        <f t="shared" si="173"/>
        <v>0.21208907741251326</v>
      </c>
    </row>
    <row r="252" spans="1:8">
      <c r="A252" s="496">
        <v>6.3</v>
      </c>
      <c r="B252" s="1321" t="s">
        <v>766</v>
      </c>
      <c r="C252" s="1332">
        <v>89</v>
      </c>
      <c r="D252" s="1331">
        <f t="shared" si="170"/>
        <v>6.4352856109905998</v>
      </c>
      <c r="E252" s="1332">
        <v>14</v>
      </c>
      <c r="F252" s="1331">
        <f t="shared" si="171"/>
        <v>2.7833001988071571</v>
      </c>
      <c r="G252" s="1332">
        <f t="shared" si="172"/>
        <v>103</v>
      </c>
      <c r="H252" s="1331">
        <f t="shared" si="173"/>
        <v>5.4612937433722166</v>
      </c>
    </row>
    <row r="253" spans="1:8" ht="13.5" thickBot="1">
      <c r="A253" s="500">
        <v>6.4</v>
      </c>
      <c r="B253" s="501" t="s">
        <v>765</v>
      </c>
      <c r="C253" s="1332">
        <v>13</v>
      </c>
      <c r="D253" s="1331">
        <f t="shared" si="170"/>
        <v>0.93998553868402024</v>
      </c>
      <c r="E253" s="1332">
        <v>3</v>
      </c>
      <c r="F253" s="1331">
        <f t="shared" si="171"/>
        <v>0.59642147117296218</v>
      </c>
      <c r="G253" s="1332">
        <f t="shared" si="172"/>
        <v>16</v>
      </c>
      <c r="H253" s="1331">
        <f t="shared" si="173"/>
        <v>0.84835630965005304</v>
      </c>
    </row>
    <row r="254" spans="1:8">
      <c r="A254" s="488">
        <v>7</v>
      </c>
      <c r="B254" s="489" t="s">
        <v>781</v>
      </c>
      <c r="C254" s="1330">
        <f>SUM(C255:C257)</f>
        <v>234</v>
      </c>
      <c r="D254" s="1331">
        <f t="shared" si="170"/>
        <v>16.919739696312366</v>
      </c>
      <c r="E254" s="1330">
        <f>SUM(E255:E257)</f>
        <v>49</v>
      </c>
      <c r="F254" s="1331">
        <f t="shared" si="171"/>
        <v>9.7415506958250493</v>
      </c>
      <c r="G254" s="1330">
        <f t="shared" si="172"/>
        <v>283</v>
      </c>
      <c r="H254" s="1331">
        <f t="shared" si="173"/>
        <v>15.005302226935314</v>
      </c>
    </row>
    <row r="255" spans="1:8">
      <c r="A255" s="496">
        <v>7.1</v>
      </c>
      <c r="B255" s="1321" t="s">
        <v>49</v>
      </c>
      <c r="C255" s="1332">
        <v>5</v>
      </c>
      <c r="D255" s="1331">
        <f t="shared" si="170"/>
        <v>0.36153289949385392</v>
      </c>
      <c r="E255" s="1332">
        <v>2</v>
      </c>
      <c r="F255" s="1331">
        <f t="shared" si="171"/>
        <v>0.39761431411530812</v>
      </c>
      <c r="G255" s="1332">
        <f t="shared" si="172"/>
        <v>7</v>
      </c>
      <c r="H255" s="1331">
        <f t="shared" si="173"/>
        <v>0.37115588547189821</v>
      </c>
    </row>
    <row r="256" spans="1:8">
      <c r="A256" s="496">
        <v>7.2</v>
      </c>
      <c r="B256" s="1321" t="s">
        <v>753</v>
      </c>
      <c r="C256" s="1332">
        <v>226</v>
      </c>
      <c r="D256" s="1331">
        <f t="shared" si="170"/>
        <v>16.341287057122198</v>
      </c>
      <c r="E256" s="1332">
        <v>47</v>
      </c>
      <c r="F256" s="1331">
        <f t="shared" si="171"/>
        <v>9.3439363817097405</v>
      </c>
      <c r="G256" s="1332">
        <f t="shared" si="172"/>
        <v>273</v>
      </c>
      <c r="H256" s="1331">
        <f t="shared" si="173"/>
        <v>14.475079533404029</v>
      </c>
    </row>
    <row r="257" spans="1:8" ht="13.5" thickBot="1">
      <c r="A257" s="504">
        <v>7.3</v>
      </c>
      <c r="B257" s="1322" t="s">
        <v>763</v>
      </c>
      <c r="C257" s="1332">
        <v>3</v>
      </c>
      <c r="D257" s="1331">
        <f t="shared" si="170"/>
        <v>0.21691973969631237</v>
      </c>
      <c r="E257" s="1332">
        <v>0</v>
      </c>
      <c r="F257" s="1331">
        <f t="shared" si="171"/>
        <v>0</v>
      </c>
      <c r="G257" s="1332">
        <f t="shared" si="172"/>
        <v>3</v>
      </c>
      <c r="H257" s="1331">
        <f t="shared" si="173"/>
        <v>0.15906680805938495</v>
      </c>
    </row>
    <row r="258" spans="1:8">
      <c r="A258" s="488">
        <v>8</v>
      </c>
      <c r="B258" s="1323" t="s">
        <v>791</v>
      </c>
      <c r="C258" s="1330">
        <f>SUM(C259,C260,C261,C262)</f>
        <v>1383</v>
      </c>
      <c r="D258" s="1331">
        <f t="shared" si="170"/>
        <v>100</v>
      </c>
      <c r="E258" s="1330">
        <f>SUM(E259,E260,E261,E262)</f>
        <v>503</v>
      </c>
      <c r="F258" s="1331">
        <f t="shared" si="171"/>
        <v>100</v>
      </c>
      <c r="G258" s="1330">
        <f t="shared" si="172"/>
        <v>1886</v>
      </c>
      <c r="H258" s="1331">
        <f t="shared" si="173"/>
        <v>100</v>
      </c>
    </row>
    <row r="259" spans="1:8">
      <c r="A259" s="509">
        <v>8.1</v>
      </c>
      <c r="B259" s="1324" t="s">
        <v>775</v>
      </c>
      <c r="C259" s="1334">
        <f>C232-SUM(C262,C261,C260)</f>
        <v>832</v>
      </c>
      <c r="D259" s="1331">
        <f t="shared" si="170"/>
        <v>60.159074475777295</v>
      </c>
      <c r="E259" s="1334">
        <f>E232-SUM(E262,E261,E260)</f>
        <v>265</v>
      </c>
      <c r="F259" s="1331">
        <f t="shared" si="171"/>
        <v>52.683896620278325</v>
      </c>
      <c r="G259" s="1334">
        <f>SUM(C259,E259)</f>
        <v>1097</v>
      </c>
      <c r="H259" s="1331">
        <f t="shared" si="173"/>
        <v>58.165429480381761</v>
      </c>
    </row>
    <row r="260" spans="1:8">
      <c r="A260" s="513">
        <v>8.1999999999999993</v>
      </c>
      <c r="B260" s="1325" t="s">
        <v>790</v>
      </c>
      <c r="C260" s="1335">
        <f>C254</f>
        <v>234</v>
      </c>
      <c r="D260" s="1331">
        <f t="shared" si="170"/>
        <v>16.919739696312366</v>
      </c>
      <c r="E260" s="1335">
        <f>E254</f>
        <v>49</v>
      </c>
      <c r="F260" s="1331">
        <f t="shared" si="171"/>
        <v>9.7415506958250493</v>
      </c>
      <c r="G260" s="1335">
        <f>SUM(C260,E260)</f>
        <v>283</v>
      </c>
      <c r="H260" s="1331">
        <f t="shared" si="173"/>
        <v>15.005302226935314</v>
      </c>
    </row>
    <row r="261" spans="1:8">
      <c r="A261" s="517">
        <v>8.3000000000000007</v>
      </c>
      <c r="B261" s="1326" t="s">
        <v>784</v>
      </c>
      <c r="C261" s="1336">
        <f>SUM(C244,C249)</f>
        <v>175</v>
      </c>
      <c r="D261" s="1331">
        <f t="shared" si="170"/>
        <v>12.653651482284888</v>
      </c>
      <c r="E261" s="1336">
        <f>SUM(E244,E249)</f>
        <v>35</v>
      </c>
      <c r="F261" s="1331">
        <f t="shared" si="171"/>
        <v>6.9582504970178922</v>
      </c>
      <c r="G261" s="1336">
        <f>SUM(C261,E261)</f>
        <v>210</v>
      </c>
      <c r="H261" s="1331">
        <f t="shared" si="173"/>
        <v>11.134676564156946</v>
      </c>
    </row>
    <row r="262" spans="1:8">
      <c r="A262" s="521">
        <v>8.4</v>
      </c>
      <c r="B262" s="1327" t="s">
        <v>782</v>
      </c>
      <c r="C262" s="1337">
        <f>C239</f>
        <v>142</v>
      </c>
      <c r="D262" s="1331">
        <f t="shared" si="170"/>
        <v>10.267534345625451</v>
      </c>
      <c r="E262" s="1337">
        <f>E239</f>
        <v>154</v>
      </c>
      <c r="F262" s="1331">
        <f t="shared" si="171"/>
        <v>30.616302186878727</v>
      </c>
      <c r="G262" s="1337">
        <f t="shared" ref="G262:G263" si="174">SUM(C262,E262)</f>
        <v>296</v>
      </c>
      <c r="H262" s="1331">
        <f t="shared" si="173"/>
        <v>15.694591728525982</v>
      </c>
    </row>
    <row r="263" spans="1:8" ht="13.5" thickBot="1">
      <c r="A263" s="525">
        <v>8.5</v>
      </c>
      <c r="B263" s="1328" t="s">
        <v>783</v>
      </c>
      <c r="C263" s="1338">
        <f>C239+C244</f>
        <v>152</v>
      </c>
      <c r="D263" s="1331">
        <f t="shared" si="170"/>
        <v>10.990600144613159</v>
      </c>
      <c r="E263" s="1338">
        <f>E239+E244</f>
        <v>159</v>
      </c>
      <c r="F263" s="1331">
        <f t="shared" si="171"/>
        <v>31.610337972166995</v>
      </c>
      <c r="G263" s="1338">
        <f t="shared" si="174"/>
        <v>311</v>
      </c>
      <c r="H263" s="1331">
        <f t="shared" si="173"/>
        <v>16.489925768822907</v>
      </c>
    </row>
  </sheetData>
  <mergeCells count="30">
    <mergeCell ref="A230:A231"/>
    <mergeCell ref="B230:B231"/>
    <mergeCell ref="C230:D230"/>
    <mergeCell ref="E230:F230"/>
    <mergeCell ref="G230:H230"/>
    <mergeCell ref="A116:A117"/>
    <mergeCell ref="B116:B117"/>
    <mergeCell ref="C116:D116"/>
    <mergeCell ref="E116:F116"/>
    <mergeCell ref="G116:H116"/>
    <mergeCell ref="A79:A80"/>
    <mergeCell ref="B79:B80"/>
    <mergeCell ref="C79:D79"/>
    <mergeCell ref="E79:F79"/>
    <mergeCell ref="G79:H79"/>
    <mergeCell ref="A42:A43"/>
    <mergeCell ref="B42:B43"/>
    <mergeCell ref="C42:D42"/>
    <mergeCell ref="E42:F42"/>
    <mergeCell ref="G42:H42"/>
    <mergeCell ref="E5:F5"/>
    <mergeCell ref="C5:D5"/>
    <mergeCell ref="G5:H5"/>
    <mergeCell ref="A5:A6"/>
    <mergeCell ref="B5:B6"/>
    <mergeCell ref="A153:A154"/>
    <mergeCell ref="B153:B154"/>
    <mergeCell ref="C153:D153"/>
    <mergeCell ref="E153:F153"/>
    <mergeCell ref="G153:H15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6"/>
  <sheetViews>
    <sheetView topLeftCell="A391" zoomScale="80" zoomScaleNormal="80" workbookViewId="0">
      <selection activeCell="U14" sqref="U14"/>
    </sheetView>
  </sheetViews>
  <sheetFormatPr defaultColWidth="8.85546875" defaultRowHeight="15"/>
  <cols>
    <col min="1" max="1" width="14.5703125" style="227" customWidth="1"/>
    <col min="2" max="2" width="27.85546875" style="229" customWidth="1"/>
    <col min="3" max="9" width="6.5703125" style="227" customWidth="1"/>
    <col min="10" max="16384" width="8.85546875" style="227"/>
  </cols>
  <sheetData>
    <row r="1" spans="1:9">
      <c r="B1" s="228"/>
    </row>
    <row r="2" spans="1:9" ht="15.75">
      <c r="B2" s="225" t="s">
        <v>818</v>
      </c>
      <c r="I2" s="224">
        <v>2013</v>
      </c>
    </row>
    <row r="3" spans="1:9">
      <c r="B3" s="228"/>
    </row>
    <row r="4" spans="1:9">
      <c r="A4" s="230" t="s">
        <v>41</v>
      </c>
      <c r="B4" s="234" t="s">
        <v>817</v>
      </c>
    </row>
    <row r="5" spans="1:9">
      <c r="A5" s="230"/>
      <c r="B5" s="232"/>
      <c r="C5" s="231" t="s">
        <v>810</v>
      </c>
      <c r="D5" s="231" t="s">
        <v>811</v>
      </c>
      <c r="E5" s="231" t="s">
        <v>809</v>
      </c>
      <c r="G5" s="231" t="s">
        <v>810</v>
      </c>
      <c r="H5" s="231" t="s">
        <v>811</v>
      </c>
      <c r="I5" s="231" t="s">
        <v>809</v>
      </c>
    </row>
    <row r="6" spans="1:9">
      <c r="A6" s="230"/>
      <c r="B6" s="232" t="s">
        <v>807</v>
      </c>
      <c r="C6" s="232">
        <f>SUBTOTAL(9,C7:C14)</f>
        <v>176</v>
      </c>
      <c r="D6" s="232">
        <f>SUBTOTAL(9,D7:D14)</f>
        <v>221</v>
      </c>
      <c r="E6" s="232">
        <f>SUM(C6:D6)</f>
        <v>397</v>
      </c>
      <c r="F6" s="232"/>
      <c r="G6" s="253">
        <f>C6/C$6</f>
        <v>1</v>
      </c>
      <c r="H6" s="253">
        <f t="shared" ref="H6:H14" si="0">D6/D$6</f>
        <v>1</v>
      </c>
      <c r="I6" s="253">
        <f t="shared" ref="I6:I14" si="1">E6/E$6</f>
        <v>1</v>
      </c>
    </row>
    <row r="7" spans="1:9">
      <c r="A7" s="230"/>
      <c r="B7" s="229" t="s">
        <v>798</v>
      </c>
      <c r="C7" s="227">
        <f>COUNT(B28:B111)</f>
        <v>84</v>
      </c>
      <c r="D7" s="227">
        <f>COUNT(B206:B290)</f>
        <v>85</v>
      </c>
      <c r="E7" s="227">
        <f t="shared" ref="E7:E14" si="2">SUM(C7:D7)</f>
        <v>169</v>
      </c>
      <c r="G7" s="252">
        <f t="shared" ref="G7:G14" si="3">C7/C$6</f>
        <v>0.47727272727272729</v>
      </c>
      <c r="H7" s="252">
        <f t="shared" si="0"/>
        <v>0.38461538461538464</v>
      </c>
      <c r="I7" s="252">
        <f t="shared" si="1"/>
        <v>0.4256926952141058</v>
      </c>
    </row>
    <row r="8" spans="1:9">
      <c r="A8" s="230"/>
      <c r="B8" s="229" t="s">
        <v>799</v>
      </c>
      <c r="C8" s="227">
        <f>COUNT(B112:B148)</f>
        <v>37</v>
      </c>
      <c r="D8" s="227">
        <f>COUNT(B291:B345)</f>
        <v>55</v>
      </c>
      <c r="E8" s="227">
        <f t="shared" si="2"/>
        <v>92</v>
      </c>
      <c r="G8" s="252">
        <f t="shared" si="3"/>
        <v>0.21022727272727273</v>
      </c>
      <c r="H8" s="252">
        <f t="shared" si="0"/>
        <v>0.24886877828054299</v>
      </c>
      <c r="I8" s="252">
        <f t="shared" si="1"/>
        <v>0.23173803526448364</v>
      </c>
    </row>
    <row r="9" spans="1:9">
      <c r="A9" s="230"/>
      <c r="B9" s="229" t="s">
        <v>800</v>
      </c>
      <c r="C9" s="227">
        <f>COUNT(B149:B153)</f>
        <v>5</v>
      </c>
      <c r="D9" s="227">
        <f>COUNT(B346:B351)</f>
        <v>6</v>
      </c>
      <c r="E9" s="227">
        <f t="shared" si="2"/>
        <v>11</v>
      </c>
      <c r="G9" s="252">
        <f t="shared" si="3"/>
        <v>2.8409090909090908E-2</v>
      </c>
      <c r="H9" s="252">
        <f t="shared" si="0"/>
        <v>2.7149321266968326E-2</v>
      </c>
      <c r="I9" s="252">
        <f t="shared" si="1"/>
        <v>2.7707808564231738E-2</v>
      </c>
    </row>
    <row r="10" spans="1:9">
      <c r="A10" s="230"/>
      <c r="B10" s="229" t="s">
        <v>801</v>
      </c>
      <c r="C10" s="227">
        <f>COUNT(B154:B172)</f>
        <v>19</v>
      </c>
      <c r="D10" s="227">
        <f>COUNT(B352:B373)</f>
        <v>22</v>
      </c>
      <c r="E10" s="227">
        <f t="shared" si="2"/>
        <v>41</v>
      </c>
      <c r="G10" s="252">
        <f t="shared" si="3"/>
        <v>0.10795454545454546</v>
      </c>
      <c r="H10" s="252">
        <f t="shared" si="0"/>
        <v>9.9547511312217188E-2</v>
      </c>
      <c r="I10" s="252">
        <f t="shared" si="1"/>
        <v>0.10327455919395466</v>
      </c>
    </row>
    <row r="11" spans="1:9">
      <c r="A11" s="230"/>
      <c r="B11" s="229" t="s">
        <v>802</v>
      </c>
      <c r="C11" s="227">
        <f>COUNT(B173:B176)</f>
        <v>4</v>
      </c>
      <c r="D11" s="227">
        <f>COUNT(B374:B382)</f>
        <v>9</v>
      </c>
      <c r="E11" s="227">
        <f t="shared" si="2"/>
        <v>13</v>
      </c>
      <c r="G11" s="252">
        <f t="shared" si="3"/>
        <v>2.2727272727272728E-2</v>
      </c>
      <c r="H11" s="252">
        <f t="shared" si="0"/>
        <v>4.072398190045249E-2</v>
      </c>
      <c r="I11" s="252">
        <f t="shared" si="1"/>
        <v>3.2745591939546598E-2</v>
      </c>
    </row>
    <row r="12" spans="1:9">
      <c r="A12" s="230"/>
      <c r="B12" s="229" t="s">
        <v>803</v>
      </c>
      <c r="C12" s="227">
        <f>COUNT(B177:B195)</f>
        <v>19</v>
      </c>
      <c r="D12" s="227">
        <f>COUNT(B383:B407)</f>
        <v>25</v>
      </c>
      <c r="E12" s="227">
        <f t="shared" si="2"/>
        <v>44</v>
      </c>
      <c r="G12" s="252">
        <f t="shared" si="3"/>
        <v>0.10795454545454546</v>
      </c>
      <c r="H12" s="252">
        <f t="shared" si="0"/>
        <v>0.11312217194570136</v>
      </c>
      <c r="I12" s="252">
        <f t="shared" si="1"/>
        <v>0.11083123425692695</v>
      </c>
    </row>
    <row r="13" spans="1:9">
      <c r="A13" s="230"/>
      <c r="B13" s="229" t="s">
        <v>804</v>
      </c>
      <c r="C13" s="227">
        <f>COUNT(B196:B196)</f>
        <v>1</v>
      </c>
      <c r="D13" s="227">
        <f>COUNT(B408:B411)</f>
        <v>4</v>
      </c>
      <c r="E13" s="227">
        <f t="shared" si="2"/>
        <v>5</v>
      </c>
      <c r="G13" s="252">
        <f t="shared" si="3"/>
        <v>5.681818181818182E-3</v>
      </c>
      <c r="H13" s="252">
        <f t="shared" si="0"/>
        <v>1.8099547511312219E-2</v>
      </c>
      <c r="I13" s="252">
        <f t="shared" si="1"/>
        <v>1.2594458438287154E-2</v>
      </c>
    </row>
    <row r="14" spans="1:9">
      <c r="A14" s="230"/>
      <c r="B14" s="229" t="s">
        <v>805</v>
      </c>
      <c r="C14" s="227">
        <f>COUNT(B197:B203)</f>
        <v>7</v>
      </c>
      <c r="D14" s="227">
        <f>COUNT(B412:B426)</f>
        <v>15</v>
      </c>
      <c r="E14" s="227">
        <f t="shared" si="2"/>
        <v>22</v>
      </c>
      <c r="G14" s="252">
        <f t="shared" si="3"/>
        <v>3.9772727272727272E-2</v>
      </c>
      <c r="H14" s="252">
        <f t="shared" si="0"/>
        <v>6.7873303167420809E-2</v>
      </c>
      <c r="I14" s="252">
        <f t="shared" si="1"/>
        <v>5.5415617128463476E-2</v>
      </c>
    </row>
    <row r="15" spans="1:9">
      <c r="A15" s="230"/>
      <c r="B15" s="227"/>
    </row>
    <row r="16" spans="1:9">
      <c r="A16" s="230" t="s">
        <v>43</v>
      </c>
      <c r="B16" s="235" t="s">
        <v>791</v>
      </c>
    </row>
    <row r="17" spans="1:9">
      <c r="A17" s="230"/>
      <c r="B17" s="227"/>
      <c r="C17" s="231" t="s">
        <v>810</v>
      </c>
      <c r="D17" s="231" t="s">
        <v>811</v>
      </c>
      <c r="E17" s="231" t="s">
        <v>809</v>
      </c>
      <c r="G17" s="231" t="s">
        <v>810</v>
      </c>
      <c r="H17" s="231" t="s">
        <v>811</v>
      </c>
      <c r="I17" s="231" t="s">
        <v>809</v>
      </c>
    </row>
    <row r="18" spans="1:9">
      <c r="A18" s="230"/>
      <c r="B18" s="232" t="s">
        <v>807</v>
      </c>
      <c r="C18" s="230">
        <f>SUM(C19,C20,C23)</f>
        <v>176</v>
      </c>
      <c r="D18" s="230">
        <f>SUM(D19,D20,D23)</f>
        <v>221</v>
      </c>
      <c r="E18" s="230">
        <f t="shared" ref="E18:E23" si="4">SUM(C18:D18)</f>
        <v>397</v>
      </c>
      <c r="F18" s="233"/>
      <c r="G18" s="254">
        <f>C18/C$18</f>
        <v>1</v>
      </c>
      <c r="H18" s="254">
        <f t="shared" ref="H18:I18" si="5">D18/D$18</f>
        <v>1</v>
      </c>
      <c r="I18" s="254">
        <f t="shared" si="5"/>
        <v>1</v>
      </c>
    </row>
    <row r="19" spans="1:9">
      <c r="A19" s="230"/>
      <c r="B19" s="236" t="s">
        <v>812</v>
      </c>
      <c r="C19" s="238">
        <f>C7+C8</f>
        <v>121</v>
      </c>
      <c r="D19" s="238">
        <f t="shared" ref="D19" si="6">D7+D8</f>
        <v>140</v>
      </c>
      <c r="E19" s="238">
        <f t="shared" si="4"/>
        <v>261</v>
      </c>
      <c r="F19" s="239"/>
      <c r="G19" s="248">
        <f>C19/C$18</f>
        <v>0.6875</v>
      </c>
      <c r="H19" s="248">
        <f t="shared" ref="H19:H23" si="7">D19/D$18</f>
        <v>0.63348416289592757</v>
      </c>
      <c r="I19" s="248">
        <f t="shared" ref="I19:I23" si="8">E19/E$18</f>
        <v>0.65743073047858946</v>
      </c>
    </row>
    <row r="20" spans="1:9">
      <c r="A20" s="230"/>
      <c r="B20" s="244" t="s">
        <v>815</v>
      </c>
      <c r="C20" s="245">
        <f>SUM(C21:C22)</f>
        <v>47</v>
      </c>
      <c r="D20" s="245">
        <f t="shared" ref="D20" si="9">SUM(D21:D22)</f>
        <v>62</v>
      </c>
      <c r="E20" s="245">
        <f t="shared" si="4"/>
        <v>109</v>
      </c>
      <c r="F20" s="246"/>
      <c r="G20" s="249">
        <f t="shared" ref="G20:G23" si="10">C20/C$18</f>
        <v>0.26704545454545453</v>
      </c>
      <c r="H20" s="249">
        <f t="shared" si="7"/>
        <v>0.28054298642533937</v>
      </c>
      <c r="I20" s="249">
        <f t="shared" si="8"/>
        <v>0.27455919395465994</v>
      </c>
    </row>
    <row r="21" spans="1:9">
      <c r="A21" s="230"/>
      <c r="B21" s="242" t="s">
        <v>814</v>
      </c>
      <c r="C21" s="243">
        <f>C10+C12</f>
        <v>38</v>
      </c>
      <c r="D21" s="243">
        <f t="shared" ref="D21" si="11">D10+D12</f>
        <v>47</v>
      </c>
      <c r="E21" s="243">
        <f t="shared" si="4"/>
        <v>85</v>
      </c>
      <c r="F21" s="243"/>
      <c r="G21" s="250">
        <f t="shared" si="10"/>
        <v>0.21590909090909091</v>
      </c>
      <c r="H21" s="250">
        <f t="shared" si="7"/>
        <v>0.21266968325791855</v>
      </c>
      <c r="I21" s="250">
        <f t="shared" si="8"/>
        <v>0.2141057934508816</v>
      </c>
    </row>
    <row r="22" spans="1:9">
      <c r="A22" s="230"/>
      <c r="B22" s="242" t="s">
        <v>813</v>
      </c>
      <c r="C22" s="243">
        <f>C9+C11</f>
        <v>9</v>
      </c>
      <c r="D22" s="243">
        <f t="shared" ref="D22" si="12">D9+D11</f>
        <v>15</v>
      </c>
      <c r="E22" s="243">
        <f t="shared" si="4"/>
        <v>24</v>
      </c>
      <c r="F22" s="243"/>
      <c r="G22" s="250">
        <f t="shared" si="10"/>
        <v>5.113636363636364E-2</v>
      </c>
      <c r="H22" s="250">
        <f t="shared" si="7"/>
        <v>6.7873303167420809E-2</v>
      </c>
      <c r="I22" s="250">
        <f t="shared" si="8"/>
        <v>6.0453400503778336E-2</v>
      </c>
    </row>
    <row r="23" spans="1:9">
      <c r="A23" s="230"/>
      <c r="B23" s="237" t="s">
        <v>806</v>
      </c>
      <c r="C23" s="240">
        <f>C13+C14</f>
        <v>8</v>
      </c>
      <c r="D23" s="240">
        <f t="shared" ref="D23" si="13">D13+D14</f>
        <v>19</v>
      </c>
      <c r="E23" s="240">
        <f t="shared" si="4"/>
        <v>27</v>
      </c>
      <c r="F23" s="241"/>
      <c r="G23" s="251">
        <f t="shared" si="10"/>
        <v>4.5454545454545456E-2</v>
      </c>
      <c r="H23" s="251">
        <f t="shared" si="7"/>
        <v>8.5972850678733032E-2</v>
      </c>
      <c r="I23" s="251">
        <f t="shared" si="8"/>
        <v>6.8010075566750636E-2</v>
      </c>
    </row>
    <row r="24" spans="1:9">
      <c r="A24" s="230"/>
      <c r="B24" s="227"/>
    </row>
    <row r="25" spans="1:9">
      <c r="A25" s="230" t="s">
        <v>45</v>
      </c>
      <c r="B25" s="235" t="s">
        <v>816</v>
      </c>
    </row>
    <row r="26" spans="1:9">
      <c r="B26" s="227"/>
    </row>
    <row r="27" spans="1:9">
      <c r="A27" s="247" t="s">
        <v>797</v>
      </c>
      <c r="B27" s="231" t="s">
        <v>243</v>
      </c>
      <c r="C27" s="226" t="s">
        <v>794</v>
      </c>
      <c r="D27" s="226" t="s">
        <v>795</v>
      </c>
      <c r="E27" s="226" t="s">
        <v>796</v>
      </c>
    </row>
    <row r="28" spans="1:9">
      <c r="B28" s="228">
        <v>1</v>
      </c>
      <c r="C28" s="227">
        <v>0</v>
      </c>
      <c r="D28" s="227">
        <v>0</v>
      </c>
      <c r="E28" s="227">
        <v>0</v>
      </c>
    </row>
    <row r="29" spans="1:9">
      <c r="B29" s="228">
        <v>2</v>
      </c>
      <c r="C29" s="227">
        <v>0</v>
      </c>
      <c r="D29" s="227">
        <v>0</v>
      </c>
      <c r="E29" s="227">
        <v>0</v>
      </c>
    </row>
    <row r="30" spans="1:9">
      <c r="B30" s="228">
        <v>3</v>
      </c>
      <c r="C30" s="227">
        <v>0</v>
      </c>
      <c r="D30" s="227">
        <v>0</v>
      </c>
      <c r="E30" s="227">
        <v>0</v>
      </c>
    </row>
    <row r="31" spans="1:9">
      <c r="B31" s="228">
        <v>4</v>
      </c>
      <c r="C31" s="227">
        <v>0</v>
      </c>
      <c r="D31" s="227">
        <v>0</v>
      </c>
      <c r="E31" s="227">
        <v>0</v>
      </c>
    </row>
    <row r="32" spans="1:9">
      <c r="B32" s="228">
        <v>5</v>
      </c>
      <c r="C32" s="227">
        <v>0</v>
      </c>
      <c r="D32" s="227">
        <v>0</v>
      </c>
      <c r="E32" s="227">
        <v>0</v>
      </c>
    </row>
    <row r="33" spans="2:5">
      <c r="B33" s="228">
        <v>6</v>
      </c>
      <c r="C33" s="227">
        <v>0</v>
      </c>
      <c r="D33" s="227">
        <v>0</v>
      </c>
      <c r="E33" s="227">
        <v>0</v>
      </c>
    </row>
    <row r="34" spans="2:5">
      <c r="B34" s="228">
        <v>7</v>
      </c>
      <c r="C34" s="227">
        <v>0</v>
      </c>
      <c r="D34" s="227">
        <v>0</v>
      </c>
      <c r="E34" s="227">
        <v>0</v>
      </c>
    </row>
    <row r="35" spans="2:5">
      <c r="B35" s="228">
        <v>8</v>
      </c>
      <c r="C35" s="227">
        <v>0</v>
      </c>
      <c r="D35" s="227">
        <v>0</v>
      </c>
      <c r="E35" s="227">
        <v>0</v>
      </c>
    </row>
    <row r="36" spans="2:5">
      <c r="B36" s="228">
        <v>9</v>
      </c>
      <c r="C36" s="227">
        <v>0</v>
      </c>
      <c r="D36" s="227">
        <v>0</v>
      </c>
      <c r="E36" s="227">
        <v>0</v>
      </c>
    </row>
    <row r="37" spans="2:5">
      <c r="B37" s="228">
        <v>10</v>
      </c>
      <c r="C37" s="227">
        <v>0</v>
      </c>
      <c r="D37" s="227">
        <v>0</v>
      </c>
      <c r="E37" s="227">
        <v>0</v>
      </c>
    </row>
    <row r="38" spans="2:5">
      <c r="B38" s="228">
        <v>11</v>
      </c>
      <c r="C38" s="227">
        <v>0</v>
      </c>
      <c r="D38" s="227">
        <v>0</v>
      </c>
      <c r="E38" s="227">
        <v>0</v>
      </c>
    </row>
    <row r="39" spans="2:5">
      <c r="B39" s="228">
        <v>12</v>
      </c>
      <c r="C39" s="227">
        <v>0</v>
      </c>
      <c r="D39" s="227">
        <v>0</v>
      </c>
      <c r="E39" s="227">
        <v>0</v>
      </c>
    </row>
    <row r="40" spans="2:5">
      <c r="B40" s="228">
        <v>13</v>
      </c>
      <c r="C40" s="227">
        <v>0</v>
      </c>
      <c r="D40" s="227">
        <v>0</v>
      </c>
      <c r="E40" s="227">
        <v>0</v>
      </c>
    </row>
    <row r="41" spans="2:5">
      <c r="B41" s="228">
        <v>14</v>
      </c>
      <c r="C41" s="227">
        <v>0</v>
      </c>
      <c r="D41" s="227">
        <v>0</v>
      </c>
      <c r="E41" s="227">
        <v>0</v>
      </c>
    </row>
    <row r="42" spans="2:5">
      <c r="B42" s="228">
        <v>15</v>
      </c>
      <c r="C42" s="227">
        <v>0</v>
      </c>
      <c r="D42" s="227">
        <v>0</v>
      </c>
      <c r="E42" s="227">
        <v>0</v>
      </c>
    </row>
    <row r="43" spans="2:5">
      <c r="B43" s="228">
        <v>16</v>
      </c>
      <c r="C43" s="227">
        <v>0</v>
      </c>
      <c r="D43" s="227">
        <v>0</v>
      </c>
      <c r="E43" s="227">
        <v>0</v>
      </c>
    </row>
    <row r="44" spans="2:5">
      <c r="B44" s="228">
        <v>17</v>
      </c>
      <c r="C44" s="227">
        <v>0</v>
      </c>
      <c r="D44" s="227">
        <v>0</v>
      </c>
      <c r="E44" s="227">
        <v>0</v>
      </c>
    </row>
    <row r="45" spans="2:5">
      <c r="B45" s="228">
        <v>18</v>
      </c>
      <c r="C45" s="227">
        <v>0</v>
      </c>
      <c r="D45" s="227">
        <v>0</v>
      </c>
      <c r="E45" s="227">
        <v>0</v>
      </c>
    </row>
    <row r="46" spans="2:5">
      <c r="B46" s="228">
        <v>19</v>
      </c>
      <c r="C46" s="227">
        <v>0</v>
      </c>
      <c r="D46" s="227">
        <v>0</v>
      </c>
      <c r="E46" s="227">
        <v>0</v>
      </c>
    </row>
    <row r="47" spans="2:5">
      <c r="B47" s="228">
        <v>20</v>
      </c>
      <c r="C47" s="227">
        <v>0</v>
      </c>
      <c r="D47" s="227">
        <v>0</v>
      </c>
      <c r="E47" s="227">
        <v>0</v>
      </c>
    </row>
    <row r="48" spans="2:5">
      <c r="B48" s="228">
        <v>21</v>
      </c>
      <c r="C48" s="227">
        <v>0</v>
      </c>
      <c r="D48" s="227">
        <v>0</v>
      </c>
      <c r="E48" s="227">
        <v>0</v>
      </c>
    </row>
    <row r="49" spans="2:5">
      <c r="B49" s="228">
        <v>22</v>
      </c>
      <c r="C49" s="227">
        <v>0</v>
      </c>
      <c r="D49" s="227">
        <v>0</v>
      </c>
      <c r="E49" s="227">
        <v>0</v>
      </c>
    </row>
    <row r="50" spans="2:5">
      <c r="B50" s="228">
        <v>23</v>
      </c>
      <c r="C50" s="227">
        <v>0</v>
      </c>
      <c r="D50" s="227">
        <v>0</v>
      </c>
      <c r="E50" s="227">
        <v>0</v>
      </c>
    </row>
    <row r="51" spans="2:5">
      <c r="B51" s="228">
        <v>24</v>
      </c>
      <c r="C51" s="227">
        <v>0</v>
      </c>
      <c r="D51" s="227">
        <v>0</v>
      </c>
      <c r="E51" s="227">
        <v>0</v>
      </c>
    </row>
    <row r="52" spans="2:5">
      <c r="B52" s="228">
        <v>25</v>
      </c>
      <c r="C52" s="227">
        <v>0</v>
      </c>
      <c r="D52" s="227">
        <v>0</v>
      </c>
      <c r="E52" s="227">
        <v>0</v>
      </c>
    </row>
    <row r="53" spans="2:5">
      <c r="B53" s="228">
        <v>26</v>
      </c>
      <c r="C53" s="227">
        <v>0</v>
      </c>
      <c r="D53" s="227">
        <v>0</v>
      </c>
      <c r="E53" s="227">
        <v>0</v>
      </c>
    </row>
    <row r="54" spans="2:5">
      <c r="B54" s="228">
        <v>27</v>
      </c>
      <c r="C54" s="227">
        <v>0</v>
      </c>
      <c r="D54" s="227">
        <v>0</v>
      </c>
      <c r="E54" s="227">
        <v>0</v>
      </c>
    </row>
    <row r="55" spans="2:5">
      <c r="B55" s="228">
        <v>28</v>
      </c>
      <c r="C55" s="227">
        <v>0</v>
      </c>
      <c r="D55" s="227">
        <v>0</v>
      </c>
      <c r="E55" s="227">
        <v>0</v>
      </c>
    </row>
    <row r="56" spans="2:5">
      <c r="B56" s="228">
        <v>29</v>
      </c>
      <c r="C56" s="227">
        <v>0</v>
      </c>
      <c r="D56" s="227">
        <v>0</v>
      </c>
      <c r="E56" s="227">
        <v>0</v>
      </c>
    </row>
    <row r="57" spans="2:5">
      <c r="B57" s="228">
        <v>30</v>
      </c>
      <c r="C57" s="227">
        <v>0</v>
      </c>
      <c r="D57" s="227">
        <v>0</v>
      </c>
      <c r="E57" s="227">
        <v>0</v>
      </c>
    </row>
    <row r="58" spans="2:5">
      <c r="B58" s="228">
        <v>31</v>
      </c>
      <c r="C58" s="227">
        <v>0</v>
      </c>
      <c r="D58" s="227">
        <v>0</v>
      </c>
      <c r="E58" s="227">
        <v>0</v>
      </c>
    </row>
    <row r="59" spans="2:5">
      <c r="B59" s="228">
        <v>32</v>
      </c>
      <c r="C59" s="227">
        <v>0</v>
      </c>
      <c r="D59" s="227">
        <v>0</v>
      </c>
      <c r="E59" s="227">
        <v>0</v>
      </c>
    </row>
    <row r="60" spans="2:5">
      <c r="B60" s="228">
        <v>33</v>
      </c>
      <c r="C60" s="227">
        <v>0</v>
      </c>
      <c r="D60" s="227">
        <v>0</v>
      </c>
      <c r="E60" s="227">
        <v>0</v>
      </c>
    </row>
    <row r="61" spans="2:5">
      <c r="B61" s="228">
        <v>34</v>
      </c>
      <c r="C61" s="227">
        <v>0</v>
      </c>
      <c r="D61" s="227">
        <v>0</v>
      </c>
      <c r="E61" s="227">
        <v>0</v>
      </c>
    </row>
    <row r="62" spans="2:5">
      <c r="B62" s="228">
        <v>35</v>
      </c>
      <c r="C62" s="227">
        <v>0</v>
      </c>
      <c r="D62" s="227">
        <v>0</v>
      </c>
      <c r="E62" s="227">
        <v>0</v>
      </c>
    </row>
    <row r="63" spans="2:5">
      <c r="B63" s="228">
        <v>36</v>
      </c>
      <c r="C63" s="227">
        <v>0</v>
      </c>
      <c r="D63" s="227">
        <v>0</v>
      </c>
      <c r="E63" s="227">
        <v>0</v>
      </c>
    </row>
    <row r="64" spans="2:5">
      <c r="B64" s="228">
        <v>37</v>
      </c>
      <c r="C64" s="227">
        <v>0</v>
      </c>
      <c r="D64" s="227">
        <v>0</v>
      </c>
      <c r="E64" s="227">
        <v>0</v>
      </c>
    </row>
    <row r="65" spans="2:5">
      <c r="B65" s="228">
        <v>38</v>
      </c>
      <c r="C65" s="227">
        <v>0</v>
      </c>
      <c r="D65" s="227">
        <v>0</v>
      </c>
      <c r="E65" s="227">
        <v>0</v>
      </c>
    </row>
    <row r="66" spans="2:5">
      <c r="B66" s="228">
        <v>39</v>
      </c>
      <c r="C66" s="227">
        <v>0</v>
      </c>
      <c r="D66" s="227">
        <v>0</v>
      </c>
      <c r="E66" s="227">
        <v>0</v>
      </c>
    </row>
    <row r="67" spans="2:5">
      <c r="B67" s="228">
        <v>40</v>
      </c>
      <c r="C67" s="227">
        <v>0</v>
      </c>
      <c r="D67" s="227">
        <v>0</v>
      </c>
      <c r="E67" s="227">
        <v>0</v>
      </c>
    </row>
    <row r="68" spans="2:5">
      <c r="B68" s="228">
        <v>41</v>
      </c>
      <c r="C68" s="227">
        <v>0</v>
      </c>
      <c r="D68" s="227">
        <v>0</v>
      </c>
      <c r="E68" s="227">
        <v>0</v>
      </c>
    </row>
    <row r="69" spans="2:5">
      <c r="B69" s="228">
        <v>42</v>
      </c>
      <c r="C69" s="227">
        <v>0</v>
      </c>
      <c r="D69" s="227">
        <v>0</v>
      </c>
      <c r="E69" s="227">
        <v>0</v>
      </c>
    </row>
    <row r="70" spans="2:5">
      <c r="B70" s="228">
        <v>43</v>
      </c>
      <c r="C70" s="227">
        <v>0</v>
      </c>
      <c r="D70" s="227">
        <v>0</v>
      </c>
      <c r="E70" s="227">
        <v>0</v>
      </c>
    </row>
    <row r="71" spans="2:5">
      <c r="B71" s="228">
        <v>44</v>
      </c>
      <c r="C71" s="227">
        <v>0</v>
      </c>
      <c r="D71" s="227">
        <v>0</v>
      </c>
      <c r="E71" s="227">
        <v>0</v>
      </c>
    </row>
    <row r="72" spans="2:5">
      <c r="B72" s="228">
        <v>45</v>
      </c>
      <c r="C72" s="227">
        <v>0</v>
      </c>
      <c r="D72" s="227">
        <v>0</v>
      </c>
      <c r="E72" s="227">
        <v>0</v>
      </c>
    </row>
    <row r="73" spans="2:5">
      <c r="B73" s="228">
        <v>46</v>
      </c>
      <c r="C73" s="227">
        <v>0</v>
      </c>
      <c r="D73" s="227">
        <v>0</v>
      </c>
      <c r="E73" s="227">
        <v>0</v>
      </c>
    </row>
    <row r="74" spans="2:5">
      <c r="B74" s="228">
        <v>47</v>
      </c>
      <c r="C74" s="227">
        <v>0</v>
      </c>
      <c r="D74" s="227">
        <v>0</v>
      </c>
      <c r="E74" s="227">
        <v>0</v>
      </c>
    </row>
    <row r="75" spans="2:5">
      <c r="B75" s="228">
        <v>48</v>
      </c>
      <c r="C75" s="227">
        <v>0</v>
      </c>
      <c r="D75" s="227">
        <v>0</v>
      </c>
      <c r="E75" s="227">
        <v>0</v>
      </c>
    </row>
    <row r="76" spans="2:5">
      <c r="B76" s="228">
        <v>49</v>
      </c>
      <c r="C76" s="227">
        <v>0</v>
      </c>
      <c r="D76" s="227">
        <v>0</v>
      </c>
      <c r="E76" s="227">
        <v>0</v>
      </c>
    </row>
    <row r="77" spans="2:5">
      <c r="B77" s="228">
        <v>50</v>
      </c>
      <c r="C77" s="227">
        <v>0</v>
      </c>
      <c r="D77" s="227">
        <v>0</v>
      </c>
      <c r="E77" s="227">
        <v>0</v>
      </c>
    </row>
    <row r="78" spans="2:5">
      <c r="B78" s="228">
        <v>51</v>
      </c>
      <c r="C78" s="227">
        <v>0</v>
      </c>
      <c r="D78" s="227">
        <v>0</v>
      </c>
      <c r="E78" s="227">
        <v>0</v>
      </c>
    </row>
    <row r="79" spans="2:5">
      <c r="B79" s="228">
        <v>52</v>
      </c>
      <c r="C79" s="227">
        <v>0</v>
      </c>
      <c r="D79" s="227">
        <v>0</v>
      </c>
      <c r="E79" s="227">
        <v>0</v>
      </c>
    </row>
    <row r="80" spans="2:5">
      <c r="B80" s="228">
        <v>53</v>
      </c>
      <c r="C80" s="227">
        <v>0</v>
      </c>
      <c r="D80" s="227">
        <v>0</v>
      </c>
      <c r="E80" s="227">
        <v>0</v>
      </c>
    </row>
    <row r="81" spans="2:5">
      <c r="B81" s="228">
        <v>54</v>
      </c>
      <c r="C81" s="227">
        <v>0</v>
      </c>
      <c r="D81" s="227">
        <v>0</v>
      </c>
      <c r="E81" s="227">
        <v>0</v>
      </c>
    </row>
    <row r="82" spans="2:5">
      <c r="B82" s="228">
        <v>55</v>
      </c>
      <c r="C82" s="227">
        <v>0</v>
      </c>
      <c r="D82" s="227">
        <v>0</v>
      </c>
      <c r="E82" s="227">
        <v>0</v>
      </c>
    </row>
    <row r="83" spans="2:5">
      <c r="B83" s="228">
        <v>56</v>
      </c>
      <c r="C83" s="227">
        <v>0</v>
      </c>
      <c r="D83" s="227">
        <v>0</v>
      </c>
      <c r="E83" s="227">
        <v>0</v>
      </c>
    </row>
    <row r="84" spans="2:5">
      <c r="B84" s="228">
        <v>57</v>
      </c>
      <c r="C84" s="227">
        <v>0</v>
      </c>
      <c r="D84" s="227">
        <v>0</v>
      </c>
      <c r="E84" s="227">
        <v>0</v>
      </c>
    </row>
    <row r="85" spans="2:5">
      <c r="B85" s="228">
        <v>58</v>
      </c>
      <c r="C85" s="227">
        <v>0</v>
      </c>
      <c r="D85" s="227">
        <v>0</v>
      </c>
      <c r="E85" s="227">
        <v>0</v>
      </c>
    </row>
    <row r="86" spans="2:5">
      <c r="B86" s="228">
        <v>59</v>
      </c>
      <c r="C86" s="227">
        <v>0</v>
      </c>
      <c r="D86" s="227">
        <v>0</v>
      </c>
      <c r="E86" s="227">
        <v>0</v>
      </c>
    </row>
    <row r="87" spans="2:5">
      <c r="B87" s="228">
        <v>60</v>
      </c>
      <c r="C87" s="227">
        <v>0</v>
      </c>
      <c r="D87" s="227">
        <v>0</v>
      </c>
      <c r="E87" s="227">
        <v>0</v>
      </c>
    </row>
    <row r="88" spans="2:5">
      <c r="B88" s="228">
        <v>61</v>
      </c>
      <c r="C88" s="227">
        <v>0</v>
      </c>
      <c r="D88" s="227">
        <v>0</v>
      </c>
      <c r="E88" s="227">
        <v>0</v>
      </c>
    </row>
    <row r="89" spans="2:5">
      <c r="B89" s="228">
        <v>62</v>
      </c>
      <c r="C89" s="227">
        <v>0</v>
      </c>
      <c r="D89" s="227">
        <v>0</v>
      </c>
      <c r="E89" s="227">
        <v>0</v>
      </c>
    </row>
    <row r="90" spans="2:5">
      <c r="B90" s="228">
        <v>63</v>
      </c>
      <c r="C90" s="227">
        <v>0</v>
      </c>
      <c r="D90" s="227">
        <v>0</v>
      </c>
      <c r="E90" s="227">
        <v>0</v>
      </c>
    </row>
    <row r="91" spans="2:5">
      <c r="B91" s="228">
        <v>64</v>
      </c>
      <c r="C91" s="227">
        <v>0</v>
      </c>
      <c r="D91" s="227">
        <v>0</v>
      </c>
      <c r="E91" s="227">
        <v>0</v>
      </c>
    </row>
    <row r="92" spans="2:5">
      <c r="B92" s="228">
        <v>65</v>
      </c>
      <c r="C92" s="227">
        <v>0</v>
      </c>
      <c r="D92" s="227">
        <v>0</v>
      </c>
      <c r="E92" s="227">
        <v>0</v>
      </c>
    </row>
    <row r="93" spans="2:5">
      <c r="B93" s="228">
        <v>66</v>
      </c>
      <c r="C93" s="227">
        <v>0</v>
      </c>
      <c r="D93" s="227">
        <v>0</v>
      </c>
      <c r="E93" s="227">
        <v>0</v>
      </c>
    </row>
    <row r="94" spans="2:5">
      <c r="B94" s="228">
        <v>67</v>
      </c>
      <c r="C94" s="227">
        <v>0</v>
      </c>
      <c r="D94" s="227">
        <v>0</v>
      </c>
      <c r="E94" s="227">
        <v>0</v>
      </c>
    </row>
    <row r="95" spans="2:5">
      <c r="B95" s="228">
        <v>68</v>
      </c>
      <c r="C95" s="227">
        <v>0</v>
      </c>
      <c r="D95" s="227">
        <v>0</v>
      </c>
      <c r="E95" s="227">
        <v>0</v>
      </c>
    </row>
    <row r="96" spans="2:5">
      <c r="B96" s="228">
        <v>69</v>
      </c>
      <c r="C96" s="227">
        <v>0</v>
      </c>
      <c r="D96" s="227">
        <v>0</v>
      </c>
      <c r="E96" s="227">
        <v>0</v>
      </c>
    </row>
    <row r="97" spans="2:5">
      <c r="B97" s="228">
        <v>70</v>
      </c>
      <c r="C97" s="227">
        <v>0</v>
      </c>
      <c r="D97" s="227">
        <v>0</v>
      </c>
      <c r="E97" s="227">
        <v>0</v>
      </c>
    </row>
    <row r="98" spans="2:5">
      <c r="B98" s="228">
        <v>71</v>
      </c>
      <c r="C98" s="227">
        <v>0</v>
      </c>
      <c r="D98" s="227">
        <v>0</v>
      </c>
      <c r="E98" s="227">
        <v>0</v>
      </c>
    </row>
    <row r="99" spans="2:5">
      <c r="B99" s="228">
        <v>72</v>
      </c>
      <c r="C99" s="227">
        <v>0</v>
      </c>
      <c r="D99" s="227">
        <v>0</v>
      </c>
      <c r="E99" s="227">
        <v>0</v>
      </c>
    </row>
    <row r="100" spans="2:5">
      <c r="B100" s="228">
        <v>73</v>
      </c>
      <c r="C100" s="227">
        <v>0</v>
      </c>
      <c r="D100" s="227">
        <v>0</v>
      </c>
      <c r="E100" s="227">
        <v>0</v>
      </c>
    </row>
    <row r="101" spans="2:5">
      <c r="B101" s="228">
        <v>74</v>
      </c>
      <c r="C101" s="227">
        <v>0</v>
      </c>
      <c r="D101" s="227">
        <v>0</v>
      </c>
      <c r="E101" s="227">
        <v>0</v>
      </c>
    </row>
    <row r="102" spans="2:5">
      <c r="B102" s="228">
        <v>75</v>
      </c>
      <c r="C102" s="227">
        <v>0</v>
      </c>
      <c r="D102" s="227">
        <v>0</v>
      </c>
      <c r="E102" s="227">
        <v>0</v>
      </c>
    </row>
    <row r="103" spans="2:5">
      <c r="B103" s="228">
        <v>76</v>
      </c>
      <c r="C103" s="227">
        <v>0</v>
      </c>
      <c r="D103" s="227">
        <v>0</v>
      </c>
      <c r="E103" s="227">
        <v>0</v>
      </c>
    </row>
    <row r="104" spans="2:5">
      <c r="B104" s="228">
        <v>77</v>
      </c>
      <c r="C104" s="227">
        <v>0</v>
      </c>
      <c r="D104" s="227">
        <v>0</v>
      </c>
      <c r="E104" s="227">
        <v>0</v>
      </c>
    </row>
    <row r="105" spans="2:5">
      <c r="B105" s="228">
        <v>78</v>
      </c>
      <c r="C105" s="227">
        <v>0</v>
      </c>
      <c r="D105" s="227">
        <v>0</v>
      </c>
      <c r="E105" s="227">
        <v>0</v>
      </c>
    </row>
    <row r="106" spans="2:5">
      <c r="B106" s="228">
        <v>79</v>
      </c>
      <c r="C106" s="227">
        <v>0</v>
      </c>
      <c r="D106" s="227">
        <v>0</v>
      </c>
      <c r="E106" s="227">
        <v>0</v>
      </c>
    </row>
    <row r="107" spans="2:5">
      <c r="B107" s="228">
        <v>80</v>
      </c>
      <c r="C107" s="227">
        <v>0</v>
      </c>
      <c r="D107" s="227">
        <v>0</v>
      </c>
      <c r="E107" s="227">
        <v>0</v>
      </c>
    </row>
    <row r="108" spans="2:5">
      <c r="B108" s="228">
        <v>81</v>
      </c>
      <c r="C108" s="227">
        <v>0</v>
      </c>
      <c r="D108" s="227">
        <v>0</v>
      </c>
      <c r="E108" s="227">
        <v>0</v>
      </c>
    </row>
    <row r="109" spans="2:5">
      <c r="B109" s="228">
        <v>82</v>
      </c>
      <c r="C109" s="227">
        <v>0</v>
      </c>
      <c r="D109" s="227">
        <v>0</v>
      </c>
      <c r="E109" s="227">
        <v>0</v>
      </c>
    </row>
    <row r="110" spans="2:5">
      <c r="B110" s="228">
        <v>83</v>
      </c>
      <c r="C110" s="227">
        <v>0</v>
      </c>
      <c r="D110" s="227">
        <v>0</v>
      </c>
      <c r="E110" s="227">
        <v>0</v>
      </c>
    </row>
    <row r="111" spans="2:5">
      <c r="B111" s="228">
        <v>84</v>
      </c>
      <c r="C111" s="227">
        <v>0</v>
      </c>
      <c r="D111" s="227">
        <v>0</v>
      </c>
      <c r="E111" s="227">
        <v>0</v>
      </c>
    </row>
    <row r="112" spans="2:5">
      <c r="B112" s="228">
        <v>85</v>
      </c>
      <c r="C112" s="227">
        <v>1</v>
      </c>
      <c r="D112" s="227">
        <v>0</v>
      </c>
      <c r="E112" s="227">
        <v>0</v>
      </c>
    </row>
    <row r="113" spans="2:5">
      <c r="B113" s="228">
        <v>86</v>
      </c>
      <c r="C113" s="227">
        <v>1</v>
      </c>
      <c r="D113" s="227">
        <v>0</v>
      </c>
      <c r="E113" s="227">
        <v>0</v>
      </c>
    </row>
    <row r="114" spans="2:5">
      <c r="B114" s="228">
        <v>87</v>
      </c>
      <c r="C114" s="227">
        <v>1</v>
      </c>
      <c r="D114" s="227">
        <v>0</v>
      </c>
      <c r="E114" s="227">
        <v>0</v>
      </c>
    </row>
    <row r="115" spans="2:5">
      <c r="B115" s="228">
        <v>88</v>
      </c>
      <c r="C115" s="227">
        <v>1</v>
      </c>
      <c r="D115" s="227">
        <v>0</v>
      </c>
      <c r="E115" s="227">
        <v>0</v>
      </c>
    </row>
    <row r="116" spans="2:5">
      <c r="B116" s="228">
        <v>89</v>
      </c>
      <c r="C116" s="227">
        <v>1</v>
      </c>
      <c r="D116" s="227">
        <v>0</v>
      </c>
      <c r="E116" s="227">
        <v>0</v>
      </c>
    </row>
    <row r="117" spans="2:5">
      <c r="B117" s="228">
        <v>90</v>
      </c>
      <c r="C117" s="227">
        <v>1</v>
      </c>
      <c r="D117" s="227">
        <v>0</v>
      </c>
      <c r="E117" s="227">
        <v>0</v>
      </c>
    </row>
    <row r="118" spans="2:5">
      <c r="B118" s="228">
        <v>91</v>
      </c>
      <c r="C118" s="227">
        <v>1</v>
      </c>
      <c r="D118" s="227">
        <v>0</v>
      </c>
      <c r="E118" s="227">
        <v>0</v>
      </c>
    </row>
    <row r="119" spans="2:5">
      <c r="B119" s="228">
        <v>92</v>
      </c>
      <c r="C119" s="227">
        <v>1</v>
      </c>
      <c r="D119" s="227">
        <v>0</v>
      </c>
      <c r="E119" s="227">
        <v>0</v>
      </c>
    </row>
    <row r="120" spans="2:5">
      <c r="B120" s="228">
        <v>93</v>
      </c>
      <c r="C120" s="227">
        <v>1</v>
      </c>
      <c r="D120" s="227">
        <v>0</v>
      </c>
      <c r="E120" s="227">
        <v>0</v>
      </c>
    </row>
    <row r="121" spans="2:5">
      <c r="B121" s="228">
        <v>94</v>
      </c>
      <c r="C121" s="227">
        <v>1</v>
      </c>
      <c r="D121" s="227">
        <v>0</v>
      </c>
      <c r="E121" s="227">
        <v>0</v>
      </c>
    </row>
    <row r="122" spans="2:5">
      <c r="B122" s="228">
        <v>95</v>
      </c>
      <c r="C122" s="227">
        <v>1</v>
      </c>
      <c r="D122" s="227">
        <v>0</v>
      </c>
      <c r="E122" s="227">
        <v>0</v>
      </c>
    </row>
    <row r="123" spans="2:5">
      <c r="B123" s="228">
        <v>96</v>
      </c>
      <c r="C123" s="227">
        <v>1</v>
      </c>
      <c r="D123" s="227">
        <v>0</v>
      </c>
      <c r="E123" s="227">
        <v>0</v>
      </c>
    </row>
    <row r="124" spans="2:5">
      <c r="B124" s="228">
        <v>97</v>
      </c>
      <c r="C124" s="227">
        <v>1</v>
      </c>
      <c r="D124" s="227">
        <v>0</v>
      </c>
      <c r="E124" s="227">
        <v>0</v>
      </c>
    </row>
    <row r="125" spans="2:5">
      <c r="B125" s="228">
        <v>98</v>
      </c>
      <c r="C125" s="227">
        <v>1</v>
      </c>
      <c r="D125" s="227">
        <v>0</v>
      </c>
      <c r="E125" s="227">
        <v>0</v>
      </c>
    </row>
    <row r="126" spans="2:5">
      <c r="B126" s="228">
        <v>99</v>
      </c>
      <c r="C126" s="227">
        <v>1</v>
      </c>
      <c r="D126" s="227">
        <v>0</v>
      </c>
      <c r="E126" s="227">
        <v>0</v>
      </c>
    </row>
    <row r="127" spans="2:5">
      <c r="B127" s="228">
        <v>100</v>
      </c>
      <c r="C127" s="227">
        <v>1</v>
      </c>
      <c r="D127" s="227">
        <v>0</v>
      </c>
      <c r="E127" s="227">
        <v>0</v>
      </c>
    </row>
    <row r="128" spans="2:5">
      <c r="B128" s="228">
        <v>101</v>
      </c>
      <c r="C128" s="227">
        <v>1</v>
      </c>
      <c r="D128" s="227">
        <v>0</v>
      </c>
      <c r="E128" s="227">
        <v>0</v>
      </c>
    </row>
    <row r="129" spans="2:5">
      <c r="B129" s="228">
        <v>102</v>
      </c>
      <c r="C129" s="227">
        <v>1</v>
      </c>
      <c r="D129" s="227">
        <v>0</v>
      </c>
      <c r="E129" s="227">
        <v>0</v>
      </c>
    </row>
    <row r="130" spans="2:5">
      <c r="B130" s="228">
        <v>103</v>
      </c>
      <c r="C130" s="227">
        <v>1</v>
      </c>
      <c r="D130" s="227">
        <v>0</v>
      </c>
      <c r="E130" s="227">
        <v>0</v>
      </c>
    </row>
    <row r="131" spans="2:5">
      <c r="B131" s="228">
        <v>104</v>
      </c>
      <c r="C131" s="227">
        <v>1</v>
      </c>
      <c r="D131" s="227">
        <v>0</v>
      </c>
      <c r="E131" s="227">
        <v>0</v>
      </c>
    </row>
    <row r="132" spans="2:5">
      <c r="B132" s="228">
        <v>105</v>
      </c>
      <c r="C132" s="227">
        <v>1</v>
      </c>
      <c r="D132" s="227">
        <v>0</v>
      </c>
      <c r="E132" s="227">
        <v>0</v>
      </c>
    </row>
    <row r="133" spans="2:5">
      <c r="B133" s="228">
        <v>106</v>
      </c>
      <c r="C133" s="227">
        <v>1</v>
      </c>
      <c r="D133" s="227">
        <v>0</v>
      </c>
      <c r="E133" s="227">
        <v>0</v>
      </c>
    </row>
    <row r="134" spans="2:5">
      <c r="B134" s="228">
        <v>107</v>
      </c>
      <c r="C134" s="227">
        <v>1</v>
      </c>
      <c r="D134" s="227">
        <v>0</v>
      </c>
      <c r="E134" s="227">
        <v>0</v>
      </c>
    </row>
    <row r="135" spans="2:5">
      <c r="B135" s="228">
        <v>108</v>
      </c>
      <c r="C135" s="227">
        <v>1</v>
      </c>
      <c r="D135" s="227">
        <v>0</v>
      </c>
      <c r="E135" s="227">
        <v>0</v>
      </c>
    </row>
    <row r="136" spans="2:5">
      <c r="B136" s="228">
        <v>109</v>
      </c>
      <c r="C136" s="227">
        <v>1</v>
      </c>
      <c r="D136" s="227">
        <v>0</v>
      </c>
      <c r="E136" s="227">
        <v>0</v>
      </c>
    </row>
    <row r="137" spans="2:5">
      <c r="B137" s="228">
        <v>110</v>
      </c>
      <c r="C137" s="227">
        <v>1</v>
      </c>
      <c r="D137" s="227">
        <v>0</v>
      </c>
      <c r="E137" s="227">
        <v>0</v>
      </c>
    </row>
    <row r="138" spans="2:5">
      <c r="B138" s="228">
        <v>111</v>
      </c>
      <c r="C138" s="227">
        <v>1</v>
      </c>
      <c r="D138" s="227">
        <v>0</v>
      </c>
      <c r="E138" s="227">
        <v>0</v>
      </c>
    </row>
    <row r="139" spans="2:5">
      <c r="B139" s="228">
        <v>112</v>
      </c>
      <c r="C139" s="227">
        <v>1</v>
      </c>
      <c r="D139" s="227">
        <v>0</v>
      </c>
      <c r="E139" s="227">
        <v>0</v>
      </c>
    </row>
    <row r="140" spans="2:5">
      <c r="B140" s="228">
        <v>113</v>
      </c>
      <c r="C140" s="227">
        <v>1</v>
      </c>
      <c r="D140" s="227">
        <v>0</v>
      </c>
      <c r="E140" s="227">
        <v>0</v>
      </c>
    </row>
    <row r="141" spans="2:5">
      <c r="B141" s="228">
        <v>114</v>
      </c>
      <c r="C141" s="227">
        <v>1</v>
      </c>
      <c r="D141" s="227">
        <v>0</v>
      </c>
      <c r="E141" s="227">
        <v>0</v>
      </c>
    </row>
    <row r="142" spans="2:5">
      <c r="B142" s="228">
        <v>115</v>
      </c>
      <c r="C142" s="227">
        <v>1</v>
      </c>
      <c r="D142" s="227">
        <v>0</v>
      </c>
      <c r="E142" s="227">
        <v>0</v>
      </c>
    </row>
    <row r="143" spans="2:5">
      <c r="B143" s="228">
        <v>116</v>
      </c>
      <c r="C143" s="227">
        <v>1</v>
      </c>
      <c r="D143" s="227">
        <v>0</v>
      </c>
      <c r="E143" s="227">
        <v>0</v>
      </c>
    </row>
    <row r="144" spans="2:5">
      <c r="B144" s="228">
        <v>117</v>
      </c>
      <c r="C144" s="227">
        <v>1</v>
      </c>
      <c r="D144" s="227">
        <v>0</v>
      </c>
      <c r="E144" s="227">
        <v>0</v>
      </c>
    </row>
    <row r="145" spans="2:5">
      <c r="B145" s="228">
        <v>118</v>
      </c>
      <c r="C145" s="227">
        <v>1</v>
      </c>
      <c r="D145" s="227">
        <v>0</v>
      </c>
      <c r="E145" s="227">
        <v>0</v>
      </c>
    </row>
    <row r="146" spans="2:5">
      <c r="B146" s="228">
        <v>119</v>
      </c>
      <c r="C146" s="227">
        <v>1</v>
      </c>
      <c r="D146" s="227">
        <v>0</v>
      </c>
      <c r="E146" s="227">
        <v>0</v>
      </c>
    </row>
    <row r="147" spans="2:5">
      <c r="B147" s="228">
        <v>120</v>
      </c>
      <c r="C147" s="227">
        <v>1</v>
      </c>
      <c r="D147" s="227">
        <v>0</v>
      </c>
      <c r="E147" s="227">
        <v>0</v>
      </c>
    </row>
    <row r="148" spans="2:5">
      <c r="B148" s="228">
        <v>121</v>
      </c>
      <c r="C148" s="227">
        <v>1</v>
      </c>
      <c r="D148" s="227">
        <v>0</v>
      </c>
      <c r="E148" s="227">
        <v>0</v>
      </c>
    </row>
    <row r="149" spans="2:5">
      <c r="B149" s="228">
        <v>122</v>
      </c>
      <c r="C149" s="227">
        <v>0</v>
      </c>
      <c r="D149" s="227">
        <v>1</v>
      </c>
      <c r="E149" s="227">
        <v>0</v>
      </c>
    </row>
    <row r="150" spans="2:5">
      <c r="B150" s="228">
        <v>123</v>
      </c>
      <c r="C150" s="227">
        <v>0</v>
      </c>
      <c r="D150" s="227">
        <v>1</v>
      </c>
      <c r="E150" s="227">
        <v>0</v>
      </c>
    </row>
    <row r="151" spans="2:5">
      <c r="B151" s="228">
        <v>124</v>
      </c>
      <c r="C151" s="227">
        <v>0</v>
      </c>
      <c r="D151" s="227">
        <v>1</v>
      </c>
      <c r="E151" s="227">
        <v>0</v>
      </c>
    </row>
    <row r="152" spans="2:5">
      <c r="B152" s="228">
        <v>125</v>
      </c>
      <c r="C152" s="227">
        <v>0</v>
      </c>
      <c r="D152" s="227">
        <v>1</v>
      </c>
      <c r="E152" s="227">
        <v>0</v>
      </c>
    </row>
    <row r="153" spans="2:5">
      <c r="B153" s="228">
        <v>126</v>
      </c>
      <c r="C153" s="227">
        <v>0</v>
      </c>
      <c r="D153" s="227">
        <v>1</v>
      </c>
      <c r="E153" s="227">
        <v>0</v>
      </c>
    </row>
    <row r="154" spans="2:5">
      <c r="B154" s="228">
        <v>127</v>
      </c>
      <c r="C154" s="227">
        <v>0</v>
      </c>
      <c r="D154" s="227">
        <v>0</v>
      </c>
      <c r="E154" s="227">
        <v>1</v>
      </c>
    </row>
    <row r="155" spans="2:5">
      <c r="B155" s="228">
        <v>128</v>
      </c>
      <c r="C155" s="227">
        <v>0</v>
      </c>
      <c r="D155" s="227">
        <v>0</v>
      </c>
      <c r="E155" s="227">
        <v>1</v>
      </c>
    </row>
    <row r="156" spans="2:5">
      <c r="B156" s="228">
        <v>129</v>
      </c>
      <c r="C156" s="227">
        <v>0</v>
      </c>
      <c r="D156" s="227">
        <v>0</v>
      </c>
      <c r="E156" s="227">
        <v>1</v>
      </c>
    </row>
    <row r="157" spans="2:5">
      <c r="B157" s="228">
        <v>130</v>
      </c>
      <c r="C157" s="227">
        <v>0</v>
      </c>
      <c r="D157" s="227">
        <v>0</v>
      </c>
      <c r="E157" s="227">
        <v>1</v>
      </c>
    </row>
    <row r="158" spans="2:5">
      <c r="B158" s="228">
        <v>131</v>
      </c>
      <c r="C158" s="227">
        <v>0</v>
      </c>
      <c r="D158" s="227">
        <v>0</v>
      </c>
      <c r="E158" s="227">
        <v>1</v>
      </c>
    </row>
    <row r="159" spans="2:5">
      <c r="B159" s="228">
        <v>132</v>
      </c>
      <c r="C159" s="227">
        <v>0</v>
      </c>
      <c r="D159" s="227">
        <v>0</v>
      </c>
      <c r="E159" s="227">
        <v>1</v>
      </c>
    </row>
    <row r="160" spans="2:5">
      <c r="B160" s="228">
        <v>133</v>
      </c>
      <c r="C160" s="227">
        <v>0</v>
      </c>
      <c r="D160" s="227">
        <v>0</v>
      </c>
      <c r="E160" s="227">
        <v>1</v>
      </c>
    </row>
    <row r="161" spans="2:5">
      <c r="B161" s="228">
        <v>134</v>
      </c>
      <c r="C161" s="227">
        <v>0</v>
      </c>
      <c r="D161" s="227">
        <v>0</v>
      </c>
      <c r="E161" s="227">
        <v>1</v>
      </c>
    </row>
    <row r="162" spans="2:5">
      <c r="B162" s="228">
        <v>135</v>
      </c>
      <c r="C162" s="227">
        <v>0</v>
      </c>
      <c r="D162" s="227">
        <v>0</v>
      </c>
      <c r="E162" s="227">
        <v>1</v>
      </c>
    </row>
    <row r="163" spans="2:5">
      <c r="B163" s="228">
        <v>136</v>
      </c>
      <c r="C163" s="227">
        <v>0</v>
      </c>
      <c r="D163" s="227">
        <v>0</v>
      </c>
      <c r="E163" s="227">
        <v>1</v>
      </c>
    </row>
    <row r="164" spans="2:5">
      <c r="B164" s="228">
        <v>137</v>
      </c>
      <c r="C164" s="227">
        <v>0</v>
      </c>
      <c r="D164" s="227">
        <v>0</v>
      </c>
      <c r="E164" s="227">
        <v>1</v>
      </c>
    </row>
    <row r="165" spans="2:5">
      <c r="B165" s="228">
        <v>138</v>
      </c>
      <c r="C165" s="227">
        <v>0</v>
      </c>
      <c r="D165" s="227">
        <v>0</v>
      </c>
      <c r="E165" s="227">
        <v>1</v>
      </c>
    </row>
    <row r="166" spans="2:5">
      <c r="B166" s="228">
        <v>139</v>
      </c>
      <c r="C166" s="227">
        <v>0</v>
      </c>
      <c r="D166" s="227">
        <v>0</v>
      </c>
      <c r="E166" s="227">
        <v>1</v>
      </c>
    </row>
    <row r="167" spans="2:5">
      <c r="B167" s="228">
        <v>140</v>
      </c>
      <c r="C167" s="227">
        <v>0</v>
      </c>
      <c r="D167" s="227">
        <v>0</v>
      </c>
      <c r="E167" s="227">
        <v>1</v>
      </c>
    </row>
    <row r="168" spans="2:5">
      <c r="B168" s="228">
        <v>141</v>
      </c>
      <c r="C168" s="227">
        <v>0</v>
      </c>
      <c r="D168" s="227">
        <v>0</v>
      </c>
      <c r="E168" s="227">
        <v>1</v>
      </c>
    </row>
    <row r="169" spans="2:5">
      <c r="B169" s="228">
        <v>142</v>
      </c>
      <c r="C169" s="227">
        <v>0</v>
      </c>
      <c r="D169" s="227">
        <v>0</v>
      </c>
      <c r="E169" s="227">
        <v>1</v>
      </c>
    </row>
    <row r="170" spans="2:5">
      <c r="B170" s="228">
        <v>143</v>
      </c>
      <c r="C170" s="227">
        <v>0</v>
      </c>
      <c r="D170" s="227">
        <v>0</v>
      </c>
      <c r="E170" s="227">
        <v>1</v>
      </c>
    </row>
    <row r="171" spans="2:5">
      <c r="B171" s="228">
        <v>144</v>
      </c>
      <c r="C171" s="227">
        <v>0</v>
      </c>
      <c r="D171" s="227">
        <v>0</v>
      </c>
      <c r="E171" s="227">
        <v>1</v>
      </c>
    </row>
    <row r="172" spans="2:5">
      <c r="B172" s="228">
        <v>145</v>
      </c>
      <c r="C172" s="227">
        <v>0</v>
      </c>
      <c r="D172" s="227">
        <v>0</v>
      </c>
      <c r="E172" s="227">
        <v>1</v>
      </c>
    </row>
    <row r="173" spans="2:5">
      <c r="B173" s="228">
        <v>146</v>
      </c>
      <c r="C173" s="227">
        <v>1</v>
      </c>
      <c r="D173" s="227">
        <v>1</v>
      </c>
      <c r="E173" s="227">
        <v>0</v>
      </c>
    </row>
    <row r="174" spans="2:5">
      <c r="B174" s="228">
        <v>147</v>
      </c>
      <c r="C174" s="227">
        <v>1</v>
      </c>
      <c r="D174" s="227">
        <v>1</v>
      </c>
      <c r="E174" s="227">
        <v>0</v>
      </c>
    </row>
    <row r="175" spans="2:5">
      <c r="B175" s="228">
        <v>148</v>
      </c>
      <c r="C175" s="227">
        <v>1</v>
      </c>
      <c r="D175" s="227">
        <v>1</v>
      </c>
      <c r="E175" s="227">
        <v>0</v>
      </c>
    </row>
    <row r="176" spans="2:5">
      <c r="B176" s="228">
        <v>149</v>
      </c>
      <c r="C176" s="227">
        <v>1</v>
      </c>
      <c r="D176" s="227">
        <v>1</v>
      </c>
      <c r="E176" s="227">
        <v>0</v>
      </c>
    </row>
    <row r="177" spans="2:5">
      <c r="B177" s="228">
        <v>150</v>
      </c>
      <c r="C177" s="227">
        <v>1</v>
      </c>
      <c r="D177" s="227">
        <v>0</v>
      </c>
      <c r="E177" s="227">
        <v>1</v>
      </c>
    </row>
    <row r="178" spans="2:5">
      <c r="B178" s="228">
        <v>151</v>
      </c>
      <c r="C178" s="227">
        <v>1</v>
      </c>
      <c r="D178" s="227">
        <v>0</v>
      </c>
      <c r="E178" s="227">
        <v>1</v>
      </c>
    </row>
    <row r="179" spans="2:5">
      <c r="B179" s="228">
        <v>152</v>
      </c>
      <c r="C179" s="227">
        <v>1</v>
      </c>
      <c r="D179" s="227">
        <v>0</v>
      </c>
      <c r="E179" s="227">
        <v>1</v>
      </c>
    </row>
    <row r="180" spans="2:5">
      <c r="B180" s="228">
        <v>153</v>
      </c>
      <c r="C180" s="227">
        <v>1</v>
      </c>
      <c r="D180" s="227">
        <v>0</v>
      </c>
      <c r="E180" s="227">
        <v>1</v>
      </c>
    </row>
    <row r="181" spans="2:5">
      <c r="B181" s="228">
        <v>154</v>
      </c>
      <c r="C181" s="227">
        <v>1</v>
      </c>
      <c r="D181" s="227">
        <v>0</v>
      </c>
      <c r="E181" s="227">
        <v>1</v>
      </c>
    </row>
    <row r="182" spans="2:5">
      <c r="B182" s="228">
        <v>155</v>
      </c>
      <c r="C182" s="227">
        <v>1</v>
      </c>
      <c r="D182" s="227">
        <v>0</v>
      </c>
      <c r="E182" s="227">
        <v>1</v>
      </c>
    </row>
    <row r="183" spans="2:5">
      <c r="B183" s="228">
        <v>156</v>
      </c>
      <c r="C183" s="227">
        <v>1</v>
      </c>
      <c r="D183" s="227">
        <v>0</v>
      </c>
      <c r="E183" s="227">
        <v>1</v>
      </c>
    </row>
    <row r="184" spans="2:5">
      <c r="B184" s="228">
        <v>157</v>
      </c>
      <c r="C184" s="227">
        <v>1</v>
      </c>
      <c r="D184" s="227">
        <v>0</v>
      </c>
      <c r="E184" s="227">
        <v>1</v>
      </c>
    </row>
    <row r="185" spans="2:5">
      <c r="B185" s="228">
        <v>158</v>
      </c>
      <c r="C185" s="227">
        <v>1</v>
      </c>
      <c r="D185" s="227">
        <v>0</v>
      </c>
      <c r="E185" s="227">
        <v>1</v>
      </c>
    </row>
    <row r="186" spans="2:5">
      <c r="B186" s="228">
        <v>159</v>
      </c>
      <c r="C186" s="227">
        <v>1</v>
      </c>
      <c r="D186" s="227">
        <v>0</v>
      </c>
      <c r="E186" s="227">
        <v>1</v>
      </c>
    </row>
    <row r="187" spans="2:5">
      <c r="B187" s="228">
        <v>160</v>
      </c>
      <c r="C187" s="227">
        <v>1</v>
      </c>
      <c r="D187" s="227">
        <v>0</v>
      </c>
      <c r="E187" s="227">
        <v>1</v>
      </c>
    </row>
    <row r="188" spans="2:5">
      <c r="B188" s="228">
        <v>161</v>
      </c>
      <c r="C188" s="227">
        <v>1</v>
      </c>
      <c r="D188" s="227">
        <v>0</v>
      </c>
      <c r="E188" s="227">
        <v>1</v>
      </c>
    </row>
    <row r="189" spans="2:5">
      <c r="B189" s="228">
        <v>162</v>
      </c>
      <c r="C189" s="227">
        <v>1</v>
      </c>
      <c r="D189" s="227">
        <v>0</v>
      </c>
      <c r="E189" s="227">
        <v>1</v>
      </c>
    </row>
    <row r="190" spans="2:5">
      <c r="B190" s="228">
        <v>163</v>
      </c>
      <c r="C190" s="227">
        <v>1</v>
      </c>
      <c r="D190" s="227">
        <v>0</v>
      </c>
      <c r="E190" s="227">
        <v>1</v>
      </c>
    </row>
    <row r="191" spans="2:5">
      <c r="B191" s="228">
        <v>164</v>
      </c>
      <c r="C191" s="227">
        <v>1</v>
      </c>
      <c r="D191" s="227">
        <v>0</v>
      </c>
      <c r="E191" s="227">
        <v>1</v>
      </c>
    </row>
    <row r="192" spans="2:5">
      <c r="B192" s="228">
        <v>165</v>
      </c>
      <c r="C192" s="227">
        <v>1</v>
      </c>
      <c r="D192" s="227">
        <v>0</v>
      </c>
      <c r="E192" s="227">
        <v>1</v>
      </c>
    </row>
    <row r="193" spans="1:5">
      <c r="B193" s="228">
        <v>166</v>
      </c>
      <c r="C193" s="227">
        <v>1</v>
      </c>
      <c r="D193" s="227">
        <v>0</v>
      </c>
      <c r="E193" s="227">
        <v>1</v>
      </c>
    </row>
    <row r="194" spans="1:5">
      <c r="B194" s="228">
        <v>167</v>
      </c>
      <c r="C194" s="227">
        <v>1</v>
      </c>
      <c r="D194" s="227">
        <v>0</v>
      </c>
      <c r="E194" s="227">
        <v>1</v>
      </c>
    </row>
    <row r="195" spans="1:5">
      <c r="B195" s="228">
        <v>168</v>
      </c>
      <c r="C195" s="227">
        <v>1</v>
      </c>
      <c r="D195" s="227">
        <v>0</v>
      </c>
      <c r="E195" s="227">
        <v>1</v>
      </c>
    </row>
    <row r="196" spans="1:5">
      <c r="B196" s="228">
        <v>169</v>
      </c>
      <c r="C196" s="227">
        <v>0</v>
      </c>
      <c r="D196" s="227">
        <v>1</v>
      </c>
      <c r="E196" s="227">
        <v>1</v>
      </c>
    </row>
    <row r="197" spans="1:5">
      <c r="B197" s="228">
        <v>170</v>
      </c>
      <c r="C197" s="227">
        <v>1</v>
      </c>
      <c r="D197" s="227">
        <v>1</v>
      </c>
      <c r="E197" s="227">
        <v>1</v>
      </c>
    </row>
    <row r="198" spans="1:5">
      <c r="B198" s="228">
        <v>171</v>
      </c>
      <c r="C198" s="227">
        <v>1</v>
      </c>
      <c r="D198" s="227">
        <v>1</v>
      </c>
      <c r="E198" s="227">
        <v>1</v>
      </c>
    </row>
    <row r="199" spans="1:5">
      <c r="B199" s="228">
        <v>172</v>
      </c>
      <c r="C199" s="227">
        <v>1</v>
      </c>
      <c r="D199" s="227">
        <v>1</v>
      </c>
      <c r="E199" s="227">
        <v>1</v>
      </c>
    </row>
    <row r="200" spans="1:5">
      <c r="B200" s="228">
        <v>173</v>
      </c>
      <c r="C200" s="227">
        <v>1</v>
      </c>
      <c r="D200" s="227">
        <v>1</v>
      </c>
      <c r="E200" s="227">
        <v>1</v>
      </c>
    </row>
    <row r="201" spans="1:5">
      <c r="B201" s="228">
        <v>174</v>
      </c>
      <c r="C201" s="227">
        <v>1</v>
      </c>
      <c r="D201" s="227">
        <v>1</v>
      </c>
      <c r="E201" s="227">
        <v>1</v>
      </c>
    </row>
    <row r="202" spans="1:5">
      <c r="B202" s="228">
        <v>175</v>
      </c>
      <c r="C202" s="227">
        <v>1</v>
      </c>
      <c r="D202" s="227">
        <v>1</v>
      </c>
      <c r="E202" s="227">
        <v>1</v>
      </c>
    </row>
    <row r="203" spans="1:5">
      <c r="B203" s="228">
        <v>176</v>
      </c>
      <c r="C203" s="227">
        <v>1</v>
      </c>
      <c r="D203" s="227">
        <v>1</v>
      </c>
      <c r="E203" s="227">
        <v>1</v>
      </c>
    </row>
    <row r="205" spans="1:5">
      <c r="A205" s="247" t="s">
        <v>808</v>
      </c>
      <c r="B205" s="231" t="s">
        <v>243</v>
      </c>
      <c r="C205" s="226" t="s">
        <v>794</v>
      </c>
      <c r="D205" s="226" t="s">
        <v>795</v>
      </c>
      <c r="E205" s="226" t="s">
        <v>796</v>
      </c>
    </row>
    <row r="206" spans="1:5">
      <c r="B206" s="233">
        <v>1</v>
      </c>
      <c r="C206" s="227">
        <v>0</v>
      </c>
      <c r="D206" s="227">
        <v>0</v>
      </c>
      <c r="E206" s="227">
        <v>0</v>
      </c>
    </row>
    <row r="207" spans="1:5">
      <c r="B207" s="233">
        <v>2</v>
      </c>
      <c r="C207" s="227">
        <v>0</v>
      </c>
      <c r="D207" s="227">
        <v>0</v>
      </c>
      <c r="E207" s="227">
        <v>0</v>
      </c>
    </row>
    <row r="208" spans="1:5">
      <c r="B208" s="233">
        <v>3</v>
      </c>
      <c r="C208" s="227">
        <v>0</v>
      </c>
      <c r="D208" s="227">
        <v>0</v>
      </c>
      <c r="E208" s="227">
        <v>0</v>
      </c>
    </row>
    <row r="209" spans="2:5">
      <c r="B209" s="233">
        <v>4</v>
      </c>
      <c r="C209" s="227">
        <v>0</v>
      </c>
      <c r="D209" s="227">
        <v>0</v>
      </c>
      <c r="E209" s="227">
        <v>0</v>
      </c>
    </row>
    <row r="210" spans="2:5">
      <c r="B210" s="233">
        <v>5</v>
      </c>
      <c r="C210" s="227">
        <v>0</v>
      </c>
      <c r="D210" s="227">
        <v>0</v>
      </c>
      <c r="E210" s="227">
        <v>0</v>
      </c>
    </row>
    <row r="211" spans="2:5">
      <c r="B211" s="233">
        <v>6</v>
      </c>
      <c r="C211" s="227">
        <v>0</v>
      </c>
      <c r="D211" s="227">
        <v>0</v>
      </c>
      <c r="E211" s="227">
        <v>0</v>
      </c>
    </row>
    <row r="212" spans="2:5">
      <c r="B212" s="233">
        <v>7</v>
      </c>
      <c r="C212" s="227">
        <v>0</v>
      </c>
      <c r="D212" s="227">
        <v>0</v>
      </c>
      <c r="E212" s="227">
        <v>0</v>
      </c>
    </row>
    <row r="213" spans="2:5">
      <c r="B213" s="233">
        <v>8</v>
      </c>
      <c r="C213" s="227">
        <v>0</v>
      </c>
      <c r="D213" s="227">
        <v>0</v>
      </c>
      <c r="E213" s="227">
        <v>0</v>
      </c>
    </row>
    <row r="214" spans="2:5">
      <c r="B214" s="233">
        <v>9</v>
      </c>
      <c r="C214" s="227">
        <v>0</v>
      </c>
      <c r="D214" s="227">
        <v>0</v>
      </c>
      <c r="E214" s="227">
        <v>0</v>
      </c>
    </row>
    <row r="215" spans="2:5">
      <c r="B215" s="233">
        <v>10</v>
      </c>
      <c r="C215" s="227">
        <v>0</v>
      </c>
      <c r="D215" s="227">
        <v>0</v>
      </c>
      <c r="E215" s="227">
        <v>0</v>
      </c>
    </row>
    <row r="216" spans="2:5">
      <c r="B216" s="233">
        <v>11</v>
      </c>
      <c r="C216" s="227">
        <v>0</v>
      </c>
      <c r="D216" s="227">
        <v>0</v>
      </c>
      <c r="E216" s="227">
        <v>0</v>
      </c>
    </row>
    <row r="217" spans="2:5">
      <c r="B217" s="233">
        <v>12</v>
      </c>
      <c r="C217" s="227">
        <v>0</v>
      </c>
      <c r="D217" s="227">
        <v>0</v>
      </c>
      <c r="E217" s="227">
        <v>0</v>
      </c>
    </row>
    <row r="218" spans="2:5">
      <c r="B218" s="233">
        <v>13</v>
      </c>
      <c r="C218" s="227">
        <v>0</v>
      </c>
      <c r="D218" s="227">
        <v>0</v>
      </c>
      <c r="E218" s="227">
        <v>0</v>
      </c>
    </row>
    <row r="219" spans="2:5">
      <c r="B219" s="233">
        <v>14</v>
      </c>
      <c r="C219" s="227">
        <v>0</v>
      </c>
      <c r="D219" s="227">
        <v>0</v>
      </c>
      <c r="E219" s="227">
        <v>0</v>
      </c>
    </row>
    <row r="220" spans="2:5">
      <c r="B220" s="233">
        <v>15</v>
      </c>
      <c r="C220" s="227">
        <v>0</v>
      </c>
      <c r="D220" s="227">
        <v>0</v>
      </c>
      <c r="E220" s="227">
        <v>0</v>
      </c>
    </row>
    <row r="221" spans="2:5">
      <c r="B221" s="233">
        <v>16</v>
      </c>
      <c r="C221" s="227">
        <v>0</v>
      </c>
      <c r="D221" s="227">
        <v>0</v>
      </c>
      <c r="E221" s="227">
        <v>0</v>
      </c>
    </row>
    <row r="222" spans="2:5">
      <c r="B222" s="233">
        <v>17</v>
      </c>
      <c r="C222" s="227">
        <v>0</v>
      </c>
      <c r="D222" s="227">
        <v>0</v>
      </c>
      <c r="E222" s="227">
        <v>0</v>
      </c>
    </row>
    <row r="223" spans="2:5">
      <c r="B223" s="233">
        <v>18</v>
      </c>
      <c r="C223" s="227">
        <v>0</v>
      </c>
      <c r="D223" s="227">
        <v>0</v>
      </c>
      <c r="E223" s="227">
        <v>0</v>
      </c>
    </row>
    <row r="224" spans="2:5">
      <c r="B224" s="233">
        <v>19</v>
      </c>
      <c r="C224" s="227">
        <v>0</v>
      </c>
      <c r="D224" s="227">
        <v>0</v>
      </c>
      <c r="E224" s="227">
        <v>0</v>
      </c>
    </row>
    <row r="225" spans="2:5">
      <c r="B225" s="233">
        <v>20</v>
      </c>
      <c r="C225" s="227">
        <v>0</v>
      </c>
      <c r="D225" s="227">
        <v>0</v>
      </c>
      <c r="E225" s="227">
        <v>0</v>
      </c>
    </row>
    <row r="226" spans="2:5">
      <c r="B226" s="233">
        <v>21</v>
      </c>
      <c r="C226" s="227">
        <v>0</v>
      </c>
      <c r="D226" s="227">
        <v>0</v>
      </c>
      <c r="E226" s="227">
        <v>0</v>
      </c>
    </row>
    <row r="227" spans="2:5">
      <c r="B227" s="233">
        <v>22</v>
      </c>
      <c r="C227" s="227">
        <v>0</v>
      </c>
      <c r="D227" s="227">
        <v>0</v>
      </c>
      <c r="E227" s="227">
        <v>0</v>
      </c>
    </row>
    <row r="228" spans="2:5">
      <c r="B228" s="233">
        <v>23</v>
      </c>
      <c r="C228" s="227">
        <v>0</v>
      </c>
      <c r="D228" s="227">
        <v>0</v>
      </c>
      <c r="E228" s="227">
        <v>0</v>
      </c>
    </row>
    <row r="229" spans="2:5">
      <c r="B229" s="233">
        <v>24</v>
      </c>
      <c r="C229" s="227">
        <v>0</v>
      </c>
      <c r="D229" s="227">
        <v>0</v>
      </c>
      <c r="E229" s="227">
        <v>0</v>
      </c>
    </row>
    <row r="230" spans="2:5">
      <c r="B230" s="233">
        <v>25</v>
      </c>
      <c r="C230" s="227">
        <v>0</v>
      </c>
      <c r="D230" s="227">
        <v>0</v>
      </c>
      <c r="E230" s="227">
        <v>0</v>
      </c>
    </row>
    <row r="231" spans="2:5">
      <c r="B231" s="233">
        <v>26</v>
      </c>
      <c r="C231" s="227">
        <v>0</v>
      </c>
      <c r="D231" s="227">
        <v>0</v>
      </c>
      <c r="E231" s="227">
        <v>0</v>
      </c>
    </row>
    <row r="232" spans="2:5">
      <c r="B232" s="233">
        <v>27</v>
      </c>
      <c r="C232" s="227">
        <v>0</v>
      </c>
      <c r="D232" s="227">
        <v>0</v>
      </c>
      <c r="E232" s="227">
        <v>0</v>
      </c>
    </row>
    <row r="233" spans="2:5">
      <c r="B233" s="233">
        <v>28</v>
      </c>
      <c r="C233" s="227">
        <v>0</v>
      </c>
      <c r="D233" s="227">
        <v>0</v>
      </c>
      <c r="E233" s="227">
        <v>0</v>
      </c>
    </row>
    <row r="234" spans="2:5">
      <c r="B234" s="233">
        <v>29</v>
      </c>
      <c r="C234" s="227">
        <v>0</v>
      </c>
      <c r="D234" s="227">
        <v>0</v>
      </c>
      <c r="E234" s="227">
        <v>0</v>
      </c>
    </row>
    <row r="235" spans="2:5">
      <c r="B235" s="233">
        <v>30</v>
      </c>
      <c r="C235" s="227">
        <v>0</v>
      </c>
      <c r="D235" s="227">
        <v>0</v>
      </c>
      <c r="E235" s="227">
        <v>0</v>
      </c>
    </row>
    <row r="236" spans="2:5">
      <c r="B236" s="233">
        <v>31</v>
      </c>
      <c r="C236" s="227">
        <v>0</v>
      </c>
      <c r="D236" s="227">
        <v>0</v>
      </c>
      <c r="E236" s="227">
        <v>0</v>
      </c>
    </row>
    <row r="237" spans="2:5">
      <c r="B237" s="233">
        <v>32</v>
      </c>
      <c r="C237" s="227">
        <v>0</v>
      </c>
      <c r="D237" s="227">
        <v>0</v>
      </c>
      <c r="E237" s="227">
        <v>0</v>
      </c>
    </row>
    <row r="238" spans="2:5">
      <c r="B238" s="233">
        <v>33</v>
      </c>
      <c r="C238" s="227">
        <v>0</v>
      </c>
      <c r="D238" s="227">
        <v>0</v>
      </c>
      <c r="E238" s="227">
        <v>0</v>
      </c>
    </row>
    <row r="239" spans="2:5">
      <c r="B239" s="233">
        <v>34</v>
      </c>
      <c r="C239" s="227">
        <v>0</v>
      </c>
      <c r="D239" s="227">
        <v>0</v>
      </c>
      <c r="E239" s="227">
        <v>0</v>
      </c>
    </row>
    <row r="240" spans="2:5">
      <c r="B240" s="233">
        <v>35</v>
      </c>
      <c r="C240" s="227">
        <v>0</v>
      </c>
      <c r="D240" s="227">
        <v>0</v>
      </c>
      <c r="E240" s="227">
        <v>0</v>
      </c>
    </row>
    <row r="241" spans="2:5">
      <c r="B241" s="233">
        <v>36</v>
      </c>
      <c r="C241" s="227">
        <v>0</v>
      </c>
      <c r="D241" s="227">
        <v>0</v>
      </c>
      <c r="E241" s="227">
        <v>0</v>
      </c>
    </row>
    <row r="242" spans="2:5">
      <c r="B242" s="233">
        <v>37</v>
      </c>
      <c r="C242" s="227">
        <v>0</v>
      </c>
      <c r="D242" s="227">
        <v>0</v>
      </c>
      <c r="E242" s="227">
        <v>0</v>
      </c>
    </row>
    <row r="243" spans="2:5">
      <c r="B243" s="233">
        <v>38</v>
      </c>
      <c r="C243" s="227">
        <v>0</v>
      </c>
      <c r="D243" s="227">
        <v>0</v>
      </c>
      <c r="E243" s="227">
        <v>0</v>
      </c>
    </row>
    <row r="244" spans="2:5">
      <c r="B244" s="233">
        <v>39</v>
      </c>
      <c r="C244" s="227">
        <v>0</v>
      </c>
      <c r="D244" s="227">
        <v>0</v>
      </c>
      <c r="E244" s="227">
        <v>0</v>
      </c>
    </row>
    <row r="245" spans="2:5">
      <c r="B245" s="233">
        <v>40</v>
      </c>
      <c r="C245" s="227">
        <v>0</v>
      </c>
      <c r="D245" s="227">
        <v>0</v>
      </c>
      <c r="E245" s="227">
        <v>0</v>
      </c>
    </row>
    <row r="246" spans="2:5">
      <c r="B246" s="233">
        <v>41</v>
      </c>
      <c r="C246" s="227">
        <v>0</v>
      </c>
      <c r="D246" s="227">
        <v>0</v>
      </c>
      <c r="E246" s="227">
        <v>0</v>
      </c>
    </row>
    <row r="247" spans="2:5">
      <c r="B247" s="233">
        <v>42</v>
      </c>
      <c r="C247" s="227">
        <v>0</v>
      </c>
      <c r="D247" s="227">
        <v>0</v>
      </c>
      <c r="E247" s="227">
        <v>0</v>
      </c>
    </row>
    <row r="248" spans="2:5">
      <c r="B248" s="233">
        <v>43</v>
      </c>
      <c r="C248" s="227">
        <v>0</v>
      </c>
      <c r="D248" s="227">
        <v>0</v>
      </c>
      <c r="E248" s="227">
        <v>0</v>
      </c>
    </row>
    <row r="249" spans="2:5">
      <c r="B249" s="233">
        <v>44</v>
      </c>
      <c r="C249" s="227">
        <v>0</v>
      </c>
      <c r="D249" s="227">
        <v>0</v>
      </c>
      <c r="E249" s="227">
        <v>0</v>
      </c>
    </row>
    <row r="250" spans="2:5">
      <c r="B250" s="233">
        <v>45</v>
      </c>
      <c r="C250" s="227">
        <v>0</v>
      </c>
      <c r="D250" s="227">
        <v>0</v>
      </c>
      <c r="E250" s="227">
        <v>0</v>
      </c>
    </row>
    <row r="251" spans="2:5">
      <c r="B251" s="233">
        <v>46</v>
      </c>
      <c r="C251" s="227">
        <v>0</v>
      </c>
      <c r="D251" s="227">
        <v>0</v>
      </c>
      <c r="E251" s="227">
        <v>0</v>
      </c>
    </row>
    <row r="252" spans="2:5">
      <c r="B252" s="233">
        <v>47</v>
      </c>
      <c r="C252" s="227">
        <v>0</v>
      </c>
      <c r="D252" s="227">
        <v>0</v>
      </c>
      <c r="E252" s="227">
        <v>0</v>
      </c>
    </row>
    <row r="253" spans="2:5">
      <c r="B253" s="233">
        <v>48</v>
      </c>
      <c r="C253" s="227">
        <v>0</v>
      </c>
      <c r="D253" s="227">
        <v>0</v>
      </c>
      <c r="E253" s="227">
        <v>0</v>
      </c>
    </row>
    <row r="254" spans="2:5">
      <c r="B254" s="233">
        <v>49</v>
      </c>
      <c r="C254" s="227">
        <v>0</v>
      </c>
      <c r="D254" s="227">
        <v>0</v>
      </c>
      <c r="E254" s="227">
        <v>0</v>
      </c>
    </row>
    <row r="255" spans="2:5">
      <c r="B255" s="233">
        <v>50</v>
      </c>
      <c r="C255" s="227">
        <v>0</v>
      </c>
      <c r="D255" s="227">
        <v>0</v>
      </c>
      <c r="E255" s="227">
        <v>0</v>
      </c>
    </row>
    <row r="256" spans="2:5">
      <c r="B256" s="233">
        <v>51</v>
      </c>
      <c r="C256" s="227">
        <v>0</v>
      </c>
      <c r="D256" s="227">
        <v>0</v>
      </c>
      <c r="E256" s="227">
        <v>0</v>
      </c>
    </row>
    <row r="257" spans="2:5">
      <c r="B257" s="233">
        <v>52</v>
      </c>
      <c r="C257" s="227">
        <v>0</v>
      </c>
      <c r="D257" s="227">
        <v>0</v>
      </c>
      <c r="E257" s="227">
        <v>0</v>
      </c>
    </row>
    <row r="258" spans="2:5">
      <c r="B258" s="233">
        <v>53</v>
      </c>
      <c r="C258" s="227">
        <v>0</v>
      </c>
      <c r="D258" s="227">
        <v>0</v>
      </c>
      <c r="E258" s="227">
        <v>0</v>
      </c>
    </row>
    <row r="259" spans="2:5">
      <c r="B259" s="233">
        <v>54</v>
      </c>
      <c r="C259" s="227">
        <v>0</v>
      </c>
      <c r="D259" s="227">
        <v>0</v>
      </c>
      <c r="E259" s="227">
        <v>0</v>
      </c>
    </row>
    <row r="260" spans="2:5">
      <c r="B260" s="233">
        <v>55</v>
      </c>
      <c r="C260" s="227">
        <v>0</v>
      </c>
      <c r="D260" s="227">
        <v>0</v>
      </c>
      <c r="E260" s="227">
        <v>0</v>
      </c>
    </row>
    <row r="261" spans="2:5">
      <c r="B261" s="233">
        <v>56</v>
      </c>
      <c r="C261" s="227">
        <v>0</v>
      </c>
      <c r="D261" s="227">
        <v>0</v>
      </c>
      <c r="E261" s="227">
        <v>0</v>
      </c>
    </row>
    <row r="262" spans="2:5">
      <c r="B262" s="233">
        <v>57</v>
      </c>
      <c r="C262" s="227">
        <v>0</v>
      </c>
      <c r="D262" s="227">
        <v>0</v>
      </c>
      <c r="E262" s="227">
        <v>0</v>
      </c>
    </row>
    <row r="263" spans="2:5">
      <c r="B263" s="233">
        <v>58</v>
      </c>
      <c r="C263" s="227">
        <v>0</v>
      </c>
      <c r="D263" s="227">
        <v>0</v>
      </c>
      <c r="E263" s="227">
        <v>0</v>
      </c>
    </row>
    <row r="264" spans="2:5">
      <c r="B264" s="233">
        <v>59</v>
      </c>
      <c r="C264" s="227">
        <v>0</v>
      </c>
      <c r="D264" s="227">
        <v>0</v>
      </c>
      <c r="E264" s="227">
        <v>0</v>
      </c>
    </row>
    <row r="265" spans="2:5">
      <c r="B265" s="233">
        <v>60</v>
      </c>
      <c r="C265" s="227">
        <v>0</v>
      </c>
      <c r="D265" s="227">
        <v>0</v>
      </c>
      <c r="E265" s="227">
        <v>0</v>
      </c>
    </row>
    <row r="266" spans="2:5">
      <c r="B266" s="233">
        <v>61</v>
      </c>
      <c r="C266" s="227">
        <v>0</v>
      </c>
      <c r="D266" s="227">
        <v>0</v>
      </c>
      <c r="E266" s="227">
        <v>0</v>
      </c>
    </row>
    <row r="267" spans="2:5">
      <c r="B267" s="233">
        <v>62</v>
      </c>
      <c r="C267" s="227">
        <v>0</v>
      </c>
      <c r="D267" s="227">
        <v>0</v>
      </c>
      <c r="E267" s="227">
        <v>0</v>
      </c>
    </row>
    <row r="268" spans="2:5">
      <c r="B268" s="233">
        <v>63</v>
      </c>
      <c r="C268" s="227">
        <v>0</v>
      </c>
      <c r="D268" s="227">
        <v>0</v>
      </c>
      <c r="E268" s="227">
        <v>0</v>
      </c>
    </row>
    <row r="269" spans="2:5">
      <c r="B269" s="233">
        <v>64</v>
      </c>
      <c r="C269" s="227">
        <v>0</v>
      </c>
      <c r="D269" s="227">
        <v>0</v>
      </c>
      <c r="E269" s="227">
        <v>0</v>
      </c>
    </row>
    <row r="270" spans="2:5">
      <c r="B270" s="233">
        <v>65</v>
      </c>
      <c r="C270" s="227">
        <v>0</v>
      </c>
      <c r="D270" s="227">
        <v>0</v>
      </c>
      <c r="E270" s="227">
        <v>0</v>
      </c>
    </row>
    <row r="271" spans="2:5">
      <c r="B271" s="233">
        <v>66</v>
      </c>
      <c r="C271" s="227">
        <v>0</v>
      </c>
      <c r="D271" s="227">
        <v>0</v>
      </c>
      <c r="E271" s="227">
        <v>0</v>
      </c>
    </row>
    <row r="272" spans="2:5">
      <c r="B272" s="233">
        <v>67</v>
      </c>
      <c r="C272" s="227">
        <v>0</v>
      </c>
      <c r="D272" s="227">
        <v>0</v>
      </c>
      <c r="E272" s="227">
        <v>0</v>
      </c>
    </row>
    <row r="273" spans="2:5">
      <c r="B273" s="233">
        <v>68</v>
      </c>
      <c r="C273" s="227">
        <v>0</v>
      </c>
      <c r="D273" s="227">
        <v>0</v>
      </c>
      <c r="E273" s="227">
        <v>0</v>
      </c>
    </row>
    <row r="274" spans="2:5">
      <c r="B274" s="233">
        <v>69</v>
      </c>
      <c r="C274" s="227">
        <v>0</v>
      </c>
      <c r="D274" s="227">
        <v>0</v>
      </c>
      <c r="E274" s="227">
        <v>0</v>
      </c>
    </row>
    <row r="275" spans="2:5">
      <c r="B275" s="233">
        <v>70</v>
      </c>
      <c r="C275" s="227">
        <v>0</v>
      </c>
      <c r="D275" s="227">
        <v>0</v>
      </c>
      <c r="E275" s="227">
        <v>0</v>
      </c>
    </row>
    <row r="276" spans="2:5">
      <c r="B276" s="233">
        <v>71</v>
      </c>
      <c r="C276" s="227">
        <v>0</v>
      </c>
      <c r="D276" s="227">
        <v>0</v>
      </c>
      <c r="E276" s="227">
        <v>0</v>
      </c>
    </row>
    <row r="277" spans="2:5">
      <c r="B277" s="233">
        <v>72</v>
      </c>
      <c r="C277" s="227">
        <v>0</v>
      </c>
      <c r="D277" s="227">
        <v>0</v>
      </c>
      <c r="E277" s="227">
        <v>0</v>
      </c>
    </row>
    <row r="278" spans="2:5">
      <c r="B278" s="233">
        <v>73</v>
      </c>
      <c r="C278" s="227">
        <v>0</v>
      </c>
      <c r="D278" s="227">
        <v>0</v>
      </c>
      <c r="E278" s="227">
        <v>0</v>
      </c>
    </row>
    <row r="279" spans="2:5">
      <c r="B279" s="233">
        <v>74</v>
      </c>
      <c r="C279" s="227">
        <v>0</v>
      </c>
      <c r="D279" s="227">
        <v>0</v>
      </c>
      <c r="E279" s="227">
        <v>0</v>
      </c>
    </row>
    <row r="280" spans="2:5">
      <c r="B280" s="233">
        <v>75</v>
      </c>
      <c r="C280" s="227">
        <v>0</v>
      </c>
      <c r="D280" s="227">
        <v>0</v>
      </c>
      <c r="E280" s="227">
        <v>0</v>
      </c>
    </row>
    <row r="281" spans="2:5">
      <c r="B281" s="233">
        <v>76</v>
      </c>
      <c r="C281" s="227">
        <v>0</v>
      </c>
      <c r="D281" s="227">
        <v>0</v>
      </c>
      <c r="E281" s="227">
        <v>0</v>
      </c>
    </row>
    <row r="282" spans="2:5">
      <c r="B282" s="233">
        <v>77</v>
      </c>
      <c r="C282" s="227">
        <v>0</v>
      </c>
      <c r="D282" s="227">
        <v>0</v>
      </c>
      <c r="E282" s="227">
        <v>0</v>
      </c>
    </row>
    <row r="283" spans="2:5">
      <c r="B283" s="233">
        <v>78</v>
      </c>
      <c r="C283" s="227">
        <v>0</v>
      </c>
      <c r="D283" s="227">
        <v>0</v>
      </c>
      <c r="E283" s="227">
        <v>0</v>
      </c>
    </row>
    <row r="284" spans="2:5">
      <c r="B284" s="233">
        <v>79</v>
      </c>
      <c r="C284" s="227">
        <v>0</v>
      </c>
      <c r="D284" s="227">
        <v>0</v>
      </c>
      <c r="E284" s="227">
        <v>0</v>
      </c>
    </row>
    <row r="285" spans="2:5">
      <c r="B285" s="233">
        <v>80</v>
      </c>
      <c r="C285" s="227">
        <v>0</v>
      </c>
      <c r="D285" s="227">
        <v>0</v>
      </c>
      <c r="E285" s="227">
        <v>0</v>
      </c>
    </row>
    <row r="286" spans="2:5">
      <c r="B286" s="233">
        <v>81</v>
      </c>
      <c r="C286" s="227">
        <v>0</v>
      </c>
      <c r="D286" s="227">
        <v>0</v>
      </c>
      <c r="E286" s="227">
        <v>0</v>
      </c>
    </row>
    <row r="287" spans="2:5">
      <c r="B287" s="233">
        <v>82</v>
      </c>
      <c r="C287" s="227">
        <v>0</v>
      </c>
      <c r="D287" s="227">
        <v>0</v>
      </c>
      <c r="E287" s="227">
        <v>0</v>
      </c>
    </row>
    <row r="288" spans="2:5">
      <c r="B288" s="233">
        <v>83</v>
      </c>
      <c r="C288" s="227">
        <v>0</v>
      </c>
      <c r="D288" s="227">
        <v>0</v>
      </c>
      <c r="E288" s="227">
        <v>0</v>
      </c>
    </row>
    <row r="289" spans="2:5">
      <c r="B289" s="233">
        <v>84</v>
      </c>
      <c r="C289" s="227">
        <v>0</v>
      </c>
      <c r="D289" s="227">
        <v>0</v>
      </c>
      <c r="E289" s="227">
        <v>0</v>
      </c>
    </row>
    <row r="290" spans="2:5">
      <c r="B290" s="233">
        <v>85</v>
      </c>
      <c r="C290" s="227">
        <v>0</v>
      </c>
      <c r="D290" s="227">
        <v>0</v>
      </c>
      <c r="E290" s="227">
        <v>0</v>
      </c>
    </row>
    <row r="291" spans="2:5">
      <c r="B291" s="233">
        <v>86</v>
      </c>
      <c r="C291" s="227">
        <v>1</v>
      </c>
      <c r="D291" s="227">
        <v>0</v>
      </c>
      <c r="E291" s="227">
        <v>0</v>
      </c>
    </row>
    <row r="292" spans="2:5">
      <c r="B292" s="233">
        <v>87</v>
      </c>
      <c r="C292" s="227">
        <v>1</v>
      </c>
      <c r="D292" s="227">
        <v>0</v>
      </c>
      <c r="E292" s="227">
        <v>0</v>
      </c>
    </row>
    <row r="293" spans="2:5">
      <c r="B293" s="233">
        <v>88</v>
      </c>
      <c r="C293" s="227">
        <v>1</v>
      </c>
      <c r="D293" s="227">
        <v>0</v>
      </c>
      <c r="E293" s="227">
        <v>0</v>
      </c>
    </row>
    <row r="294" spans="2:5">
      <c r="B294" s="233">
        <v>89</v>
      </c>
      <c r="C294" s="227">
        <v>1</v>
      </c>
      <c r="D294" s="227">
        <v>0</v>
      </c>
      <c r="E294" s="227">
        <v>0</v>
      </c>
    </row>
    <row r="295" spans="2:5">
      <c r="B295" s="233">
        <v>90</v>
      </c>
      <c r="C295" s="227">
        <v>1</v>
      </c>
      <c r="D295" s="227">
        <v>0</v>
      </c>
      <c r="E295" s="227">
        <v>0</v>
      </c>
    </row>
    <row r="296" spans="2:5">
      <c r="B296" s="233">
        <v>91</v>
      </c>
      <c r="C296" s="227">
        <v>1</v>
      </c>
      <c r="D296" s="227">
        <v>0</v>
      </c>
      <c r="E296" s="227">
        <v>0</v>
      </c>
    </row>
    <row r="297" spans="2:5">
      <c r="B297" s="233">
        <v>92</v>
      </c>
      <c r="C297" s="227">
        <v>1</v>
      </c>
      <c r="D297" s="227">
        <v>0</v>
      </c>
      <c r="E297" s="227">
        <v>0</v>
      </c>
    </row>
    <row r="298" spans="2:5">
      <c r="B298" s="233">
        <v>93</v>
      </c>
      <c r="C298" s="227">
        <v>1</v>
      </c>
      <c r="D298" s="227">
        <v>0</v>
      </c>
      <c r="E298" s="227">
        <v>0</v>
      </c>
    </row>
    <row r="299" spans="2:5">
      <c r="B299" s="233">
        <v>94</v>
      </c>
      <c r="C299" s="227">
        <v>1</v>
      </c>
      <c r="D299" s="227">
        <v>0</v>
      </c>
      <c r="E299" s="227">
        <v>0</v>
      </c>
    </row>
    <row r="300" spans="2:5">
      <c r="B300" s="233">
        <v>95</v>
      </c>
      <c r="C300" s="227">
        <v>1</v>
      </c>
      <c r="D300" s="227">
        <v>0</v>
      </c>
      <c r="E300" s="227">
        <v>0</v>
      </c>
    </row>
    <row r="301" spans="2:5">
      <c r="B301" s="233">
        <v>96</v>
      </c>
      <c r="C301" s="227">
        <v>1</v>
      </c>
      <c r="D301" s="227">
        <v>0</v>
      </c>
      <c r="E301" s="227">
        <v>0</v>
      </c>
    </row>
    <row r="302" spans="2:5">
      <c r="B302" s="233">
        <v>97</v>
      </c>
      <c r="C302" s="227">
        <v>1</v>
      </c>
      <c r="D302" s="227">
        <v>0</v>
      </c>
      <c r="E302" s="227">
        <v>0</v>
      </c>
    </row>
    <row r="303" spans="2:5">
      <c r="B303" s="233">
        <v>98</v>
      </c>
      <c r="C303" s="227">
        <v>1</v>
      </c>
      <c r="D303" s="227">
        <v>0</v>
      </c>
      <c r="E303" s="227">
        <v>0</v>
      </c>
    </row>
    <row r="304" spans="2:5">
      <c r="B304" s="233">
        <v>99</v>
      </c>
      <c r="C304" s="227">
        <v>1</v>
      </c>
      <c r="D304" s="227">
        <v>0</v>
      </c>
      <c r="E304" s="227">
        <v>0</v>
      </c>
    </row>
    <row r="305" spans="2:5">
      <c r="B305" s="233">
        <v>100</v>
      </c>
      <c r="C305" s="227">
        <v>1</v>
      </c>
      <c r="D305" s="227">
        <v>0</v>
      </c>
      <c r="E305" s="227">
        <v>0</v>
      </c>
    </row>
    <row r="306" spans="2:5">
      <c r="B306" s="233">
        <v>101</v>
      </c>
      <c r="C306" s="227">
        <v>1</v>
      </c>
      <c r="D306" s="227">
        <v>0</v>
      </c>
      <c r="E306" s="227">
        <v>0</v>
      </c>
    </row>
    <row r="307" spans="2:5">
      <c r="B307" s="233">
        <v>102</v>
      </c>
      <c r="C307" s="227">
        <v>1</v>
      </c>
      <c r="D307" s="227">
        <v>0</v>
      </c>
      <c r="E307" s="227">
        <v>0</v>
      </c>
    </row>
    <row r="308" spans="2:5">
      <c r="B308" s="233">
        <v>103</v>
      </c>
      <c r="C308" s="227">
        <v>1</v>
      </c>
      <c r="D308" s="227">
        <v>0</v>
      </c>
      <c r="E308" s="227">
        <v>0</v>
      </c>
    </row>
    <row r="309" spans="2:5">
      <c r="B309" s="233">
        <v>104</v>
      </c>
      <c r="C309" s="227">
        <v>1</v>
      </c>
      <c r="D309" s="227">
        <v>0</v>
      </c>
      <c r="E309" s="227">
        <v>0</v>
      </c>
    </row>
    <row r="310" spans="2:5">
      <c r="B310" s="233">
        <v>105</v>
      </c>
      <c r="C310" s="227">
        <v>1</v>
      </c>
      <c r="D310" s="227">
        <v>0</v>
      </c>
      <c r="E310" s="227">
        <v>0</v>
      </c>
    </row>
    <row r="311" spans="2:5">
      <c r="B311" s="233">
        <v>106</v>
      </c>
      <c r="C311" s="227">
        <v>1</v>
      </c>
      <c r="D311" s="227">
        <v>0</v>
      </c>
      <c r="E311" s="227">
        <v>0</v>
      </c>
    </row>
    <row r="312" spans="2:5">
      <c r="B312" s="233">
        <v>107</v>
      </c>
      <c r="C312" s="227">
        <v>1</v>
      </c>
      <c r="D312" s="227">
        <v>0</v>
      </c>
      <c r="E312" s="227">
        <v>0</v>
      </c>
    </row>
    <row r="313" spans="2:5">
      <c r="B313" s="233">
        <v>108</v>
      </c>
      <c r="C313" s="227">
        <v>1</v>
      </c>
      <c r="D313" s="227">
        <v>0</v>
      </c>
      <c r="E313" s="227">
        <v>0</v>
      </c>
    </row>
    <row r="314" spans="2:5">
      <c r="B314" s="233">
        <v>109</v>
      </c>
      <c r="C314" s="227">
        <v>1</v>
      </c>
      <c r="D314" s="227">
        <v>0</v>
      </c>
      <c r="E314" s="227">
        <v>0</v>
      </c>
    </row>
    <row r="315" spans="2:5">
      <c r="B315" s="233">
        <v>110</v>
      </c>
      <c r="C315" s="227">
        <v>1</v>
      </c>
      <c r="D315" s="227">
        <v>0</v>
      </c>
      <c r="E315" s="227">
        <v>0</v>
      </c>
    </row>
    <row r="316" spans="2:5">
      <c r="B316" s="233">
        <v>111</v>
      </c>
      <c r="C316" s="227">
        <v>1</v>
      </c>
      <c r="D316" s="227">
        <v>0</v>
      </c>
      <c r="E316" s="227">
        <v>0</v>
      </c>
    </row>
    <row r="317" spans="2:5">
      <c r="B317" s="233">
        <v>112</v>
      </c>
      <c r="C317" s="227">
        <v>1</v>
      </c>
      <c r="D317" s="227">
        <v>0</v>
      </c>
      <c r="E317" s="227">
        <v>0</v>
      </c>
    </row>
    <row r="318" spans="2:5">
      <c r="B318" s="233">
        <v>113</v>
      </c>
      <c r="C318" s="227">
        <v>1</v>
      </c>
      <c r="D318" s="227">
        <v>0</v>
      </c>
      <c r="E318" s="227">
        <v>0</v>
      </c>
    </row>
    <row r="319" spans="2:5">
      <c r="B319" s="233">
        <v>114</v>
      </c>
      <c r="C319" s="227">
        <v>1</v>
      </c>
      <c r="D319" s="227">
        <v>0</v>
      </c>
      <c r="E319" s="227">
        <v>0</v>
      </c>
    </row>
    <row r="320" spans="2:5">
      <c r="B320" s="233">
        <v>115</v>
      </c>
      <c r="C320" s="227">
        <v>1</v>
      </c>
      <c r="D320" s="227">
        <v>0</v>
      </c>
      <c r="E320" s="227">
        <v>0</v>
      </c>
    </row>
    <row r="321" spans="2:5">
      <c r="B321" s="233">
        <v>116</v>
      </c>
      <c r="C321" s="227">
        <v>1</v>
      </c>
      <c r="D321" s="227">
        <v>0</v>
      </c>
      <c r="E321" s="227">
        <v>0</v>
      </c>
    </row>
    <row r="322" spans="2:5">
      <c r="B322" s="233">
        <v>117</v>
      </c>
      <c r="C322" s="227">
        <v>1</v>
      </c>
      <c r="D322" s="227">
        <v>0</v>
      </c>
      <c r="E322" s="227">
        <v>0</v>
      </c>
    </row>
    <row r="323" spans="2:5">
      <c r="B323" s="233">
        <v>118</v>
      </c>
      <c r="C323" s="227">
        <v>1</v>
      </c>
      <c r="D323" s="227">
        <v>0</v>
      </c>
      <c r="E323" s="227">
        <v>0</v>
      </c>
    </row>
    <row r="324" spans="2:5">
      <c r="B324" s="233">
        <v>119</v>
      </c>
      <c r="C324" s="227">
        <v>1</v>
      </c>
      <c r="D324" s="227">
        <v>0</v>
      </c>
      <c r="E324" s="227">
        <v>0</v>
      </c>
    </row>
    <row r="325" spans="2:5">
      <c r="B325" s="233">
        <v>120</v>
      </c>
      <c r="C325" s="227">
        <v>1</v>
      </c>
      <c r="D325" s="227">
        <v>0</v>
      </c>
      <c r="E325" s="227">
        <v>0</v>
      </c>
    </row>
    <row r="326" spans="2:5">
      <c r="B326" s="233">
        <v>121</v>
      </c>
      <c r="C326" s="227">
        <v>1</v>
      </c>
      <c r="D326" s="227">
        <v>0</v>
      </c>
      <c r="E326" s="227">
        <v>0</v>
      </c>
    </row>
    <row r="327" spans="2:5">
      <c r="B327" s="233">
        <v>122</v>
      </c>
      <c r="C327" s="227">
        <v>1</v>
      </c>
      <c r="D327" s="227">
        <v>0</v>
      </c>
      <c r="E327" s="227">
        <v>0</v>
      </c>
    </row>
    <row r="328" spans="2:5">
      <c r="B328" s="233">
        <v>123</v>
      </c>
      <c r="C328" s="227">
        <v>1</v>
      </c>
      <c r="D328" s="227">
        <v>0</v>
      </c>
      <c r="E328" s="227">
        <v>0</v>
      </c>
    </row>
    <row r="329" spans="2:5">
      <c r="B329" s="233">
        <v>124</v>
      </c>
      <c r="C329" s="227">
        <v>1</v>
      </c>
      <c r="D329" s="227">
        <v>0</v>
      </c>
      <c r="E329" s="227">
        <v>0</v>
      </c>
    </row>
    <row r="330" spans="2:5">
      <c r="B330" s="233">
        <v>125</v>
      </c>
      <c r="C330" s="227">
        <v>1</v>
      </c>
      <c r="D330" s="227">
        <v>0</v>
      </c>
      <c r="E330" s="227">
        <v>0</v>
      </c>
    </row>
    <row r="331" spans="2:5">
      <c r="B331" s="233">
        <v>126</v>
      </c>
      <c r="C331" s="227">
        <v>1</v>
      </c>
      <c r="D331" s="227">
        <v>0</v>
      </c>
      <c r="E331" s="227">
        <v>0</v>
      </c>
    </row>
    <row r="332" spans="2:5">
      <c r="B332" s="233">
        <v>127</v>
      </c>
      <c r="C332" s="227">
        <v>1</v>
      </c>
      <c r="D332" s="227">
        <v>0</v>
      </c>
      <c r="E332" s="227">
        <v>0</v>
      </c>
    </row>
    <row r="333" spans="2:5">
      <c r="B333" s="233">
        <v>128</v>
      </c>
      <c r="C333" s="227">
        <v>1</v>
      </c>
      <c r="D333" s="227">
        <v>0</v>
      </c>
      <c r="E333" s="227">
        <v>0</v>
      </c>
    </row>
    <row r="334" spans="2:5">
      <c r="B334" s="233">
        <v>129</v>
      </c>
      <c r="C334" s="227">
        <v>1</v>
      </c>
      <c r="D334" s="227">
        <v>0</v>
      </c>
      <c r="E334" s="227">
        <v>0</v>
      </c>
    </row>
    <row r="335" spans="2:5">
      <c r="B335" s="233">
        <v>130</v>
      </c>
      <c r="C335" s="227">
        <v>1</v>
      </c>
      <c r="D335" s="227">
        <v>0</v>
      </c>
      <c r="E335" s="227">
        <v>0</v>
      </c>
    </row>
    <row r="336" spans="2:5">
      <c r="B336" s="233">
        <v>131</v>
      </c>
      <c r="C336" s="227">
        <v>1</v>
      </c>
      <c r="D336" s="227">
        <v>0</v>
      </c>
      <c r="E336" s="227">
        <v>0</v>
      </c>
    </row>
    <row r="337" spans="2:5">
      <c r="B337" s="233">
        <v>132</v>
      </c>
      <c r="C337" s="227">
        <v>1</v>
      </c>
      <c r="D337" s="227">
        <v>0</v>
      </c>
      <c r="E337" s="227">
        <v>0</v>
      </c>
    </row>
    <row r="338" spans="2:5">
      <c r="B338" s="233">
        <v>133</v>
      </c>
      <c r="C338" s="227">
        <v>1</v>
      </c>
      <c r="D338" s="227">
        <v>0</v>
      </c>
      <c r="E338" s="227">
        <v>0</v>
      </c>
    </row>
    <row r="339" spans="2:5">
      <c r="B339" s="233">
        <v>134</v>
      </c>
      <c r="C339" s="227">
        <v>1</v>
      </c>
      <c r="D339" s="227">
        <v>0</v>
      </c>
      <c r="E339" s="227">
        <v>0</v>
      </c>
    </row>
    <row r="340" spans="2:5">
      <c r="B340" s="233">
        <v>135</v>
      </c>
      <c r="C340" s="227">
        <v>1</v>
      </c>
      <c r="D340" s="227">
        <v>0</v>
      </c>
      <c r="E340" s="227">
        <v>0</v>
      </c>
    </row>
    <row r="341" spans="2:5">
      <c r="B341" s="233">
        <v>136</v>
      </c>
      <c r="C341" s="227">
        <v>1</v>
      </c>
      <c r="D341" s="227">
        <v>0</v>
      </c>
      <c r="E341" s="227">
        <v>0</v>
      </c>
    </row>
    <row r="342" spans="2:5">
      <c r="B342" s="233">
        <v>137</v>
      </c>
      <c r="C342" s="227">
        <v>1</v>
      </c>
      <c r="D342" s="227">
        <v>0</v>
      </c>
      <c r="E342" s="227">
        <v>0</v>
      </c>
    </row>
    <row r="343" spans="2:5">
      <c r="B343" s="233">
        <v>138</v>
      </c>
      <c r="C343" s="227">
        <v>1</v>
      </c>
      <c r="D343" s="227">
        <v>0</v>
      </c>
      <c r="E343" s="227">
        <v>0</v>
      </c>
    </row>
    <row r="344" spans="2:5">
      <c r="B344" s="233">
        <v>139</v>
      </c>
      <c r="C344" s="227">
        <v>1</v>
      </c>
      <c r="D344" s="227">
        <v>0</v>
      </c>
      <c r="E344" s="227">
        <v>0</v>
      </c>
    </row>
    <row r="345" spans="2:5">
      <c r="B345" s="233">
        <v>140</v>
      </c>
      <c r="C345" s="227">
        <v>1</v>
      </c>
      <c r="D345" s="227">
        <v>0</v>
      </c>
      <c r="E345" s="227">
        <v>0</v>
      </c>
    </row>
    <row r="346" spans="2:5">
      <c r="B346" s="233">
        <v>141</v>
      </c>
      <c r="C346" s="227">
        <v>0</v>
      </c>
      <c r="D346" s="227">
        <v>1</v>
      </c>
      <c r="E346" s="227">
        <v>0</v>
      </c>
    </row>
    <row r="347" spans="2:5">
      <c r="B347" s="233">
        <v>142</v>
      </c>
      <c r="C347" s="227">
        <v>0</v>
      </c>
      <c r="D347" s="227">
        <v>1</v>
      </c>
      <c r="E347" s="227">
        <v>0</v>
      </c>
    </row>
    <row r="348" spans="2:5">
      <c r="B348" s="233">
        <v>143</v>
      </c>
      <c r="C348" s="227">
        <v>0</v>
      </c>
      <c r="D348" s="227">
        <v>1</v>
      </c>
      <c r="E348" s="227">
        <v>0</v>
      </c>
    </row>
    <row r="349" spans="2:5">
      <c r="B349" s="233">
        <v>144</v>
      </c>
      <c r="C349" s="227">
        <v>0</v>
      </c>
      <c r="D349" s="227">
        <v>1</v>
      </c>
      <c r="E349" s="227">
        <v>0</v>
      </c>
    </row>
    <row r="350" spans="2:5">
      <c r="B350" s="233">
        <v>145</v>
      </c>
      <c r="C350" s="227">
        <v>0</v>
      </c>
      <c r="D350" s="227">
        <v>1</v>
      </c>
      <c r="E350" s="227">
        <v>0</v>
      </c>
    </row>
    <row r="351" spans="2:5">
      <c r="B351" s="233">
        <v>146</v>
      </c>
      <c r="C351" s="227">
        <v>0</v>
      </c>
      <c r="D351" s="227">
        <v>1</v>
      </c>
      <c r="E351" s="227">
        <v>0</v>
      </c>
    </row>
    <row r="352" spans="2:5">
      <c r="B352" s="233">
        <v>147</v>
      </c>
      <c r="C352" s="227">
        <v>0</v>
      </c>
      <c r="D352" s="227">
        <v>0</v>
      </c>
      <c r="E352" s="227">
        <v>1</v>
      </c>
    </row>
    <row r="353" spans="2:5">
      <c r="B353" s="233">
        <v>148</v>
      </c>
      <c r="C353" s="227">
        <v>0</v>
      </c>
      <c r="D353" s="227">
        <v>0</v>
      </c>
      <c r="E353" s="227">
        <v>1</v>
      </c>
    </row>
    <row r="354" spans="2:5">
      <c r="B354" s="233">
        <v>149</v>
      </c>
      <c r="C354" s="227">
        <v>0</v>
      </c>
      <c r="D354" s="227">
        <v>0</v>
      </c>
      <c r="E354" s="227">
        <v>1</v>
      </c>
    </row>
    <row r="355" spans="2:5">
      <c r="B355" s="233">
        <v>150</v>
      </c>
      <c r="C355" s="227">
        <v>0</v>
      </c>
      <c r="D355" s="227">
        <v>0</v>
      </c>
      <c r="E355" s="227">
        <v>1</v>
      </c>
    </row>
    <row r="356" spans="2:5">
      <c r="B356" s="233">
        <v>151</v>
      </c>
      <c r="C356" s="227">
        <v>0</v>
      </c>
      <c r="D356" s="227">
        <v>0</v>
      </c>
      <c r="E356" s="227">
        <v>1</v>
      </c>
    </row>
    <row r="357" spans="2:5">
      <c r="B357" s="233">
        <v>152</v>
      </c>
      <c r="C357" s="227">
        <v>0</v>
      </c>
      <c r="D357" s="227">
        <v>0</v>
      </c>
      <c r="E357" s="227">
        <v>1</v>
      </c>
    </row>
    <row r="358" spans="2:5">
      <c r="B358" s="233">
        <v>153</v>
      </c>
      <c r="C358" s="227">
        <v>0</v>
      </c>
      <c r="D358" s="227">
        <v>0</v>
      </c>
      <c r="E358" s="227">
        <v>1</v>
      </c>
    </row>
    <row r="359" spans="2:5">
      <c r="B359" s="233">
        <v>154</v>
      </c>
      <c r="C359" s="227">
        <v>0</v>
      </c>
      <c r="D359" s="227">
        <v>0</v>
      </c>
      <c r="E359" s="227">
        <v>1</v>
      </c>
    </row>
    <row r="360" spans="2:5">
      <c r="B360" s="233">
        <v>155</v>
      </c>
      <c r="C360" s="227">
        <v>0</v>
      </c>
      <c r="D360" s="227">
        <v>0</v>
      </c>
      <c r="E360" s="227">
        <v>1</v>
      </c>
    </row>
    <row r="361" spans="2:5">
      <c r="B361" s="233">
        <v>156</v>
      </c>
      <c r="C361" s="227">
        <v>0</v>
      </c>
      <c r="D361" s="227">
        <v>0</v>
      </c>
      <c r="E361" s="227">
        <v>1</v>
      </c>
    </row>
    <row r="362" spans="2:5">
      <c r="B362" s="233">
        <v>157</v>
      </c>
      <c r="C362" s="227">
        <v>0</v>
      </c>
      <c r="D362" s="227">
        <v>0</v>
      </c>
      <c r="E362" s="227">
        <v>1</v>
      </c>
    </row>
    <row r="363" spans="2:5">
      <c r="B363" s="233">
        <v>158</v>
      </c>
      <c r="C363" s="227">
        <v>0</v>
      </c>
      <c r="D363" s="227">
        <v>0</v>
      </c>
      <c r="E363" s="227">
        <v>1</v>
      </c>
    </row>
    <row r="364" spans="2:5">
      <c r="B364" s="233">
        <v>159</v>
      </c>
      <c r="C364" s="227">
        <v>0</v>
      </c>
      <c r="D364" s="227">
        <v>0</v>
      </c>
      <c r="E364" s="227">
        <v>1</v>
      </c>
    </row>
    <row r="365" spans="2:5">
      <c r="B365" s="233">
        <v>160</v>
      </c>
      <c r="C365" s="227">
        <v>0</v>
      </c>
      <c r="D365" s="227">
        <v>0</v>
      </c>
      <c r="E365" s="227">
        <v>1</v>
      </c>
    </row>
    <row r="366" spans="2:5">
      <c r="B366" s="233">
        <v>161</v>
      </c>
      <c r="C366" s="227">
        <v>0</v>
      </c>
      <c r="D366" s="227">
        <v>0</v>
      </c>
      <c r="E366" s="227">
        <v>1</v>
      </c>
    </row>
    <row r="367" spans="2:5">
      <c r="B367" s="233">
        <v>162</v>
      </c>
      <c r="C367" s="227">
        <v>0</v>
      </c>
      <c r="D367" s="227">
        <v>0</v>
      </c>
      <c r="E367" s="227">
        <v>1</v>
      </c>
    </row>
    <row r="368" spans="2:5">
      <c r="B368" s="233">
        <v>163</v>
      </c>
      <c r="C368" s="227">
        <v>0</v>
      </c>
      <c r="D368" s="227">
        <v>0</v>
      </c>
      <c r="E368" s="227">
        <v>1</v>
      </c>
    </row>
    <row r="369" spans="2:5">
      <c r="B369" s="233">
        <v>164</v>
      </c>
      <c r="C369" s="227">
        <v>0</v>
      </c>
      <c r="D369" s="227">
        <v>0</v>
      </c>
      <c r="E369" s="227">
        <v>1</v>
      </c>
    </row>
    <row r="370" spans="2:5">
      <c r="B370" s="233">
        <v>165</v>
      </c>
      <c r="C370" s="227">
        <v>0</v>
      </c>
      <c r="D370" s="227">
        <v>0</v>
      </c>
      <c r="E370" s="227">
        <v>1</v>
      </c>
    </row>
    <row r="371" spans="2:5">
      <c r="B371" s="233">
        <v>166</v>
      </c>
      <c r="C371" s="227">
        <v>0</v>
      </c>
      <c r="D371" s="227">
        <v>0</v>
      </c>
      <c r="E371" s="227">
        <v>1</v>
      </c>
    </row>
    <row r="372" spans="2:5">
      <c r="B372" s="233">
        <v>167</v>
      </c>
      <c r="C372" s="227">
        <v>0</v>
      </c>
      <c r="D372" s="227">
        <v>0</v>
      </c>
      <c r="E372" s="227">
        <v>1</v>
      </c>
    </row>
    <row r="373" spans="2:5">
      <c r="B373" s="233">
        <v>168</v>
      </c>
      <c r="C373" s="227">
        <v>0</v>
      </c>
      <c r="D373" s="227">
        <v>0</v>
      </c>
      <c r="E373" s="227">
        <v>1</v>
      </c>
    </row>
    <row r="374" spans="2:5">
      <c r="B374" s="233">
        <v>169</v>
      </c>
      <c r="C374" s="227">
        <v>1</v>
      </c>
      <c r="D374" s="227">
        <v>1</v>
      </c>
      <c r="E374" s="227">
        <v>0</v>
      </c>
    </row>
    <row r="375" spans="2:5">
      <c r="B375" s="233">
        <v>170</v>
      </c>
      <c r="C375" s="227">
        <v>1</v>
      </c>
      <c r="D375" s="227">
        <v>1</v>
      </c>
      <c r="E375" s="227">
        <v>0</v>
      </c>
    </row>
    <row r="376" spans="2:5">
      <c r="B376" s="233">
        <v>171</v>
      </c>
      <c r="C376" s="227">
        <v>1</v>
      </c>
      <c r="D376" s="227">
        <v>1</v>
      </c>
      <c r="E376" s="227">
        <v>0</v>
      </c>
    </row>
    <row r="377" spans="2:5">
      <c r="B377" s="233">
        <v>172</v>
      </c>
      <c r="C377" s="227">
        <v>1</v>
      </c>
      <c r="D377" s="227">
        <v>1</v>
      </c>
      <c r="E377" s="227">
        <v>0</v>
      </c>
    </row>
    <row r="378" spans="2:5">
      <c r="B378" s="233">
        <v>173</v>
      </c>
      <c r="C378" s="227">
        <v>1</v>
      </c>
      <c r="D378" s="227">
        <v>1</v>
      </c>
      <c r="E378" s="227">
        <v>0</v>
      </c>
    </row>
    <row r="379" spans="2:5">
      <c r="B379" s="233">
        <v>174</v>
      </c>
      <c r="C379" s="227">
        <v>1</v>
      </c>
      <c r="D379" s="227">
        <v>1</v>
      </c>
      <c r="E379" s="227">
        <v>0</v>
      </c>
    </row>
    <row r="380" spans="2:5">
      <c r="B380" s="233">
        <v>175</v>
      </c>
      <c r="C380" s="227">
        <v>1</v>
      </c>
      <c r="D380" s="227">
        <v>1</v>
      </c>
      <c r="E380" s="227">
        <v>0</v>
      </c>
    </row>
    <row r="381" spans="2:5">
      <c r="B381" s="233">
        <v>176</v>
      </c>
      <c r="C381" s="227">
        <v>1</v>
      </c>
      <c r="D381" s="227">
        <v>1</v>
      </c>
      <c r="E381" s="227">
        <v>0</v>
      </c>
    </row>
    <row r="382" spans="2:5">
      <c r="B382" s="233">
        <v>177</v>
      </c>
      <c r="C382" s="227">
        <v>1</v>
      </c>
      <c r="D382" s="227">
        <v>1</v>
      </c>
      <c r="E382" s="227">
        <v>0</v>
      </c>
    </row>
    <row r="383" spans="2:5">
      <c r="B383" s="233">
        <v>178</v>
      </c>
      <c r="C383" s="227">
        <v>1</v>
      </c>
      <c r="D383" s="227">
        <v>0</v>
      </c>
      <c r="E383" s="227">
        <v>1</v>
      </c>
    </row>
    <row r="384" spans="2:5">
      <c r="B384" s="233">
        <v>179</v>
      </c>
      <c r="C384" s="227">
        <v>1</v>
      </c>
      <c r="D384" s="227">
        <v>0</v>
      </c>
      <c r="E384" s="227">
        <v>1</v>
      </c>
    </row>
    <row r="385" spans="2:5">
      <c r="B385" s="233">
        <v>180</v>
      </c>
      <c r="C385" s="227">
        <v>1</v>
      </c>
      <c r="D385" s="227">
        <v>0</v>
      </c>
      <c r="E385" s="227">
        <v>1</v>
      </c>
    </row>
    <row r="386" spans="2:5">
      <c r="B386" s="233">
        <v>181</v>
      </c>
      <c r="C386" s="227">
        <v>1</v>
      </c>
      <c r="D386" s="227">
        <v>0</v>
      </c>
      <c r="E386" s="227">
        <v>1</v>
      </c>
    </row>
    <row r="387" spans="2:5">
      <c r="B387" s="233">
        <v>182</v>
      </c>
      <c r="C387" s="227">
        <v>1</v>
      </c>
      <c r="D387" s="227">
        <v>0</v>
      </c>
      <c r="E387" s="227">
        <v>1</v>
      </c>
    </row>
    <row r="388" spans="2:5">
      <c r="B388" s="233">
        <v>183</v>
      </c>
      <c r="C388" s="227">
        <v>1</v>
      </c>
      <c r="D388" s="227">
        <v>0</v>
      </c>
      <c r="E388" s="227">
        <v>1</v>
      </c>
    </row>
    <row r="389" spans="2:5">
      <c r="B389" s="233">
        <v>184</v>
      </c>
      <c r="C389" s="227">
        <v>1</v>
      </c>
      <c r="D389" s="227">
        <v>0</v>
      </c>
      <c r="E389" s="227">
        <v>1</v>
      </c>
    </row>
    <row r="390" spans="2:5">
      <c r="B390" s="233">
        <v>185</v>
      </c>
      <c r="C390" s="227">
        <v>1</v>
      </c>
      <c r="D390" s="227">
        <v>0</v>
      </c>
      <c r="E390" s="227">
        <v>1</v>
      </c>
    </row>
    <row r="391" spans="2:5">
      <c r="B391" s="233">
        <v>186</v>
      </c>
      <c r="C391" s="227">
        <v>1</v>
      </c>
      <c r="D391" s="227">
        <v>0</v>
      </c>
      <c r="E391" s="227">
        <v>1</v>
      </c>
    </row>
    <row r="392" spans="2:5">
      <c r="B392" s="233">
        <v>187</v>
      </c>
      <c r="C392" s="227">
        <v>1</v>
      </c>
      <c r="D392" s="227">
        <v>0</v>
      </c>
      <c r="E392" s="227">
        <v>1</v>
      </c>
    </row>
    <row r="393" spans="2:5">
      <c r="B393" s="233">
        <v>188</v>
      </c>
      <c r="C393" s="227">
        <v>1</v>
      </c>
      <c r="D393" s="227">
        <v>0</v>
      </c>
      <c r="E393" s="227">
        <v>1</v>
      </c>
    </row>
    <row r="394" spans="2:5">
      <c r="B394" s="233">
        <v>189</v>
      </c>
      <c r="C394" s="227">
        <v>1</v>
      </c>
      <c r="D394" s="227">
        <v>0</v>
      </c>
      <c r="E394" s="227">
        <v>1</v>
      </c>
    </row>
    <row r="395" spans="2:5">
      <c r="B395" s="233">
        <v>190</v>
      </c>
      <c r="C395" s="227">
        <v>1</v>
      </c>
      <c r="D395" s="227">
        <v>0</v>
      </c>
      <c r="E395" s="227">
        <v>1</v>
      </c>
    </row>
    <row r="396" spans="2:5">
      <c r="B396" s="233">
        <v>191</v>
      </c>
      <c r="C396" s="227">
        <v>1</v>
      </c>
      <c r="D396" s="227">
        <v>0</v>
      </c>
      <c r="E396" s="227">
        <v>1</v>
      </c>
    </row>
    <row r="397" spans="2:5">
      <c r="B397" s="233">
        <v>192</v>
      </c>
      <c r="C397" s="227">
        <v>1</v>
      </c>
      <c r="D397" s="227">
        <v>0</v>
      </c>
      <c r="E397" s="227">
        <v>1</v>
      </c>
    </row>
    <row r="398" spans="2:5">
      <c r="B398" s="233">
        <v>193</v>
      </c>
      <c r="C398" s="227">
        <v>1</v>
      </c>
      <c r="D398" s="227">
        <v>0</v>
      </c>
      <c r="E398" s="227">
        <v>1</v>
      </c>
    </row>
    <row r="399" spans="2:5">
      <c r="B399" s="233">
        <v>194</v>
      </c>
      <c r="C399" s="227">
        <v>1</v>
      </c>
      <c r="D399" s="227">
        <v>0</v>
      </c>
      <c r="E399" s="227">
        <v>1</v>
      </c>
    </row>
    <row r="400" spans="2:5">
      <c r="B400" s="233">
        <v>195</v>
      </c>
      <c r="C400" s="227">
        <v>1</v>
      </c>
      <c r="D400" s="227">
        <v>0</v>
      </c>
      <c r="E400" s="227">
        <v>1</v>
      </c>
    </row>
    <row r="401" spans="2:5">
      <c r="B401" s="233">
        <v>196</v>
      </c>
      <c r="C401" s="227">
        <v>1</v>
      </c>
      <c r="D401" s="227">
        <v>0</v>
      </c>
      <c r="E401" s="227">
        <v>1</v>
      </c>
    </row>
    <row r="402" spans="2:5">
      <c r="B402" s="233">
        <v>197</v>
      </c>
      <c r="C402" s="227">
        <v>1</v>
      </c>
      <c r="D402" s="227">
        <v>0</v>
      </c>
      <c r="E402" s="227">
        <v>1</v>
      </c>
    </row>
    <row r="403" spans="2:5">
      <c r="B403" s="233">
        <v>198</v>
      </c>
      <c r="C403" s="227">
        <v>1</v>
      </c>
      <c r="D403" s="227">
        <v>0</v>
      </c>
      <c r="E403" s="227">
        <v>1</v>
      </c>
    </row>
    <row r="404" spans="2:5">
      <c r="B404" s="233">
        <v>199</v>
      </c>
      <c r="C404" s="227">
        <v>1</v>
      </c>
      <c r="D404" s="227">
        <v>0</v>
      </c>
      <c r="E404" s="227">
        <v>1</v>
      </c>
    </row>
    <row r="405" spans="2:5">
      <c r="B405" s="233">
        <v>200</v>
      </c>
      <c r="C405" s="227">
        <v>1</v>
      </c>
      <c r="D405" s="227">
        <v>0</v>
      </c>
      <c r="E405" s="227">
        <v>1</v>
      </c>
    </row>
    <row r="406" spans="2:5">
      <c r="B406" s="233">
        <v>201</v>
      </c>
      <c r="C406" s="227">
        <v>1</v>
      </c>
      <c r="D406" s="227">
        <v>0</v>
      </c>
      <c r="E406" s="227">
        <v>1</v>
      </c>
    </row>
    <row r="407" spans="2:5">
      <c r="B407" s="233">
        <v>202</v>
      </c>
      <c r="C407" s="227">
        <v>1</v>
      </c>
      <c r="D407" s="227">
        <v>0</v>
      </c>
      <c r="E407" s="227">
        <v>1</v>
      </c>
    </row>
    <row r="408" spans="2:5">
      <c r="B408" s="233">
        <v>203</v>
      </c>
      <c r="C408" s="227">
        <v>0</v>
      </c>
      <c r="D408" s="227">
        <v>1</v>
      </c>
      <c r="E408" s="227">
        <v>1</v>
      </c>
    </row>
    <row r="409" spans="2:5">
      <c r="B409" s="233">
        <v>204</v>
      </c>
      <c r="C409" s="227">
        <v>0</v>
      </c>
      <c r="D409" s="227">
        <v>1</v>
      </c>
      <c r="E409" s="227">
        <v>1</v>
      </c>
    </row>
    <row r="410" spans="2:5">
      <c r="B410" s="233">
        <v>205</v>
      </c>
      <c r="C410" s="227">
        <v>0</v>
      </c>
      <c r="D410" s="227">
        <v>1</v>
      </c>
      <c r="E410" s="227">
        <v>1</v>
      </c>
    </row>
    <row r="411" spans="2:5">
      <c r="B411" s="233">
        <v>206</v>
      </c>
      <c r="C411" s="227">
        <v>0</v>
      </c>
      <c r="D411" s="227">
        <v>1</v>
      </c>
      <c r="E411" s="227">
        <v>1</v>
      </c>
    </row>
    <row r="412" spans="2:5">
      <c r="B412" s="233">
        <v>207</v>
      </c>
      <c r="C412" s="227">
        <v>1</v>
      </c>
      <c r="D412" s="227">
        <v>1</v>
      </c>
      <c r="E412" s="227">
        <v>1</v>
      </c>
    </row>
    <row r="413" spans="2:5">
      <c r="B413" s="233">
        <v>208</v>
      </c>
      <c r="C413" s="227">
        <v>1</v>
      </c>
      <c r="D413" s="227">
        <v>1</v>
      </c>
      <c r="E413" s="227">
        <v>1</v>
      </c>
    </row>
    <row r="414" spans="2:5">
      <c r="B414" s="233">
        <v>209</v>
      </c>
      <c r="C414" s="227">
        <v>1</v>
      </c>
      <c r="D414" s="227">
        <v>1</v>
      </c>
      <c r="E414" s="227">
        <v>1</v>
      </c>
    </row>
    <row r="415" spans="2:5">
      <c r="B415" s="233">
        <v>210</v>
      </c>
      <c r="C415" s="227">
        <v>1</v>
      </c>
      <c r="D415" s="227">
        <v>1</v>
      </c>
      <c r="E415" s="227">
        <v>1</v>
      </c>
    </row>
    <row r="416" spans="2:5">
      <c r="B416" s="233">
        <v>211</v>
      </c>
      <c r="C416" s="227">
        <v>1</v>
      </c>
      <c r="D416" s="227">
        <v>1</v>
      </c>
      <c r="E416" s="227">
        <v>1</v>
      </c>
    </row>
    <row r="417" spans="2:5">
      <c r="B417" s="233">
        <v>212</v>
      </c>
      <c r="C417" s="227">
        <v>1</v>
      </c>
      <c r="D417" s="227">
        <v>1</v>
      </c>
      <c r="E417" s="227">
        <v>1</v>
      </c>
    </row>
    <row r="418" spans="2:5">
      <c r="B418" s="233">
        <v>213</v>
      </c>
      <c r="C418" s="227">
        <v>1</v>
      </c>
      <c r="D418" s="227">
        <v>1</v>
      </c>
      <c r="E418" s="227">
        <v>1</v>
      </c>
    </row>
    <row r="419" spans="2:5">
      <c r="B419" s="233">
        <v>214</v>
      </c>
      <c r="C419" s="227">
        <v>1</v>
      </c>
      <c r="D419" s="227">
        <v>1</v>
      </c>
      <c r="E419" s="227">
        <v>1</v>
      </c>
    </row>
    <row r="420" spans="2:5">
      <c r="B420" s="233">
        <v>215</v>
      </c>
      <c r="C420" s="227">
        <v>1</v>
      </c>
      <c r="D420" s="227">
        <v>1</v>
      </c>
      <c r="E420" s="227">
        <v>1</v>
      </c>
    </row>
    <row r="421" spans="2:5">
      <c r="B421" s="233">
        <v>216</v>
      </c>
      <c r="C421" s="227">
        <v>1</v>
      </c>
      <c r="D421" s="227">
        <v>1</v>
      </c>
      <c r="E421" s="227">
        <v>1</v>
      </c>
    </row>
    <row r="422" spans="2:5">
      <c r="B422" s="233">
        <v>217</v>
      </c>
      <c r="C422" s="227">
        <v>1</v>
      </c>
      <c r="D422" s="227">
        <v>1</v>
      </c>
      <c r="E422" s="227">
        <v>1</v>
      </c>
    </row>
    <row r="423" spans="2:5">
      <c r="B423" s="233">
        <v>218</v>
      </c>
      <c r="C423" s="227">
        <v>1</v>
      </c>
      <c r="D423" s="227">
        <v>1</v>
      </c>
      <c r="E423" s="227">
        <v>1</v>
      </c>
    </row>
    <row r="424" spans="2:5">
      <c r="B424" s="233">
        <v>219</v>
      </c>
      <c r="C424" s="227">
        <v>1</v>
      </c>
      <c r="D424" s="227">
        <v>1</v>
      </c>
      <c r="E424" s="227">
        <v>1</v>
      </c>
    </row>
    <row r="425" spans="2:5">
      <c r="B425" s="233">
        <v>220</v>
      </c>
      <c r="C425" s="227">
        <v>1</v>
      </c>
      <c r="D425" s="227">
        <v>1</v>
      </c>
      <c r="E425" s="227">
        <v>1</v>
      </c>
    </row>
    <row r="426" spans="2:5">
      <c r="B426" s="233">
        <v>221</v>
      </c>
      <c r="C426" s="227">
        <v>1</v>
      </c>
      <c r="D426" s="227">
        <v>1</v>
      </c>
      <c r="E426" s="227">
        <v>1</v>
      </c>
    </row>
  </sheetData>
  <sortState ref="C2:E218">
    <sortCondition ref="C2:C218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30" zoomScale="80" zoomScaleNormal="80" workbookViewId="0">
      <selection activeCell="S62" sqref="S62"/>
    </sheetView>
  </sheetViews>
  <sheetFormatPr defaultColWidth="8.85546875" defaultRowHeight="12.75"/>
  <cols>
    <col min="1" max="1" width="8.85546875" style="65"/>
    <col min="2" max="2" width="32.28515625" style="65" customWidth="1"/>
    <col min="3" max="7" width="8.85546875" style="65"/>
    <col min="8" max="8" width="9.42578125" style="65" customWidth="1"/>
    <col min="9" max="16384" width="8.85546875" style="65"/>
  </cols>
  <sheetData>
    <row r="2" spans="1:5" ht="15.75">
      <c r="B2" s="225" t="s">
        <v>858</v>
      </c>
      <c r="E2" s="224">
        <v>2013</v>
      </c>
    </row>
    <row r="4" spans="1:5">
      <c r="A4" s="135">
        <v>1</v>
      </c>
      <c r="B4" s="148" t="s">
        <v>859</v>
      </c>
    </row>
    <row r="5" spans="1:5">
      <c r="B5" s="1834" t="s">
        <v>851</v>
      </c>
      <c r="C5" s="1833" t="s">
        <v>848</v>
      </c>
      <c r="D5" s="1833"/>
      <c r="E5" s="1833"/>
    </row>
    <row r="6" spans="1:5">
      <c r="B6" s="1835"/>
      <c r="C6" s="301" t="s">
        <v>842</v>
      </c>
      <c r="D6" s="301" t="s">
        <v>843</v>
      </c>
      <c r="E6" s="302" t="s">
        <v>4</v>
      </c>
    </row>
    <row r="7" spans="1:5">
      <c r="B7" s="81" t="s">
        <v>844</v>
      </c>
      <c r="C7" s="299">
        <v>4152</v>
      </c>
      <c r="D7" s="299"/>
      <c r="E7" s="300">
        <f>SUM(C7:D7)</f>
        <v>4152</v>
      </c>
    </row>
    <row r="8" spans="1:5">
      <c r="B8" s="81" t="s">
        <v>845</v>
      </c>
      <c r="C8" s="299">
        <v>3183</v>
      </c>
      <c r="D8" s="299"/>
      <c r="E8" s="300">
        <f t="shared" ref="E8:E18" si="0">SUM(C8:D8)</f>
        <v>3183</v>
      </c>
    </row>
    <row r="9" spans="1:5">
      <c r="B9" s="81" t="s">
        <v>834</v>
      </c>
      <c r="C9" s="299">
        <v>2707</v>
      </c>
      <c r="D9" s="299"/>
      <c r="E9" s="300">
        <f t="shared" si="0"/>
        <v>2707</v>
      </c>
    </row>
    <row r="10" spans="1:5">
      <c r="B10" s="81" t="s">
        <v>835</v>
      </c>
      <c r="C10" s="299">
        <v>3338</v>
      </c>
      <c r="D10" s="299"/>
      <c r="E10" s="300">
        <f t="shared" si="0"/>
        <v>3338</v>
      </c>
    </row>
    <row r="11" spans="1:5">
      <c r="B11" s="81" t="s">
        <v>836</v>
      </c>
      <c r="C11" s="299">
        <v>14149</v>
      </c>
      <c r="D11" s="299"/>
      <c r="E11" s="300">
        <f t="shared" si="0"/>
        <v>14149</v>
      </c>
    </row>
    <row r="12" spans="1:5">
      <c r="B12" s="81" t="s">
        <v>837</v>
      </c>
      <c r="C12" s="299">
        <v>8946</v>
      </c>
      <c r="D12" s="299"/>
      <c r="E12" s="300">
        <f t="shared" si="0"/>
        <v>8946</v>
      </c>
    </row>
    <row r="13" spans="1:5">
      <c r="B13" s="81" t="s">
        <v>838</v>
      </c>
      <c r="C13" s="299">
        <v>4147</v>
      </c>
      <c r="D13" s="299"/>
      <c r="E13" s="300">
        <f t="shared" si="0"/>
        <v>4147</v>
      </c>
    </row>
    <row r="14" spans="1:5">
      <c r="B14" s="81" t="s">
        <v>839</v>
      </c>
      <c r="C14" s="299">
        <v>2900</v>
      </c>
      <c r="D14" s="299"/>
      <c r="E14" s="300">
        <f t="shared" si="0"/>
        <v>2900</v>
      </c>
    </row>
    <row r="15" spans="1:5">
      <c r="B15" s="81" t="s">
        <v>840</v>
      </c>
      <c r="C15" s="299">
        <v>1055</v>
      </c>
      <c r="D15" s="299"/>
      <c r="E15" s="300">
        <f t="shared" si="0"/>
        <v>1055</v>
      </c>
    </row>
    <row r="16" spans="1:5">
      <c r="B16" s="81" t="s">
        <v>841</v>
      </c>
      <c r="C16" s="299">
        <v>2478</v>
      </c>
      <c r="D16" s="299"/>
      <c r="E16" s="300">
        <f t="shared" si="0"/>
        <v>2478</v>
      </c>
    </row>
    <row r="17" spans="1:11">
      <c r="B17" s="81" t="s">
        <v>846</v>
      </c>
      <c r="C17" s="299">
        <v>24001</v>
      </c>
      <c r="D17" s="299">
        <v>11152</v>
      </c>
      <c r="E17" s="300">
        <f t="shared" si="0"/>
        <v>35153</v>
      </c>
    </row>
    <row r="18" spans="1:11">
      <c r="B18" s="298" t="s">
        <v>4</v>
      </c>
      <c r="C18" s="300">
        <f>SUM(C7:C17)</f>
        <v>71056</v>
      </c>
      <c r="D18" s="300">
        <f>SUM(D7:D17)</f>
        <v>11152</v>
      </c>
      <c r="E18" s="300">
        <f t="shared" si="0"/>
        <v>82208</v>
      </c>
    </row>
    <row r="20" spans="1:11">
      <c r="A20" s="135">
        <v>2</v>
      </c>
      <c r="B20" s="148" t="s">
        <v>860</v>
      </c>
    </row>
    <row r="21" spans="1:11">
      <c r="B21" s="81"/>
      <c r="C21" s="1832" t="s">
        <v>8</v>
      </c>
      <c r="D21" s="1832"/>
      <c r="E21" s="1832"/>
      <c r="F21" s="1832" t="s">
        <v>1</v>
      </c>
      <c r="G21" s="1832"/>
      <c r="H21" s="1832"/>
      <c r="I21" s="1832" t="s">
        <v>4</v>
      </c>
      <c r="J21" s="1832"/>
      <c r="K21" s="1832"/>
    </row>
    <row r="22" spans="1:11">
      <c r="B22" s="81"/>
      <c r="C22" s="297" t="s">
        <v>855</v>
      </c>
      <c r="D22" s="297" t="s">
        <v>847</v>
      </c>
      <c r="E22" s="297" t="s">
        <v>4</v>
      </c>
      <c r="F22" s="297" t="s">
        <v>855</v>
      </c>
      <c r="G22" s="297" t="s">
        <v>847</v>
      </c>
      <c r="H22" s="297" t="s">
        <v>4</v>
      </c>
      <c r="I22" s="297" t="s">
        <v>855</v>
      </c>
      <c r="J22" s="297" t="s">
        <v>847</v>
      </c>
      <c r="K22" s="297" t="s">
        <v>4</v>
      </c>
    </row>
    <row r="23" spans="1:11">
      <c r="B23" s="81" t="s">
        <v>849</v>
      </c>
      <c r="C23" s="299">
        <v>1778</v>
      </c>
      <c r="D23" s="299">
        <v>2183</v>
      </c>
      <c r="E23" s="300">
        <f>SUM(C23:D23)</f>
        <v>3961</v>
      </c>
      <c r="F23" s="299">
        <v>1</v>
      </c>
      <c r="G23" s="299">
        <v>129</v>
      </c>
      <c r="H23" s="300">
        <f>SUM(F23:G23)</f>
        <v>130</v>
      </c>
      <c r="I23" s="299">
        <f>SUM(C23,F23)</f>
        <v>1779</v>
      </c>
      <c r="J23" s="299">
        <f t="shared" ref="J23:J24" si="1">SUM(D23,G23)</f>
        <v>2312</v>
      </c>
      <c r="K23" s="300">
        <f>SUM(I23:J23)</f>
        <v>4091</v>
      </c>
    </row>
    <row r="24" spans="1:11">
      <c r="B24" s="81" t="s">
        <v>850</v>
      </c>
      <c r="C24" s="299">
        <v>4315</v>
      </c>
      <c r="D24" s="299">
        <v>7094</v>
      </c>
      <c r="E24" s="300">
        <f t="shared" ref="E24" si="2">SUM(C24:D24)</f>
        <v>11409</v>
      </c>
      <c r="F24" s="299">
        <v>55</v>
      </c>
      <c r="G24" s="299">
        <v>1307</v>
      </c>
      <c r="H24" s="300">
        <f t="shared" ref="H24" si="3">SUM(F24:G24)</f>
        <v>1362</v>
      </c>
      <c r="I24" s="299">
        <f t="shared" ref="I24" si="4">SUM(C24,F24)</f>
        <v>4370</v>
      </c>
      <c r="J24" s="299">
        <f t="shared" si="1"/>
        <v>8401</v>
      </c>
      <c r="K24" s="300">
        <f t="shared" ref="K24" si="5">SUM(I24:J24)</f>
        <v>12771</v>
      </c>
    </row>
    <row r="25" spans="1:11">
      <c r="B25" s="298" t="s">
        <v>4</v>
      </c>
      <c r="C25" s="299">
        <f>SUM(C23:C24)</f>
        <v>6093</v>
      </c>
      <c r="D25" s="299">
        <f t="shared" ref="D25:K25" si="6">SUM(D23:D24)</f>
        <v>9277</v>
      </c>
      <c r="E25" s="300">
        <f t="shared" si="6"/>
        <v>15370</v>
      </c>
      <c r="F25" s="299">
        <f t="shared" si="6"/>
        <v>56</v>
      </c>
      <c r="G25" s="299">
        <f t="shared" si="6"/>
        <v>1436</v>
      </c>
      <c r="H25" s="300">
        <f t="shared" si="6"/>
        <v>1492</v>
      </c>
      <c r="I25" s="299">
        <f t="shared" si="6"/>
        <v>6149</v>
      </c>
      <c r="J25" s="299">
        <f t="shared" si="6"/>
        <v>10713</v>
      </c>
      <c r="K25" s="300">
        <f t="shared" si="6"/>
        <v>16862</v>
      </c>
    </row>
    <row r="26" spans="1:11">
      <c r="I26" s="151">
        <f>I25/$K25%</f>
        <v>36.466611315383702</v>
      </c>
      <c r="J26" s="151">
        <f t="shared" ref="J26:K26" si="7">J25/$K25%</f>
        <v>63.533388684616298</v>
      </c>
      <c r="K26" s="151">
        <f t="shared" si="7"/>
        <v>100</v>
      </c>
    </row>
    <row r="27" spans="1:11">
      <c r="A27" s="135">
        <v>3</v>
      </c>
      <c r="B27" s="148" t="s">
        <v>861</v>
      </c>
    </row>
    <row r="28" spans="1:11">
      <c r="B28" s="81"/>
      <c r="C28" s="306" t="s">
        <v>856</v>
      </c>
      <c r="D28" s="306" t="s">
        <v>857</v>
      </c>
    </row>
    <row r="29" spans="1:11">
      <c r="B29" s="81" t="s">
        <v>849</v>
      </c>
      <c r="C29" s="299">
        <v>990</v>
      </c>
      <c r="D29" s="299">
        <v>0</v>
      </c>
    </row>
    <row r="30" spans="1:11">
      <c r="B30" s="81" t="s">
        <v>852</v>
      </c>
      <c r="C30" s="299">
        <v>2388</v>
      </c>
      <c r="D30" s="299">
        <v>0</v>
      </c>
    </row>
    <row r="31" spans="1:11">
      <c r="B31" s="298" t="s">
        <v>4</v>
      </c>
      <c r="C31" s="300">
        <f>SUM(C29:C30)</f>
        <v>3378</v>
      </c>
      <c r="D31" s="300">
        <f>SUM(D29:D30)</f>
        <v>0</v>
      </c>
    </row>
    <row r="33" spans="1:8">
      <c r="A33" s="135">
        <v>4</v>
      </c>
      <c r="B33" s="148" t="s">
        <v>853</v>
      </c>
    </row>
    <row r="34" spans="1:8">
      <c r="B34" s="81"/>
      <c r="C34" s="297" t="s">
        <v>855</v>
      </c>
      <c r="D34" s="297" t="s">
        <v>847</v>
      </c>
      <c r="E34" s="297" t="s">
        <v>4</v>
      </c>
    </row>
    <row r="35" spans="1:8">
      <c r="B35" s="81" t="s">
        <v>849</v>
      </c>
      <c r="C35" s="299">
        <v>0</v>
      </c>
      <c r="D35" s="299">
        <v>0</v>
      </c>
      <c r="E35" s="300">
        <f>SUM(C35:D35)</f>
        <v>0</v>
      </c>
    </row>
    <row r="36" spans="1:8">
      <c r="B36" s="81" t="s">
        <v>850</v>
      </c>
      <c r="C36" s="299">
        <v>1054</v>
      </c>
      <c r="D36" s="299">
        <v>2266</v>
      </c>
      <c r="E36" s="300">
        <f t="shared" ref="E36" si="8">SUM(C36:D36)</f>
        <v>3320</v>
      </c>
    </row>
    <row r="37" spans="1:8">
      <c r="B37" s="298" t="s">
        <v>4</v>
      </c>
      <c r="C37" s="300">
        <f>SUM(C35:C36)</f>
        <v>1054</v>
      </c>
      <c r="D37" s="300">
        <f t="shared" ref="D37" si="9">SUM(D35:D36)</f>
        <v>2266</v>
      </c>
      <c r="E37" s="300">
        <f t="shared" ref="E37" si="10">SUM(E35:E36)</f>
        <v>3320</v>
      </c>
    </row>
    <row r="38" spans="1:8">
      <c r="B38" s="303"/>
      <c r="C38" s="151">
        <f>C37/$E37%</f>
        <v>31.746987951807228</v>
      </c>
      <c r="D38" s="151">
        <f t="shared" ref="D38:E38" si="11">D37/$E37%</f>
        <v>68.253012048192758</v>
      </c>
      <c r="E38" s="151">
        <f t="shared" si="11"/>
        <v>99.999999999999986</v>
      </c>
    </row>
    <row r="39" spans="1:8">
      <c r="A39" s="135">
        <v>5</v>
      </c>
      <c r="B39" s="148" t="s">
        <v>854</v>
      </c>
      <c r="C39" s="304"/>
      <c r="D39" s="304"/>
      <c r="E39" s="305"/>
    </row>
    <row r="40" spans="1:8">
      <c r="B40" s="81"/>
      <c r="C40" s="297" t="s">
        <v>855</v>
      </c>
      <c r="D40" s="297" t="s">
        <v>847</v>
      </c>
      <c r="E40" s="297" t="s">
        <v>4</v>
      </c>
    </row>
    <row r="41" spans="1:8">
      <c r="B41" s="81" t="s">
        <v>849</v>
      </c>
      <c r="C41" s="299">
        <v>0</v>
      </c>
      <c r="D41" s="299">
        <v>0</v>
      </c>
      <c r="E41" s="300">
        <f>SUM(C41:D41)</f>
        <v>0</v>
      </c>
    </row>
    <row r="42" spans="1:8">
      <c r="B42" s="81" t="s">
        <v>850</v>
      </c>
      <c r="C42" s="299">
        <v>0</v>
      </c>
      <c r="D42" s="299">
        <v>1080</v>
      </c>
      <c r="E42" s="300">
        <f t="shared" ref="E42" si="12">SUM(C42:D42)</f>
        <v>1080</v>
      </c>
    </row>
    <row r="43" spans="1:8">
      <c r="B43" s="298" t="s">
        <v>4</v>
      </c>
      <c r="C43" s="300">
        <f>SUM(C41:C42)</f>
        <v>0</v>
      </c>
      <c r="D43" s="300">
        <f t="shared" ref="D43" si="13">SUM(D41:D42)</f>
        <v>1080</v>
      </c>
      <c r="E43" s="300">
        <f t="shared" ref="E43" si="14">SUM(E41:E42)</f>
        <v>1080</v>
      </c>
    </row>
    <row r="45" spans="1:8">
      <c r="A45" s="135">
        <v>6</v>
      </c>
      <c r="B45" s="148" t="s">
        <v>871</v>
      </c>
    </row>
    <row r="47" spans="1:8">
      <c r="A47" s="135">
        <v>6.1</v>
      </c>
      <c r="B47" s="308" t="s">
        <v>870</v>
      </c>
      <c r="C47" s="80" t="s">
        <v>863</v>
      </c>
      <c r="D47" s="80" t="s">
        <v>864</v>
      </c>
      <c r="E47" s="308" t="s">
        <v>4</v>
      </c>
      <c r="F47" s="297" t="s">
        <v>865</v>
      </c>
      <c r="G47" s="80" t="s">
        <v>862</v>
      </c>
      <c r="H47" s="297" t="s">
        <v>866</v>
      </c>
    </row>
    <row r="48" spans="1:8">
      <c r="B48" s="80" t="s">
        <v>867</v>
      </c>
      <c r="C48" s="81">
        <v>89</v>
      </c>
      <c r="D48" s="81">
        <v>1243</v>
      </c>
      <c r="E48" s="298">
        <f>SUM(C48:D48)</f>
        <v>1332</v>
      </c>
      <c r="F48" s="309">
        <f>D48/E48%</f>
        <v>93.318318318318319</v>
      </c>
      <c r="G48" s="81">
        <v>1170</v>
      </c>
      <c r="H48" s="309">
        <f>G48/D48%</f>
        <v>94.127111826226866</v>
      </c>
    </row>
    <row r="49" spans="1:8">
      <c r="B49" s="80" t="s">
        <v>868</v>
      </c>
      <c r="C49" s="81">
        <v>570</v>
      </c>
      <c r="D49" s="81">
        <v>503</v>
      </c>
      <c r="E49" s="298">
        <f>SUM(C49:D49)</f>
        <v>1073</v>
      </c>
      <c r="F49" s="309">
        <f>D49/E49%</f>
        <v>46.877912395153771</v>
      </c>
      <c r="G49" s="81">
        <v>453</v>
      </c>
      <c r="H49" s="309">
        <f t="shared" ref="H49:H51" si="15">G49/D49%</f>
        <v>90.059642147117287</v>
      </c>
    </row>
    <row r="50" spans="1:8">
      <c r="B50" s="80" t="s">
        <v>869</v>
      </c>
      <c r="C50" s="81">
        <v>596</v>
      </c>
      <c r="D50" s="81">
        <v>130</v>
      </c>
      <c r="E50" s="298">
        <f>SUM(C50:D50)</f>
        <v>726</v>
      </c>
      <c r="F50" s="309">
        <f>D50/E50%</f>
        <v>17.906336088154269</v>
      </c>
      <c r="G50" s="81">
        <v>118</v>
      </c>
      <c r="H50" s="309">
        <f t="shared" si="15"/>
        <v>90.769230769230759</v>
      </c>
    </row>
    <row r="51" spans="1:8">
      <c r="B51" s="308" t="s">
        <v>4</v>
      </c>
      <c r="C51" s="298">
        <f>SUM(C48:C50)</f>
        <v>1255</v>
      </c>
      <c r="D51" s="298">
        <f t="shared" ref="D51:E51" si="16">SUM(D48:D50)</f>
        <v>1876</v>
      </c>
      <c r="E51" s="298">
        <f t="shared" si="16"/>
        <v>3131</v>
      </c>
      <c r="F51" s="309">
        <f>D51/E51%</f>
        <v>59.916959437879271</v>
      </c>
      <c r="G51" s="298">
        <f t="shared" ref="G51" si="17">SUM(G48:G50)</f>
        <v>1741</v>
      </c>
      <c r="H51" s="309">
        <f t="shared" si="15"/>
        <v>92.803837953091673</v>
      </c>
    </row>
    <row r="53" spans="1:8">
      <c r="A53" s="135">
        <v>6.2</v>
      </c>
      <c r="B53" s="308" t="s">
        <v>873</v>
      </c>
      <c r="C53" s="80" t="s">
        <v>863</v>
      </c>
      <c r="D53" s="80" t="s">
        <v>864</v>
      </c>
      <c r="E53" s="308" t="s">
        <v>4</v>
      </c>
      <c r="F53" s="297" t="s">
        <v>865</v>
      </c>
      <c r="G53" s="80" t="s">
        <v>862</v>
      </c>
      <c r="H53" s="297" t="s">
        <v>866</v>
      </c>
    </row>
    <row r="54" spans="1:8">
      <c r="B54" s="80" t="s">
        <v>867</v>
      </c>
      <c r="C54" s="81">
        <v>148</v>
      </c>
      <c r="D54" s="81">
        <v>437</v>
      </c>
      <c r="E54" s="298">
        <f>SUM(C54:D54)</f>
        <v>585</v>
      </c>
      <c r="F54" s="309">
        <f>D54/E54%</f>
        <v>74.700854700854705</v>
      </c>
      <c r="G54" s="81">
        <v>393</v>
      </c>
      <c r="H54" s="309">
        <f>G54/D54%</f>
        <v>89.931350114416475</v>
      </c>
    </row>
    <row r="55" spans="1:8">
      <c r="B55" s="80" t="s">
        <v>868</v>
      </c>
      <c r="C55" s="81">
        <v>360</v>
      </c>
      <c r="D55" s="81">
        <v>158</v>
      </c>
      <c r="E55" s="298">
        <f>SUM(C55:D55)</f>
        <v>518</v>
      </c>
      <c r="F55" s="309">
        <f>D55/E55%</f>
        <v>30.501930501930502</v>
      </c>
      <c r="G55" s="81">
        <v>133</v>
      </c>
      <c r="H55" s="309">
        <f t="shared" ref="H55:H57" si="18">G55/D55%</f>
        <v>84.177215189873408</v>
      </c>
    </row>
    <row r="56" spans="1:8">
      <c r="B56" s="80" t="s">
        <v>869</v>
      </c>
      <c r="C56" s="81">
        <v>82</v>
      </c>
      <c r="D56" s="81">
        <v>13</v>
      </c>
      <c r="E56" s="298">
        <f>SUM(C56:D56)</f>
        <v>95</v>
      </c>
      <c r="F56" s="309">
        <f>D56/E56%</f>
        <v>13.684210526315789</v>
      </c>
      <c r="G56" s="81">
        <v>11</v>
      </c>
      <c r="H56" s="309">
        <f t="shared" si="18"/>
        <v>84.615384615384613</v>
      </c>
    </row>
    <row r="57" spans="1:8">
      <c r="B57" s="308" t="s">
        <v>4</v>
      </c>
      <c r="C57" s="298">
        <f>SUM(C54:C56)</f>
        <v>590</v>
      </c>
      <c r="D57" s="298">
        <f t="shared" ref="D57" si="19">SUM(D54:D56)</f>
        <v>608</v>
      </c>
      <c r="E57" s="298">
        <f t="shared" ref="E57" si="20">SUM(E54:E56)</f>
        <v>1198</v>
      </c>
      <c r="F57" s="309">
        <f>D57/E57%</f>
        <v>50.751252086811348</v>
      </c>
      <c r="G57" s="298">
        <f t="shared" ref="G57" si="21">SUM(G54:G56)</f>
        <v>537</v>
      </c>
      <c r="H57" s="309">
        <f t="shared" si="18"/>
        <v>88.32236842105263</v>
      </c>
    </row>
    <row r="58" spans="1:8" ht="13.5">
      <c r="B58" s="307"/>
      <c r="C58"/>
      <c r="D58"/>
      <c r="E58"/>
      <c r="F58"/>
    </row>
    <row r="59" spans="1:8">
      <c r="A59" s="135">
        <v>6.3</v>
      </c>
      <c r="B59" s="308" t="s">
        <v>872</v>
      </c>
      <c r="C59" s="80" t="s">
        <v>863</v>
      </c>
      <c r="D59" s="80" t="s">
        <v>864</v>
      </c>
      <c r="E59" s="308" t="s">
        <v>4</v>
      </c>
      <c r="F59" s="297" t="s">
        <v>865</v>
      </c>
      <c r="G59" s="80" t="s">
        <v>862</v>
      </c>
      <c r="H59" s="297" t="s">
        <v>866</v>
      </c>
    </row>
    <row r="60" spans="1:8">
      <c r="B60" s="80" t="s">
        <v>867</v>
      </c>
      <c r="C60" s="81">
        <f>C48+C54</f>
        <v>237</v>
      </c>
      <c r="D60" s="81">
        <f t="shared" ref="D60:D62" si="22">D48+D54</f>
        <v>1680</v>
      </c>
      <c r="E60" s="298">
        <f>SUM(C60:D60)</f>
        <v>1917</v>
      </c>
      <c r="F60" s="309">
        <f>D60/E60%</f>
        <v>87.636932707355228</v>
      </c>
      <c r="G60" s="81">
        <f t="shared" ref="G60:G62" si="23">G48+G54</f>
        <v>1563</v>
      </c>
      <c r="H60" s="309">
        <f>G60/D60%</f>
        <v>93.035714285714278</v>
      </c>
    </row>
    <row r="61" spans="1:8">
      <c r="B61" s="80" t="s">
        <v>868</v>
      </c>
      <c r="C61" s="81">
        <f t="shared" ref="C61" si="24">C49+C55</f>
        <v>930</v>
      </c>
      <c r="D61" s="81">
        <f t="shared" si="22"/>
        <v>661</v>
      </c>
      <c r="E61" s="298">
        <f>SUM(C61:D61)</f>
        <v>1591</v>
      </c>
      <c r="F61" s="309">
        <f>D61/E61%</f>
        <v>41.546197360150849</v>
      </c>
      <c r="G61" s="81">
        <f t="shared" si="23"/>
        <v>586</v>
      </c>
      <c r="H61" s="309">
        <f t="shared" ref="H61:H63" si="25">G61/D61%</f>
        <v>88.653555219364591</v>
      </c>
    </row>
    <row r="62" spans="1:8">
      <c r="B62" s="80" t="s">
        <v>869</v>
      </c>
      <c r="C62" s="81">
        <f t="shared" ref="C62" si="26">C50+C56</f>
        <v>678</v>
      </c>
      <c r="D62" s="81">
        <f t="shared" si="22"/>
        <v>143</v>
      </c>
      <c r="E62" s="298">
        <f>SUM(C62:D62)</f>
        <v>821</v>
      </c>
      <c r="F62" s="309">
        <f>D62/E62%</f>
        <v>17.417783191230207</v>
      </c>
      <c r="G62" s="81">
        <f t="shared" si="23"/>
        <v>129</v>
      </c>
      <c r="H62" s="309">
        <f t="shared" si="25"/>
        <v>90.209790209790214</v>
      </c>
    </row>
    <row r="63" spans="1:8">
      <c r="B63" s="308" t="s">
        <v>4</v>
      </c>
      <c r="C63" s="298">
        <f>SUM(C60:C62)</f>
        <v>1845</v>
      </c>
      <c r="D63" s="298">
        <f t="shared" ref="D63" si="27">SUM(D60:D62)</f>
        <v>2484</v>
      </c>
      <c r="E63" s="298">
        <f t="shared" ref="E63" si="28">SUM(E60:E62)</f>
        <v>4329</v>
      </c>
      <c r="F63" s="309">
        <f>D63/E63%</f>
        <v>57.380457380457379</v>
      </c>
      <c r="G63" s="298">
        <f t="shared" ref="G63" si="29">SUM(G60:G62)</f>
        <v>2278</v>
      </c>
      <c r="H63" s="309">
        <f t="shared" si="25"/>
        <v>91.706924315619972</v>
      </c>
    </row>
  </sheetData>
  <mergeCells count="5">
    <mergeCell ref="C21:E21"/>
    <mergeCell ref="F21:H21"/>
    <mergeCell ref="I21:K21"/>
    <mergeCell ref="C5:E5"/>
    <mergeCell ref="B5:B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6"/>
  <sheetViews>
    <sheetView zoomScale="80" zoomScaleNormal="80" zoomScaleSheetLayoutView="120" workbookViewId="0"/>
  </sheetViews>
  <sheetFormatPr defaultColWidth="9.140625" defaultRowHeight="15"/>
  <cols>
    <col min="1" max="1" width="4" style="834" customWidth="1"/>
    <col min="2" max="2" width="43.140625" style="871" customWidth="1"/>
    <col min="3" max="5" width="12.5703125" style="871" customWidth="1"/>
    <col min="6" max="8" width="12.5703125" style="834" customWidth="1"/>
    <col min="9" max="9" width="10.7109375" style="834" customWidth="1"/>
    <col min="10" max="10" width="11.5703125" style="834" customWidth="1"/>
    <col min="11" max="12" width="11.28515625" style="834" customWidth="1"/>
    <col min="13" max="13" width="11.5703125" style="834" customWidth="1"/>
    <col min="14" max="15" width="13.7109375" style="834" customWidth="1"/>
    <col min="16" max="18" width="12.5703125" style="871" customWidth="1"/>
    <col min="19" max="29" width="12.5703125" style="834" customWidth="1"/>
    <col min="30" max="186" width="9.140625" style="834"/>
    <col min="187" max="187" width="35.5703125" style="834" customWidth="1"/>
    <col min="188" max="259" width="9.140625" style="834" customWidth="1"/>
    <col min="260" max="260" width="19.7109375" style="834" customWidth="1"/>
    <col min="261" max="261" width="11.5703125" style="834" customWidth="1"/>
    <col min="262" max="263" width="11.28515625" style="834" customWidth="1"/>
    <col min="264" max="442" width="9.140625" style="834"/>
    <col min="443" max="443" width="35.5703125" style="834" customWidth="1"/>
    <col min="444" max="515" width="9.140625" style="834" customWidth="1"/>
    <col min="516" max="516" width="19.7109375" style="834" customWidth="1"/>
    <col min="517" max="517" width="11.5703125" style="834" customWidth="1"/>
    <col min="518" max="519" width="11.28515625" style="834" customWidth="1"/>
    <col min="520" max="698" width="9.140625" style="834"/>
    <col min="699" max="699" width="35.5703125" style="834" customWidth="1"/>
    <col min="700" max="771" width="9.140625" style="834" customWidth="1"/>
    <col min="772" max="772" width="19.7109375" style="834" customWidth="1"/>
    <col min="773" max="773" width="11.5703125" style="834" customWidth="1"/>
    <col min="774" max="775" width="11.28515625" style="834" customWidth="1"/>
    <col min="776" max="954" width="9.140625" style="834"/>
    <col min="955" max="955" width="35.5703125" style="834" customWidth="1"/>
    <col min="956" max="1027" width="9.140625" style="834" customWidth="1"/>
    <col min="1028" max="1028" width="19.7109375" style="834" customWidth="1"/>
    <col min="1029" max="1029" width="11.5703125" style="834" customWidth="1"/>
    <col min="1030" max="1031" width="11.28515625" style="834" customWidth="1"/>
    <col min="1032" max="1210" width="9.140625" style="834"/>
    <col min="1211" max="1211" width="35.5703125" style="834" customWidth="1"/>
    <col min="1212" max="1283" width="9.140625" style="834" customWidth="1"/>
    <col min="1284" max="1284" width="19.7109375" style="834" customWidth="1"/>
    <col min="1285" max="1285" width="11.5703125" style="834" customWidth="1"/>
    <col min="1286" max="1287" width="11.28515625" style="834" customWidth="1"/>
    <col min="1288" max="1466" width="9.140625" style="834"/>
    <col min="1467" max="1467" width="35.5703125" style="834" customWidth="1"/>
    <col min="1468" max="1539" width="9.140625" style="834" customWidth="1"/>
    <col min="1540" max="1540" width="19.7109375" style="834" customWidth="1"/>
    <col min="1541" max="1541" width="11.5703125" style="834" customWidth="1"/>
    <col min="1542" max="1543" width="11.28515625" style="834" customWidth="1"/>
    <col min="1544" max="1722" width="9.140625" style="834"/>
    <col min="1723" max="1723" width="35.5703125" style="834" customWidth="1"/>
    <col min="1724" max="1795" width="9.140625" style="834" customWidth="1"/>
    <col min="1796" max="1796" width="19.7109375" style="834" customWidth="1"/>
    <col min="1797" max="1797" width="11.5703125" style="834" customWidth="1"/>
    <col min="1798" max="1799" width="11.28515625" style="834" customWidth="1"/>
    <col min="1800" max="1978" width="9.140625" style="834"/>
    <col min="1979" max="1979" width="35.5703125" style="834" customWidth="1"/>
    <col min="1980" max="2051" width="9.140625" style="834" customWidth="1"/>
    <col min="2052" max="2052" width="19.7109375" style="834" customWidth="1"/>
    <col min="2053" max="2053" width="11.5703125" style="834" customWidth="1"/>
    <col min="2054" max="2055" width="11.28515625" style="834" customWidth="1"/>
    <col min="2056" max="2234" width="9.140625" style="834"/>
    <col min="2235" max="2235" width="35.5703125" style="834" customWidth="1"/>
    <col min="2236" max="2307" width="9.140625" style="834" customWidth="1"/>
    <col min="2308" max="2308" width="19.7109375" style="834" customWidth="1"/>
    <col min="2309" max="2309" width="11.5703125" style="834" customWidth="1"/>
    <col min="2310" max="2311" width="11.28515625" style="834" customWidth="1"/>
    <col min="2312" max="2490" width="9.140625" style="834"/>
    <col min="2491" max="2491" width="35.5703125" style="834" customWidth="1"/>
    <col min="2492" max="2563" width="9.140625" style="834" customWidth="1"/>
    <col min="2564" max="2564" width="19.7109375" style="834" customWidth="1"/>
    <col min="2565" max="2565" width="11.5703125" style="834" customWidth="1"/>
    <col min="2566" max="2567" width="11.28515625" style="834" customWidth="1"/>
    <col min="2568" max="2746" width="9.140625" style="834"/>
    <col min="2747" max="2747" width="35.5703125" style="834" customWidth="1"/>
    <col min="2748" max="2819" width="9.140625" style="834" customWidth="1"/>
    <col min="2820" max="2820" width="19.7109375" style="834" customWidth="1"/>
    <col min="2821" max="2821" width="11.5703125" style="834" customWidth="1"/>
    <col min="2822" max="2823" width="11.28515625" style="834" customWidth="1"/>
    <col min="2824" max="3002" width="9.140625" style="834"/>
    <col min="3003" max="3003" width="35.5703125" style="834" customWidth="1"/>
    <col min="3004" max="3075" width="9.140625" style="834" customWidth="1"/>
    <col min="3076" max="3076" width="19.7109375" style="834" customWidth="1"/>
    <col min="3077" max="3077" width="11.5703125" style="834" customWidth="1"/>
    <col min="3078" max="3079" width="11.28515625" style="834" customWidth="1"/>
    <col min="3080" max="3258" width="9.140625" style="834"/>
    <col min="3259" max="3259" width="35.5703125" style="834" customWidth="1"/>
    <col min="3260" max="3331" width="9.140625" style="834" customWidth="1"/>
    <col min="3332" max="3332" width="19.7109375" style="834" customWidth="1"/>
    <col min="3333" max="3333" width="11.5703125" style="834" customWidth="1"/>
    <col min="3334" max="3335" width="11.28515625" style="834" customWidth="1"/>
    <col min="3336" max="3514" width="9.140625" style="834"/>
    <col min="3515" max="3515" width="35.5703125" style="834" customWidth="1"/>
    <col min="3516" max="3587" width="9.140625" style="834" customWidth="1"/>
    <col min="3588" max="3588" width="19.7109375" style="834" customWidth="1"/>
    <col min="3589" max="3589" width="11.5703125" style="834" customWidth="1"/>
    <col min="3590" max="3591" width="11.28515625" style="834" customWidth="1"/>
    <col min="3592" max="3770" width="9.140625" style="834"/>
    <col min="3771" max="3771" width="35.5703125" style="834" customWidth="1"/>
    <col min="3772" max="3843" width="9.140625" style="834" customWidth="1"/>
    <col min="3844" max="3844" width="19.7109375" style="834" customWidth="1"/>
    <col min="3845" max="3845" width="11.5703125" style="834" customWidth="1"/>
    <col min="3846" max="3847" width="11.28515625" style="834" customWidth="1"/>
    <col min="3848" max="4026" width="9.140625" style="834"/>
    <col min="4027" max="4027" width="35.5703125" style="834" customWidth="1"/>
    <col min="4028" max="4099" width="9.140625" style="834" customWidth="1"/>
    <col min="4100" max="4100" width="19.7109375" style="834" customWidth="1"/>
    <col min="4101" max="4101" width="11.5703125" style="834" customWidth="1"/>
    <col min="4102" max="4103" width="11.28515625" style="834" customWidth="1"/>
    <col min="4104" max="4282" width="9.140625" style="834"/>
    <col min="4283" max="4283" width="35.5703125" style="834" customWidth="1"/>
    <col min="4284" max="4355" width="9.140625" style="834" customWidth="1"/>
    <col min="4356" max="4356" width="19.7109375" style="834" customWidth="1"/>
    <col min="4357" max="4357" width="11.5703125" style="834" customWidth="1"/>
    <col min="4358" max="4359" width="11.28515625" style="834" customWidth="1"/>
    <col min="4360" max="4538" width="9.140625" style="834"/>
    <col min="4539" max="4539" width="35.5703125" style="834" customWidth="1"/>
    <col min="4540" max="4611" width="9.140625" style="834" customWidth="1"/>
    <col min="4612" max="4612" width="19.7109375" style="834" customWidth="1"/>
    <col min="4613" max="4613" width="11.5703125" style="834" customWidth="1"/>
    <col min="4614" max="4615" width="11.28515625" style="834" customWidth="1"/>
    <col min="4616" max="4794" width="9.140625" style="834"/>
    <col min="4795" max="4795" width="35.5703125" style="834" customWidth="1"/>
    <col min="4796" max="4867" width="9.140625" style="834" customWidth="1"/>
    <col min="4868" max="4868" width="19.7109375" style="834" customWidth="1"/>
    <col min="4869" max="4869" width="11.5703125" style="834" customWidth="1"/>
    <col min="4870" max="4871" width="11.28515625" style="834" customWidth="1"/>
    <col min="4872" max="5050" width="9.140625" style="834"/>
    <col min="5051" max="5051" width="35.5703125" style="834" customWidth="1"/>
    <col min="5052" max="5123" width="9.140625" style="834" customWidth="1"/>
    <col min="5124" max="5124" width="19.7109375" style="834" customWidth="1"/>
    <col min="5125" max="5125" width="11.5703125" style="834" customWidth="1"/>
    <col min="5126" max="5127" width="11.28515625" style="834" customWidth="1"/>
    <col min="5128" max="5306" width="9.140625" style="834"/>
    <col min="5307" max="5307" width="35.5703125" style="834" customWidth="1"/>
    <col min="5308" max="5379" width="9.140625" style="834" customWidth="1"/>
    <col min="5380" max="5380" width="19.7109375" style="834" customWidth="1"/>
    <col min="5381" max="5381" width="11.5703125" style="834" customWidth="1"/>
    <col min="5382" max="5383" width="11.28515625" style="834" customWidth="1"/>
    <col min="5384" max="5562" width="9.140625" style="834"/>
    <col min="5563" max="5563" width="35.5703125" style="834" customWidth="1"/>
    <col min="5564" max="5635" width="9.140625" style="834" customWidth="1"/>
    <col min="5636" max="5636" width="19.7109375" style="834" customWidth="1"/>
    <col min="5637" max="5637" width="11.5703125" style="834" customWidth="1"/>
    <col min="5638" max="5639" width="11.28515625" style="834" customWidth="1"/>
    <col min="5640" max="5818" width="9.140625" style="834"/>
    <col min="5819" max="5819" width="35.5703125" style="834" customWidth="1"/>
    <col min="5820" max="5891" width="9.140625" style="834" customWidth="1"/>
    <col min="5892" max="5892" width="19.7109375" style="834" customWidth="1"/>
    <col min="5893" max="5893" width="11.5703125" style="834" customWidth="1"/>
    <col min="5894" max="5895" width="11.28515625" style="834" customWidth="1"/>
    <col min="5896" max="6074" width="9.140625" style="834"/>
    <col min="6075" max="6075" width="35.5703125" style="834" customWidth="1"/>
    <col min="6076" max="6147" width="9.140625" style="834" customWidth="1"/>
    <col min="6148" max="6148" width="19.7109375" style="834" customWidth="1"/>
    <col min="6149" max="6149" width="11.5703125" style="834" customWidth="1"/>
    <col min="6150" max="6151" width="11.28515625" style="834" customWidth="1"/>
    <col min="6152" max="6330" width="9.140625" style="834"/>
    <col min="6331" max="6331" width="35.5703125" style="834" customWidth="1"/>
    <col min="6332" max="6403" width="9.140625" style="834" customWidth="1"/>
    <col min="6404" max="6404" width="19.7109375" style="834" customWidth="1"/>
    <col min="6405" max="6405" width="11.5703125" style="834" customWidth="1"/>
    <col min="6406" max="6407" width="11.28515625" style="834" customWidth="1"/>
    <col min="6408" max="6586" width="9.140625" style="834"/>
    <col min="6587" max="6587" width="35.5703125" style="834" customWidth="1"/>
    <col min="6588" max="6659" width="9.140625" style="834" customWidth="1"/>
    <col min="6660" max="6660" width="19.7109375" style="834" customWidth="1"/>
    <col min="6661" max="6661" width="11.5703125" style="834" customWidth="1"/>
    <col min="6662" max="6663" width="11.28515625" style="834" customWidth="1"/>
    <col min="6664" max="6842" width="9.140625" style="834"/>
    <col min="6843" max="6843" width="35.5703125" style="834" customWidth="1"/>
    <col min="6844" max="6915" width="9.140625" style="834" customWidth="1"/>
    <col min="6916" max="6916" width="19.7109375" style="834" customWidth="1"/>
    <col min="6917" max="6917" width="11.5703125" style="834" customWidth="1"/>
    <col min="6918" max="6919" width="11.28515625" style="834" customWidth="1"/>
    <col min="6920" max="7098" width="9.140625" style="834"/>
    <col min="7099" max="7099" width="35.5703125" style="834" customWidth="1"/>
    <col min="7100" max="7171" width="9.140625" style="834" customWidth="1"/>
    <col min="7172" max="7172" width="19.7109375" style="834" customWidth="1"/>
    <col min="7173" max="7173" width="11.5703125" style="834" customWidth="1"/>
    <col min="7174" max="7175" width="11.28515625" style="834" customWidth="1"/>
    <col min="7176" max="7354" width="9.140625" style="834"/>
    <col min="7355" max="7355" width="35.5703125" style="834" customWidth="1"/>
    <col min="7356" max="7427" width="9.140625" style="834" customWidth="1"/>
    <col min="7428" max="7428" width="19.7109375" style="834" customWidth="1"/>
    <col min="7429" max="7429" width="11.5703125" style="834" customWidth="1"/>
    <col min="7430" max="7431" width="11.28515625" style="834" customWidth="1"/>
    <col min="7432" max="7610" width="9.140625" style="834"/>
    <col min="7611" max="7611" width="35.5703125" style="834" customWidth="1"/>
    <col min="7612" max="7683" width="9.140625" style="834" customWidth="1"/>
    <col min="7684" max="7684" width="19.7109375" style="834" customWidth="1"/>
    <col min="7685" max="7685" width="11.5703125" style="834" customWidth="1"/>
    <col min="7686" max="7687" width="11.28515625" style="834" customWidth="1"/>
    <col min="7688" max="7866" width="9.140625" style="834"/>
    <col min="7867" max="7867" width="35.5703125" style="834" customWidth="1"/>
    <col min="7868" max="7939" width="9.140625" style="834" customWidth="1"/>
    <col min="7940" max="7940" width="19.7109375" style="834" customWidth="1"/>
    <col min="7941" max="7941" width="11.5703125" style="834" customWidth="1"/>
    <col min="7942" max="7943" width="11.28515625" style="834" customWidth="1"/>
    <col min="7944" max="8122" width="9.140625" style="834"/>
    <col min="8123" max="8123" width="35.5703125" style="834" customWidth="1"/>
    <col min="8124" max="8195" width="9.140625" style="834" customWidth="1"/>
    <col min="8196" max="8196" width="19.7109375" style="834" customWidth="1"/>
    <col min="8197" max="8197" width="11.5703125" style="834" customWidth="1"/>
    <col min="8198" max="8199" width="11.28515625" style="834" customWidth="1"/>
    <col min="8200" max="8378" width="9.140625" style="834"/>
    <col min="8379" max="8379" width="35.5703125" style="834" customWidth="1"/>
    <col min="8380" max="8451" width="9.140625" style="834" customWidth="1"/>
    <col min="8452" max="8452" width="19.7109375" style="834" customWidth="1"/>
    <col min="8453" max="8453" width="11.5703125" style="834" customWidth="1"/>
    <col min="8454" max="8455" width="11.28515625" style="834" customWidth="1"/>
    <col min="8456" max="8634" width="9.140625" style="834"/>
    <col min="8635" max="8635" width="35.5703125" style="834" customWidth="1"/>
    <col min="8636" max="8707" width="9.140625" style="834" customWidth="1"/>
    <col min="8708" max="8708" width="19.7109375" style="834" customWidth="1"/>
    <col min="8709" max="8709" width="11.5703125" style="834" customWidth="1"/>
    <col min="8710" max="8711" width="11.28515625" style="834" customWidth="1"/>
    <col min="8712" max="8890" width="9.140625" style="834"/>
    <col min="8891" max="8891" width="35.5703125" style="834" customWidth="1"/>
    <col min="8892" max="8963" width="9.140625" style="834" customWidth="1"/>
    <col min="8964" max="8964" width="19.7109375" style="834" customWidth="1"/>
    <col min="8965" max="8965" width="11.5703125" style="834" customWidth="1"/>
    <col min="8966" max="8967" width="11.28515625" style="834" customWidth="1"/>
    <col min="8968" max="9146" width="9.140625" style="834"/>
    <col min="9147" max="9147" width="35.5703125" style="834" customWidth="1"/>
    <col min="9148" max="9219" width="9.140625" style="834" customWidth="1"/>
    <col min="9220" max="9220" width="19.7109375" style="834" customWidth="1"/>
    <col min="9221" max="9221" width="11.5703125" style="834" customWidth="1"/>
    <col min="9222" max="9223" width="11.28515625" style="834" customWidth="1"/>
    <col min="9224" max="9402" width="9.140625" style="834"/>
    <col min="9403" max="9403" width="35.5703125" style="834" customWidth="1"/>
    <col min="9404" max="9475" width="9.140625" style="834" customWidth="1"/>
    <col min="9476" max="9476" width="19.7109375" style="834" customWidth="1"/>
    <col min="9477" max="9477" width="11.5703125" style="834" customWidth="1"/>
    <col min="9478" max="9479" width="11.28515625" style="834" customWidth="1"/>
    <col min="9480" max="9658" width="9.140625" style="834"/>
    <col min="9659" max="9659" width="35.5703125" style="834" customWidth="1"/>
    <col min="9660" max="9731" width="9.140625" style="834" customWidth="1"/>
    <col min="9732" max="9732" width="19.7109375" style="834" customWidth="1"/>
    <col min="9733" max="9733" width="11.5703125" style="834" customWidth="1"/>
    <col min="9734" max="9735" width="11.28515625" style="834" customWidth="1"/>
    <col min="9736" max="9914" width="9.140625" style="834"/>
    <col min="9915" max="9915" width="35.5703125" style="834" customWidth="1"/>
    <col min="9916" max="9987" width="9.140625" style="834" customWidth="1"/>
    <col min="9988" max="9988" width="19.7109375" style="834" customWidth="1"/>
    <col min="9989" max="9989" width="11.5703125" style="834" customWidth="1"/>
    <col min="9990" max="9991" width="11.28515625" style="834" customWidth="1"/>
    <col min="9992" max="10170" width="9.140625" style="834"/>
    <col min="10171" max="10171" width="35.5703125" style="834" customWidth="1"/>
    <col min="10172" max="10243" width="9.140625" style="834" customWidth="1"/>
    <col min="10244" max="10244" width="19.7109375" style="834" customWidth="1"/>
    <col min="10245" max="10245" width="11.5703125" style="834" customWidth="1"/>
    <col min="10246" max="10247" width="11.28515625" style="834" customWidth="1"/>
    <col min="10248" max="10426" width="9.140625" style="834"/>
    <col min="10427" max="10427" width="35.5703125" style="834" customWidth="1"/>
    <col min="10428" max="10499" width="9.140625" style="834" customWidth="1"/>
    <col min="10500" max="10500" width="19.7109375" style="834" customWidth="1"/>
    <col min="10501" max="10501" width="11.5703125" style="834" customWidth="1"/>
    <col min="10502" max="10503" width="11.28515625" style="834" customWidth="1"/>
    <col min="10504" max="10682" width="9.140625" style="834"/>
    <col min="10683" max="10683" width="35.5703125" style="834" customWidth="1"/>
    <col min="10684" max="10755" width="9.140625" style="834" customWidth="1"/>
    <col min="10756" max="10756" width="19.7109375" style="834" customWidth="1"/>
    <col min="10757" max="10757" width="11.5703125" style="834" customWidth="1"/>
    <col min="10758" max="10759" width="11.28515625" style="834" customWidth="1"/>
    <col min="10760" max="10938" width="9.140625" style="834"/>
    <col min="10939" max="10939" width="35.5703125" style="834" customWidth="1"/>
    <col min="10940" max="11011" width="9.140625" style="834" customWidth="1"/>
    <col min="11012" max="11012" width="19.7109375" style="834" customWidth="1"/>
    <col min="11013" max="11013" width="11.5703125" style="834" customWidth="1"/>
    <col min="11014" max="11015" width="11.28515625" style="834" customWidth="1"/>
    <col min="11016" max="11194" width="9.140625" style="834"/>
    <col min="11195" max="11195" width="35.5703125" style="834" customWidth="1"/>
    <col min="11196" max="11267" width="9.140625" style="834" customWidth="1"/>
    <col min="11268" max="11268" width="19.7109375" style="834" customWidth="1"/>
    <col min="11269" max="11269" width="11.5703125" style="834" customWidth="1"/>
    <col min="11270" max="11271" width="11.28515625" style="834" customWidth="1"/>
    <col min="11272" max="11450" width="9.140625" style="834"/>
    <col min="11451" max="11451" width="35.5703125" style="834" customWidth="1"/>
    <col min="11452" max="11523" width="9.140625" style="834" customWidth="1"/>
    <col min="11524" max="11524" width="19.7109375" style="834" customWidth="1"/>
    <col min="11525" max="11525" width="11.5703125" style="834" customWidth="1"/>
    <col min="11526" max="11527" width="11.28515625" style="834" customWidth="1"/>
    <col min="11528" max="11706" width="9.140625" style="834"/>
    <col min="11707" max="11707" width="35.5703125" style="834" customWidth="1"/>
    <col min="11708" max="11779" width="9.140625" style="834" customWidth="1"/>
    <col min="11780" max="11780" width="19.7109375" style="834" customWidth="1"/>
    <col min="11781" max="11781" width="11.5703125" style="834" customWidth="1"/>
    <col min="11782" max="11783" width="11.28515625" style="834" customWidth="1"/>
    <col min="11784" max="11962" width="9.140625" style="834"/>
    <col min="11963" max="11963" width="35.5703125" style="834" customWidth="1"/>
    <col min="11964" max="12035" width="9.140625" style="834" customWidth="1"/>
    <col min="12036" max="12036" width="19.7109375" style="834" customWidth="1"/>
    <col min="12037" max="12037" width="11.5703125" style="834" customWidth="1"/>
    <col min="12038" max="12039" width="11.28515625" style="834" customWidth="1"/>
    <col min="12040" max="12218" width="9.140625" style="834"/>
    <col min="12219" max="12219" width="35.5703125" style="834" customWidth="1"/>
    <col min="12220" max="12291" width="9.140625" style="834" customWidth="1"/>
    <col min="12292" max="12292" width="19.7109375" style="834" customWidth="1"/>
    <col min="12293" max="12293" width="11.5703125" style="834" customWidth="1"/>
    <col min="12294" max="12295" width="11.28515625" style="834" customWidth="1"/>
    <col min="12296" max="12474" width="9.140625" style="834"/>
    <col min="12475" max="12475" width="35.5703125" style="834" customWidth="1"/>
    <col min="12476" max="12547" width="9.140625" style="834" customWidth="1"/>
    <col min="12548" max="12548" width="19.7109375" style="834" customWidth="1"/>
    <col min="12549" max="12549" width="11.5703125" style="834" customWidth="1"/>
    <col min="12550" max="12551" width="11.28515625" style="834" customWidth="1"/>
    <col min="12552" max="12730" width="9.140625" style="834"/>
    <col min="12731" max="12731" width="35.5703125" style="834" customWidth="1"/>
    <col min="12732" max="12803" width="9.140625" style="834" customWidth="1"/>
    <col min="12804" max="12804" width="19.7109375" style="834" customWidth="1"/>
    <col min="12805" max="12805" width="11.5703125" style="834" customWidth="1"/>
    <col min="12806" max="12807" width="11.28515625" style="834" customWidth="1"/>
    <col min="12808" max="12986" width="9.140625" style="834"/>
    <col min="12987" max="12987" width="35.5703125" style="834" customWidth="1"/>
    <col min="12988" max="13059" width="9.140625" style="834" customWidth="1"/>
    <col min="13060" max="13060" width="19.7109375" style="834" customWidth="1"/>
    <col min="13061" max="13061" width="11.5703125" style="834" customWidth="1"/>
    <col min="13062" max="13063" width="11.28515625" style="834" customWidth="1"/>
    <col min="13064" max="13242" width="9.140625" style="834"/>
    <col min="13243" max="13243" width="35.5703125" style="834" customWidth="1"/>
    <col min="13244" max="13315" width="9.140625" style="834" customWidth="1"/>
    <col min="13316" max="13316" width="19.7109375" style="834" customWidth="1"/>
    <col min="13317" max="13317" width="11.5703125" style="834" customWidth="1"/>
    <col min="13318" max="13319" width="11.28515625" style="834" customWidth="1"/>
    <col min="13320" max="13498" width="9.140625" style="834"/>
    <col min="13499" max="13499" width="35.5703125" style="834" customWidth="1"/>
    <col min="13500" max="13571" width="9.140625" style="834" customWidth="1"/>
    <col min="13572" max="13572" width="19.7109375" style="834" customWidth="1"/>
    <col min="13573" max="13573" width="11.5703125" style="834" customWidth="1"/>
    <col min="13574" max="13575" width="11.28515625" style="834" customWidth="1"/>
    <col min="13576" max="13754" width="9.140625" style="834"/>
    <col min="13755" max="13755" width="35.5703125" style="834" customWidth="1"/>
    <col min="13756" max="13827" width="9.140625" style="834" customWidth="1"/>
    <col min="13828" max="13828" width="19.7109375" style="834" customWidth="1"/>
    <col min="13829" max="13829" width="11.5703125" style="834" customWidth="1"/>
    <col min="13830" max="13831" width="11.28515625" style="834" customWidth="1"/>
    <col min="13832" max="14010" width="9.140625" style="834"/>
    <col min="14011" max="14011" width="35.5703125" style="834" customWidth="1"/>
    <col min="14012" max="14083" width="9.140625" style="834" customWidth="1"/>
    <col min="14084" max="14084" width="19.7109375" style="834" customWidth="1"/>
    <col min="14085" max="14085" width="11.5703125" style="834" customWidth="1"/>
    <col min="14086" max="14087" width="11.28515625" style="834" customWidth="1"/>
    <col min="14088" max="14266" width="9.140625" style="834"/>
    <col min="14267" max="14267" width="35.5703125" style="834" customWidth="1"/>
    <col min="14268" max="14339" width="9.140625" style="834" customWidth="1"/>
    <col min="14340" max="14340" width="19.7109375" style="834" customWidth="1"/>
    <col min="14341" max="14341" width="11.5703125" style="834" customWidth="1"/>
    <col min="14342" max="14343" width="11.28515625" style="834" customWidth="1"/>
    <col min="14344" max="14522" width="9.140625" style="834"/>
    <col min="14523" max="14523" width="35.5703125" style="834" customWidth="1"/>
    <col min="14524" max="14595" width="9.140625" style="834" customWidth="1"/>
    <col min="14596" max="14596" width="19.7109375" style="834" customWidth="1"/>
    <col min="14597" max="14597" width="11.5703125" style="834" customWidth="1"/>
    <col min="14598" max="14599" width="11.28515625" style="834" customWidth="1"/>
    <col min="14600" max="14778" width="9.140625" style="834"/>
    <col min="14779" max="14779" width="35.5703125" style="834" customWidth="1"/>
    <col min="14780" max="14851" width="9.140625" style="834" customWidth="1"/>
    <col min="14852" max="14852" width="19.7109375" style="834" customWidth="1"/>
    <col min="14853" max="14853" width="11.5703125" style="834" customWidth="1"/>
    <col min="14854" max="14855" width="11.28515625" style="834" customWidth="1"/>
    <col min="14856" max="15034" width="9.140625" style="834"/>
    <col min="15035" max="15035" width="35.5703125" style="834" customWidth="1"/>
    <col min="15036" max="15107" width="9.140625" style="834" customWidth="1"/>
    <col min="15108" max="15108" width="19.7109375" style="834" customWidth="1"/>
    <col min="15109" max="15109" width="11.5703125" style="834" customWidth="1"/>
    <col min="15110" max="15111" width="11.28515625" style="834" customWidth="1"/>
    <col min="15112" max="15290" width="9.140625" style="834"/>
    <col min="15291" max="15291" width="35.5703125" style="834" customWidth="1"/>
    <col min="15292" max="15363" width="9.140625" style="834" customWidth="1"/>
    <col min="15364" max="15364" width="19.7109375" style="834" customWidth="1"/>
    <col min="15365" max="15365" width="11.5703125" style="834" customWidth="1"/>
    <col min="15366" max="15367" width="11.28515625" style="834" customWidth="1"/>
    <col min="15368" max="15546" width="9.140625" style="834"/>
    <col min="15547" max="15547" width="35.5703125" style="834" customWidth="1"/>
    <col min="15548" max="15619" width="9.140625" style="834" customWidth="1"/>
    <col min="15620" max="15620" width="19.7109375" style="834" customWidth="1"/>
    <col min="15621" max="15621" width="11.5703125" style="834" customWidth="1"/>
    <col min="15622" max="15623" width="11.28515625" style="834" customWidth="1"/>
    <col min="15624" max="15802" width="9.140625" style="834"/>
    <col min="15803" max="15803" width="35.5703125" style="834" customWidth="1"/>
    <col min="15804" max="15875" width="9.140625" style="834" customWidth="1"/>
    <col min="15876" max="15876" width="19.7109375" style="834" customWidth="1"/>
    <col min="15877" max="15877" width="11.5703125" style="834" customWidth="1"/>
    <col min="15878" max="15879" width="11.28515625" style="834" customWidth="1"/>
    <col min="15880" max="16058" width="9.140625" style="834"/>
    <col min="16059" max="16059" width="35.5703125" style="834" customWidth="1"/>
    <col min="16060" max="16131" width="9.140625" style="834" customWidth="1"/>
    <col min="16132" max="16132" width="19.7109375" style="834" customWidth="1"/>
    <col min="16133" max="16133" width="11.5703125" style="834" customWidth="1"/>
    <col min="16134" max="16135" width="11.28515625" style="834" customWidth="1"/>
    <col min="16136" max="16384" width="9.140625" style="834"/>
  </cols>
  <sheetData>
    <row r="1" spans="1:31">
      <c r="B1" s="834"/>
      <c r="C1" s="835"/>
      <c r="D1" s="835"/>
      <c r="E1" s="835"/>
      <c r="P1" s="835"/>
      <c r="Q1" s="835"/>
      <c r="R1" s="835"/>
    </row>
    <row r="2" spans="1:31" ht="12.4" customHeight="1">
      <c r="B2" s="838" t="s">
        <v>15</v>
      </c>
      <c r="C2" s="1842"/>
      <c r="D2" s="1842"/>
      <c r="E2" s="1842"/>
      <c r="P2" s="1842"/>
      <c r="Q2" s="1842"/>
      <c r="R2" s="1842"/>
    </row>
    <row r="3" spans="1:31" ht="12.4" customHeight="1">
      <c r="B3" s="838" t="s">
        <v>1329</v>
      </c>
      <c r="C3" s="1842"/>
      <c r="D3" s="1842"/>
      <c r="E3" s="1842"/>
      <c r="P3" s="1842"/>
      <c r="Q3" s="1842"/>
      <c r="R3" s="1842"/>
    </row>
    <row r="4" spans="1:31">
      <c r="B4" s="840"/>
      <c r="C4" s="1842"/>
      <c r="D4" s="1842"/>
      <c r="E4" s="1842"/>
      <c r="P4" s="1842"/>
      <c r="Q4" s="1842"/>
      <c r="R4" s="1842"/>
    </row>
    <row r="5" spans="1:31" ht="76.5">
      <c r="A5" s="1841"/>
      <c r="B5" s="1841" t="s">
        <v>1281</v>
      </c>
      <c r="C5" s="877" t="s">
        <v>158</v>
      </c>
      <c r="D5" s="877" t="s">
        <v>1282</v>
      </c>
      <c r="E5" s="877" t="s">
        <v>1283</v>
      </c>
      <c r="F5" s="877" t="s">
        <v>1284</v>
      </c>
      <c r="G5" s="877" t="s">
        <v>1285</v>
      </c>
      <c r="H5" s="877" t="s">
        <v>1286</v>
      </c>
      <c r="I5" s="1841" t="s">
        <v>874</v>
      </c>
      <c r="J5" s="1841" t="s">
        <v>875</v>
      </c>
      <c r="K5" s="1841"/>
      <c r="L5" s="1841"/>
      <c r="M5" s="1841"/>
      <c r="N5" s="1836" t="s">
        <v>1287</v>
      </c>
      <c r="O5" s="1838"/>
      <c r="P5" s="1839" t="s">
        <v>1316</v>
      </c>
      <c r="Q5" s="1839" t="s">
        <v>1326</v>
      </c>
      <c r="R5" s="1839" t="s">
        <v>1317</v>
      </c>
      <c r="S5" s="1839" t="s">
        <v>1327</v>
      </c>
      <c r="T5" s="1839" t="s">
        <v>1328</v>
      </c>
      <c r="U5" s="1836" t="s">
        <v>1321</v>
      </c>
      <c r="V5" s="1837"/>
      <c r="W5" s="1838"/>
      <c r="X5" s="1836" t="s">
        <v>1322</v>
      </c>
      <c r="Y5" s="1837"/>
      <c r="Z5" s="1838"/>
      <c r="AA5" s="1836" t="s">
        <v>1320</v>
      </c>
      <c r="AB5" s="1837"/>
      <c r="AC5" s="1838"/>
    </row>
    <row r="6" spans="1:31" ht="38.25">
      <c r="A6" s="1841"/>
      <c r="B6" s="1841"/>
      <c r="C6" s="884" t="s">
        <v>1273</v>
      </c>
      <c r="D6" s="873" t="s">
        <v>1273</v>
      </c>
      <c r="E6" s="873" t="s">
        <v>1273</v>
      </c>
      <c r="F6" s="873">
        <v>2013</v>
      </c>
      <c r="G6" s="873" t="s">
        <v>1273</v>
      </c>
      <c r="H6" s="873" t="s">
        <v>1273</v>
      </c>
      <c r="I6" s="1841"/>
      <c r="J6" s="873" t="s">
        <v>876</v>
      </c>
      <c r="K6" s="873" t="s">
        <v>877</v>
      </c>
      <c r="L6" s="873" t="s">
        <v>878</v>
      </c>
      <c r="M6" s="885" t="s">
        <v>1278</v>
      </c>
      <c r="N6" s="873" t="s">
        <v>1288</v>
      </c>
      <c r="O6" s="873" t="s">
        <v>1289</v>
      </c>
      <c r="P6" s="1840"/>
      <c r="Q6" s="1840"/>
      <c r="R6" s="1840"/>
      <c r="S6" s="1840"/>
      <c r="T6" s="1840"/>
      <c r="U6" s="873" t="s">
        <v>1318</v>
      </c>
      <c r="V6" s="873" t="s">
        <v>1319</v>
      </c>
      <c r="W6" s="873" t="s">
        <v>1774</v>
      </c>
      <c r="X6" s="873" t="s">
        <v>1318</v>
      </c>
      <c r="Y6" s="873" t="s">
        <v>1319</v>
      </c>
      <c r="Z6" s="873" t="s">
        <v>1774</v>
      </c>
      <c r="AA6" s="873" t="s">
        <v>1318</v>
      </c>
      <c r="AB6" s="873" t="s">
        <v>1319</v>
      </c>
      <c r="AC6" s="873" t="s">
        <v>1774</v>
      </c>
    </row>
    <row r="7" spans="1:31" s="838" customFormat="1">
      <c r="A7" s="886"/>
      <c r="B7" s="886" t="s">
        <v>109</v>
      </c>
      <c r="C7" s="887">
        <f>SUM(C8:C12)</f>
        <v>108.9</v>
      </c>
      <c r="D7" s="888">
        <f>SUM(D8:D12)</f>
        <v>269</v>
      </c>
      <c r="E7" s="888">
        <f t="shared" ref="E7:E70" si="0">D7*100/C7</f>
        <v>247.01561065197427</v>
      </c>
      <c r="F7" s="888">
        <f>SUM(F8:F12)</f>
        <v>101</v>
      </c>
      <c r="G7" s="887">
        <f>F7*100/C7</f>
        <v>92.745638200183649</v>
      </c>
      <c r="H7" s="887">
        <f>D7/F7</f>
        <v>2.6633663366336635</v>
      </c>
      <c r="I7" s="889"/>
      <c r="J7" s="890">
        <f>SUM(J8:J12)</f>
        <v>2</v>
      </c>
      <c r="K7" s="890">
        <f>SUM(K8:K12)</f>
        <v>0</v>
      </c>
      <c r="L7" s="890">
        <f>SUM(L8:L12)</f>
        <v>2</v>
      </c>
      <c r="M7" s="890"/>
      <c r="N7" s="889"/>
      <c r="O7" s="889"/>
      <c r="P7" s="887">
        <f>Q7/F7</f>
        <v>8.3234323432343231</v>
      </c>
      <c r="Q7" s="888">
        <f>SUM(Q8:Q12)</f>
        <v>840.66666666666663</v>
      </c>
      <c r="R7" s="888">
        <f>(S7*100)/(P7*C7)</f>
        <v>103.52796219712809</v>
      </c>
      <c r="S7" s="888">
        <f>SUM(S8:S12)</f>
        <v>938.40000000000009</v>
      </c>
      <c r="T7" s="888">
        <f>SUM(T8:T12)</f>
        <v>891</v>
      </c>
      <c r="U7" s="888">
        <f>SUM(U8:U12)</f>
        <v>891</v>
      </c>
      <c r="V7" s="888">
        <f>SUM(V8:V12)</f>
        <v>891</v>
      </c>
      <c r="W7" s="888">
        <f>SUM(W8:W12)</f>
        <v>891</v>
      </c>
      <c r="X7" s="891">
        <f>AA7/U7</f>
        <v>0.86464646464646466</v>
      </c>
      <c r="Y7" s="891">
        <f>AB7/V7</f>
        <v>0.8</v>
      </c>
      <c r="Z7" s="891">
        <f>AC7/W7</f>
        <v>0.8</v>
      </c>
      <c r="AA7" s="888">
        <f>SUM(AA8:AA12)</f>
        <v>770.4</v>
      </c>
      <c r="AB7" s="888">
        <f>SUM(AB8:AB12)</f>
        <v>712.80000000000007</v>
      </c>
      <c r="AC7" s="888">
        <f>SUM(AC8:AC12)</f>
        <v>712.80000000000007</v>
      </c>
    </row>
    <row r="8" spans="1:31">
      <c r="A8" s="856">
        <v>1</v>
      </c>
      <c r="B8" s="892" t="s">
        <v>879</v>
      </c>
      <c r="C8" s="893">
        <f>[19]Population!L55</f>
        <v>57.4</v>
      </c>
      <c r="D8" s="883">
        <v>113</v>
      </c>
      <c r="E8" s="883">
        <f t="shared" si="0"/>
        <v>196.86411149825784</v>
      </c>
      <c r="F8" s="883">
        <v>41</v>
      </c>
      <c r="G8" s="893">
        <f t="shared" ref="G8:G71" si="1">F8*100/C8</f>
        <v>71.428571428571431</v>
      </c>
      <c r="H8" s="893">
        <f t="shared" ref="H8:H71" si="2">D8/F8</f>
        <v>2.7560975609756095</v>
      </c>
      <c r="I8" s="894" t="s">
        <v>880</v>
      </c>
      <c r="J8" s="895">
        <v>1</v>
      </c>
      <c r="K8" s="895"/>
      <c r="L8" s="895">
        <f>J8-K8</f>
        <v>1</v>
      </c>
      <c r="M8" s="883">
        <v>1</v>
      </c>
      <c r="N8" s="894" t="s">
        <v>238</v>
      </c>
      <c r="O8" s="895"/>
      <c r="P8" s="883">
        <v>8</v>
      </c>
      <c r="Q8" s="883">
        <f>F8*P8</f>
        <v>328</v>
      </c>
      <c r="R8" s="883">
        <v>100</v>
      </c>
      <c r="S8" s="883">
        <f>R8*P8*C8/100</f>
        <v>459.2</v>
      </c>
      <c r="T8" s="883">
        <f>ROUND(AVERAGE(Q8,S8),0)</f>
        <v>394</v>
      </c>
      <c r="U8" s="883">
        <f>T8+SUM(T10:T12)</f>
        <v>576</v>
      </c>
      <c r="V8" s="883">
        <f>U8+U9</f>
        <v>891</v>
      </c>
      <c r="W8" s="883">
        <f>U8+U9</f>
        <v>891</v>
      </c>
      <c r="X8" s="896">
        <v>0.9</v>
      </c>
      <c r="Y8" s="896">
        <v>0.8</v>
      </c>
      <c r="Z8" s="896">
        <v>0.8</v>
      </c>
      <c r="AA8" s="883">
        <f>U8*X8</f>
        <v>518.4</v>
      </c>
      <c r="AB8" s="883">
        <f>V8*Y8</f>
        <v>712.80000000000007</v>
      </c>
      <c r="AC8" s="883">
        <f>W8*Z8</f>
        <v>712.80000000000007</v>
      </c>
    </row>
    <row r="9" spans="1:31">
      <c r="A9" s="897">
        <v>2</v>
      </c>
      <c r="B9" s="898" t="s">
        <v>881</v>
      </c>
      <c r="C9" s="899">
        <f>[19]Population!L53</f>
        <v>33.700000000000003</v>
      </c>
      <c r="D9" s="900">
        <v>138</v>
      </c>
      <c r="E9" s="900">
        <f t="shared" si="0"/>
        <v>409.49554896142428</v>
      </c>
      <c r="F9" s="900">
        <v>45</v>
      </c>
      <c r="G9" s="899">
        <f t="shared" si="1"/>
        <v>133.53115727002967</v>
      </c>
      <c r="H9" s="899">
        <f t="shared" si="2"/>
        <v>3.0666666666666669</v>
      </c>
      <c r="I9" s="901" t="s">
        <v>882</v>
      </c>
      <c r="J9" s="902">
        <v>1</v>
      </c>
      <c r="K9" s="902"/>
      <c r="L9" s="902">
        <f>J9-K9</f>
        <v>1</v>
      </c>
      <c r="M9" s="900">
        <v>2</v>
      </c>
      <c r="N9" s="901" t="s">
        <v>879</v>
      </c>
      <c r="O9" s="902">
        <v>35</v>
      </c>
      <c r="P9" s="900">
        <f>P$8</f>
        <v>8</v>
      </c>
      <c r="Q9" s="900">
        <f t="shared" ref="Q9:Q12" si="3">F9*P9</f>
        <v>360</v>
      </c>
      <c r="R9" s="900">
        <f>R$8</f>
        <v>100</v>
      </c>
      <c r="S9" s="900">
        <f t="shared" ref="S9:S12" si="4">R9*P9*C9/100</f>
        <v>269.60000000000002</v>
      </c>
      <c r="T9" s="900">
        <f t="shared" ref="T9:T12" si="5">ROUND(AVERAGE(Q9,S9),0)</f>
        <v>315</v>
      </c>
      <c r="U9" s="900">
        <f>T9</f>
        <v>315</v>
      </c>
      <c r="V9" s="900"/>
      <c r="W9" s="900"/>
      <c r="X9" s="903">
        <v>0.8</v>
      </c>
      <c r="Y9" s="903"/>
      <c r="Z9" s="903"/>
      <c r="AA9" s="900">
        <f>U9*X9</f>
        <v>252</v>
      </c>
      <c r="AB9" s="900"/>
      <c r="AC9" s="900"/>
    </row>
    <row r="10" spans="1:31">
      <c r="A10" s="904">
        <v>3</v>
      </c>
      <c r="B10" s="905" t="s">
        <v>883</v>
      </c>
      <c r="C10" s="906">
        <f>[19]Population!L56</f>
        <v>4.9000000000000004</v>
      </c>
      <c r="D10" s="907">
        <v>0</v>
      </c>
      <c r="E10" s="907">
        <f t="shared" si="0"/>
        <v>0</v>
      </c>
      <c r="F10" s="907">
        <v>0</v>
      </c>
      <c r="G10" s="906">
        <f t="shared" si="1"/>
        <v>0</v>
      </c>
      <c r="H10" s="906"/>
      <c r="I10" s="908" t="s">
        <v>884</v>
      </c>
      <c r="J10" s="909"/>
      <c r="K10" s="909"/>
      <c r="L10" s="909"/>
      <c r="M10" s="847"/>
      <c r="N10" s="908" t="s">
        <v>879</v>
      </c>
      <c r="O10" s="909">
        <v>135</v>
      </c>
      <c r="P10" s="907">
        <f t="shared" ref="P10:P12" si="6">P$8</f>
        <v>8</v>
      </c>
      <c r="Q10" s="858">
        <f>S10/1.2</f>
        <v>32.666666666666671</v>
      </c>
      <c r="R10" s="907">
        <f t="shared" ref="R10:R12" si="7">R$8</f>
        <v>100</v>
      </c>
      <c r="S10" s="907">
        <f t="shared" si="4"/>
        <v>39.200000000000003</v>
      </c>
      <c r="T10" s="907">
        <f t="shared" si="5"/>
        <v>36</v>
      </c>
      <c r="U10" s="907"/>
      <c r="V10" s="907"/>
      <c r="W10" s="907"/>
      <c r="X10" s="910"/>
      <c r="Y10" s="910"/>
      <c r="Z10" s="910"/>
      <c r="AA10" s="907"/>
      <c r="AB10" s="907"/>
      <c r="AC10" s="907"/>
    </row>
    <row r="11" spans="1:31">
      <c r="A11" s="904">
        <v>4</v>
      </c>
      <c r="B11" s="905" t="s">
        <v>885</v>
      </c>
      <c r="C11" s="906"/>
      <c r="D11" s="907">
        <v>9</v>
      </c>
      <c r="E11" s="907"/>
      <c r="F11" s="907">
        <v>7</v>
      </c>
      <c r="G11" s="906"/>
      <c r="H11" s="906">
        <f t="shared" si="2"/>
        <v>1.2857142857142858</v>
      </c>
      <c r="I11" s="908" t="s">
        <v>884</v>
      </c>
      <c r="J11" s="909"/>
      <c r="K11" s="909"/>
      <c r="L11" s="909"/>
      <c r="M11" s="847"/>
      <c r="N11" s="908" t="s">
        <v>879</v>
      </c>
      <c r="O11" s="909">
        <v>50</v>
      </c>
      <c r="P11" s="907">
        <f t="shared" si="6"/>
        <v>8</v>
      </c>
      <c r="Q11" s="907">
        <f t="shared" si="3"/>
        <v>56</v>
      </c>
      <c r="R11" s="907">
        <f t="shared" si="7"/>
        <v>100</v>
      </c>
      <c r="S11" s="858">
        <f>Q11*1.2</f>
        <v>67.2</v>
      </c>
      <c r="T11" s="907">
        <f t="shared" si="5"/>
        <v>62</v>
      </c>
      <c r="U11" s="907"/>
      <c r="V11" s="907"/>
      <c r="W11" s="907"/>
      <c r="X11" s="910"/>
      <c r="Y11" s="910"/>
      <c r="Z11" s="910"/>
      <c r="AA11" s="907"/>
      <c r="AB11" s="907"/>
      <c r="AC11" s="907"/>
    </row>
    <row r="12" spans="1:31">
      <c r="A12" s="904">
        <v>5</v>
      </c>
      <c r="B12" s="905" t="s">
        <v>886</v>
      </c>
      <c r="C12" s="906">
        <f>[19]Population!L54</f>
        <v>12.9</v>
      </c>
      <c r="D12" s="907">
        <v>9</v>
      </c>
      <c r="E12" s="907">
        <f t="shared" si="0"/>
        <v>69.767441860465112</v>
      </c>
      <c r="F12" s="907">
        <v>8</v>
      </c>
      <c r="G12" s="906">
        <f t="shared" si="1"/>
        <v>62.015503875968989</v>
      </c>
      <c r="H12" s="906">
        <f t="shared" si="2"/>
        <v>1.125</v>
      </c>
      <c r="I12" s="908" t="s">
        <v>884</v>
      </c>
      <c r="J12" s="909"/>
      <c r="K12" s="909"/>
      <c r="L12" s="909"/>
      <c r="M12" s="847"/>
      <c r="N12" s="908" t="s">
        <v>879</v>
      </c>
      <c r="O12" s="909">
        <v>60</v>
      </c>
      <c r="P12" s="907">
        <f t="shared" si="6"/>
        <v>8</v>
      </c>
      <c r="Q12" s="907">
        <f t="shared" si="3"/>
        <v>64</v>
      </c>
      <c r="R12" s="907">
        <f t="shared" si="7"/>
        <v>100</v>
      </c>
      <c r="S12" s="907">
        <f t="shared" si="4"/>
        <v>103.2</v>
      </c>
      <c r="T12" s="907">
        <f t="shared" si="5"/>
        <v>84</v>
      </c>
      <c r="U12" s="907"/>
      <c r="V12" s="907"/>
      <c r="W12" s="907"/>
      <c r="X12" s="910"/>
      <c r="Y12" s="910"/>
      <c r="Z12" s="910"/>
      <c r="AA12" s="907"/>
      <c r="AB12" s="907"/>
      <c r="AC12" s="907"/>
    </row>
    <row r="13" spans="1:31" s="838" customFormat="1">
      <c r="A13" s="911"/>
      <c r="B13" s="911" t="s">
        <v>895</v>
      </c>
      <c r="C13" s="887">
        <f>SUM(C14:C21)</f>
        <v>405</v>
      </c>
      <c r="D13" s="888">
        <f>SUM(D14:D21)</f>
        <v>788</v>
      </c>
      <c r="E13" s="888">
        <f t="shared" si="0"/>
        <v>194.5679012345679</v>
      </c>
      <c r="F13" s="888">
        <f>SUM(F14:F21)</f>
        <v>242</v>
      </c>
      <c r="G13" s="887">
        <f t="shared" si="1"/>
        <v>59.753086419753089</v>
      </c>
      <c r="H13" s="887">
        <f t="shared" si="2"/>
        <v>3.2561983471074378</v>
      </c>
      <c r="I13" s="889"/>
      <c r="J13" s="890">
        <f>SUM(J14:J21)</f>
        <v>8</v>
      </c>
      <c r="K13" s="890">
        <f>SUM(K14:K21)</f>
        <v>1</v>
      </c>
      <c r="L13" s="890">
        <f>SUM(L14:L21)</f>
        <v>7</v>
      </c>
      <c r="M13" s="890"/>
      <c r="N13" s="889"/>
      <c r="O13" s="890"/>
      <c r="P13" s="887">
        <f>Q13/F13</f>
        <v>8</v>
      </c>
      <c r="Q13" s="888">
        <f>SUM(Q14:Q21)</f>
        <v>1936</v>
      </c>
      <c r="R13" s="888">
        <f>(S13*100)/(P13*C13)</f>
        <v>100</v>
      </c>
      <c r="S13" s="888">
        <f>SUM(S14:S21)</f>
        <v>3240</v>
      </c>
      <c r="T13" s="888">
        <f>SUM(T14:T21)</f>
        <v>2587</v>
      </c>
      <c r="U13" s="888">
        <f>SUM(U14:U21)</f>
        <v>2587</v>
      </c>
      <c r="V13" s="888">
        <f>SUM(V14:V21)</f>
        <v>2239</v>
      </c>
      <c r="W13" s="888">
        <f>SUM(W14:W21)</f>
        <v>2239</v>
      </c>
      <c r="X13" s="891">
        <f>AA13/U13</f>
        <v>1.0889060688055661</v>
      </c>
      <c r="Y13" s="891">
        <f>AB13/V13</f>
        <v>1.0718177757927645</v>
      </c>
      <c r="Z13" s="891">
        <f>AC13/W13</f>
        <v>0.97610540419830283</v>
      </c>
      <c r="AA13" s="888">
        <f>SUM(AA14:AA21)</f>
        <v>2816.9999999999995</v>
      </c>
      <c r="AB13" s="888">
        <f>SUM(AB14:AB21)</f>
        <v>2399.7999999999997</v>
      </c>
      <c r="AC13" s="888">
        <f>SUM(AC14:AC21)</f>
        <v>2185.5</v>
      </c>
      <c r="AE13" s="912"/>
    </row>
    <row r="14" spans="1:31">
      <c r="A14" s="856">
        <v>6</v>
      </c>
      <c r="B14" s="892" t="s">
        <v>887</v>
      </c>
      <c r="C14" s="893">
        <f>[19]Population!L44</f>
        <v>69.099999999999994</v>
      </c>
      <c r="D14" s="883">
        <v>137</v>
      </c>
      <c r="E14" s="883">
        <f t="shared" si="0"/>
        <v>198.26338639652678</v>
      </c>
      <c r="F14" s="883">
        <v>51</v>
      </c>
      <c r="G14" s="893">
        <f t="shared" si="1"/>
        <v>73.806078147612169</v>
      </c>
      <c r="H14" s="893">
        <f t="shared" si="2"/>
        <v>2.6862745098039214</v>
      </c>
      <c r="I14" s="894" t="s">
        <v>880</v>
      </c>
      <c r="J14" s="895">
        <v>1</v>
      </c>
      <c r="K14" s="895"/>
      <c r="L14" s="895">
        <f t="shared" ref="L14:L21" si="8">J14-K14</f>
        <v>1</v>
      </c>
      <c r="M14" s="883">
        <v>1</v>
      </c>
      <c r="N14" s="894" t="s">
        <v>238</v>
      </c>
      <c r="O14" s="895"/>
      <c r="P14" s="883">
        <f t="shared" ref="P14:P21" si="9">P$8</f>
        <v>8</v>
      </c>
      <c r="Q14" s="883">
        <f t="shared" ref="Q14:Q21" si="10">F14*P14</f>
        <v>408</v>
      </c>
      <c r="R14" s="883">
        <f t="shared" ref="R14:R21" si="11">R$8</f>
        <v>100</v>
      </c>
      <c r="S14" s="883">
        <f t="shared" ref="S14:S21" si="12">R14*P14*C14/100</f>
        <v>552.79999999999995</v>
      </c>
      <c r="T14" s="883">
        <f t="shared" ref="T14:T21" si="13">ROUND(AVERAGE(Q14,S14),0)</f>
        <v>480</v>
      </c>
      <c r="U14" s="883">
        <f>T14</f>
        <v>480</v>
      </c>
      <c r="V14" s="883">
        <f>U14</f>
        <v>480</v>
      </c>
      <c r="W14" s="883">
        <f>U14</f>
        <v>480</v>
      </c>
      <c r="X14" s="896">
        <v>1.05</v>
      </c>
      <c r="Y14" s="896">
        <f>X14</f>
        <v>1.05</v>
      </c>
      <c r="Z14" s="896">
        <f>Y14</f>
        <v>1.05</v>
      </c>
      <c r="AA14" s="883">
        <f>U14*X14</f>
        <v>504</v>
      </c>
      <c r="AB14" s="883">
        <f>V14*Y14</f>
        <v>504</v>
      </c>
      <c r="AC14" s="883">
        <f>W14*Z14</f>
        <v>504</v>
      </c>
    </row>
    <row r="15" spans="1:31">
      <c r="A15" s="897">
        <v>7</v>
      </c>
      <c r="B15" s="898" t="s">
        <v>888</v>
      </c>
      <c r="C15" s="899">
        <f>[19]Population!L43</f>
        <v>42.3</v>
      </c>
      <c r="D15" s="900">
        <v>108</v>
      </c>
      <c r="E15" s="900">
        <f t="shared" si="0"/>
        <v>255.31914893617022</v>
      </c>
      <c r="F15" s="900">
        <v>28</v>
      </c>
      <c r="G15" s="899">
        <f t="shared" si="1"/>
        <v>66.193853427895988</v>
      </c>
      <c r="H15" s="899">
        <f t="shared" si="2"/>
        <v>3.8571428571428572</v>
      </c>
      <c r="I15" s="901" t="s">
        <v>882</v>
      </c>
      <c r="J15" s="902">
        <v>1</v>
      </c>
      <c r="K15" s="902"/>
      <c r="L15" s="902">
        <f t="shared" si="8"/>
        <v>1</v>
      </c>
      <c r="M15" s="900">
        <v>2</v>
      </c>
      <c r="N15" s="901" t="s">
        <v>1775</v>
      </c>
      <c r="O15" s="902">
        <v>30</v>
      </c>
      <c r="P15" s="900">
        <f t="shared" si="9"/>
        <v>8</v>
      </c>
      <c r="Q15" s="900">
        <f t="shared" si="10"/>
        <v>224</v>
      </c>
      <c r="R15" s="900">
        <f t="shared" si="11"/>
        <v>100</v>
      </c>
      <c r="S15" s="900">
        <f t="shared" si="12"/>
        <v>338.4</v>
      </c>
      <c r="T15" s="900">
        <f t="shared" si="13"/>
        <v>281</v>
      </c>
      <c r="U15" s="900">
        <f>T15</f>
        <v>281</v>
      </c>
      <c r="V15" s="900"/>
      <c r="W15" s="900"/>
      <c r="X15" s="903">
        <v>1</v>
      </c>
      <c r="Y15" s="903"/>
      <c r="Z15" s="903"/>
      <c r="AA15" s="900">
        <f t="shared" ref="AA15:AA21" si="14">U15*X15</f>
        <v>281</v>
      </c>
      <c r="AB15" s="900"/>
      <c r="AC15" s="900"/>
    </row>
    <row r="16" spans="1:31">
      <c r="A16" s="856">
        <v>8</v>
      </c>
      <c r="B16" s="892" t="s">
        <v>889</v>
      </c>
      <c r="C16" s="893">
        <f>[19]Population!L46</f>
        <v>70.8</v>
      </c>
      <c r="D16" s="883">
        <v>171</v>
      </c>
      <c r="E16" s="883">
        <f t="shared" si="0"/>
        <v>241.52542372881356</v>
      </c>
      <c r="F16" s="883">
        <v>44</v>
      </c>
      <c r="G16" s="893">
        <f t="shared" si="1"/>
        <v>62.146892655367232</v>
      </c>
      <c r="H16" s="893">
        <f t="shared" si="2"/>
        <v>3.8863636363636362</v>
      </c>
      <c r="I16" s="894" t="s">
        <v>880</v>
      </c>
      <c r="J16" s="895">
        <v>1</v>
      </c>
      <c r="K16" s="895">
        <v>1</v>
      </c>
      <c r="L16" s="895"/>
      <c r="M16" s="883"/>
      <c r="N16" s="894" t="s">
        <v>238</v>
      </c>
      <c r="O16" s="895"/>
      <c r="P16" s="883">
        <f t="shared" si="9"/>
        <v>8</v>
      </c>
      <c r="Q16" s="883">
        <f t="shared" si="10"/>
        <v>352</v>
      </c>
      <c r="R16" s="883">
        <f t="shared" si="11"/>
        <v>100</v>
      </c>
      <c r="S16" s="883">
        <f t="shared" si="12"/>
        <v>566.4</v>
      </c>
      <c r="T16" s="883">
        <f t="shared" si="13"/>
        <v>459</v>
      </c>
      <c r="U16" s="883">
        <f t="shared" ref="U16:V26" si="15">T16</f>
        <v>459</v>
      </c>
      <c r="V16" s="883">
        <f>U16+SUM(U15,U20)</f>
        <v>984</v>
      </c>
      <c r="W16" s="883">
        <f>U16+SUM(U15,U19,U20,U21)</f>
        <v>1431</v>
      </c>
      <c r="X16" s="896">
        <v>1.2</v>
      </c>
      <c r="Y16" s="896">
        <v>1</v>
      </c>
      <c r="Z16" s="896">
        <v>0.9</v>
      </c>
      <c r="AA16" s="883">
        <f t="shared" si="14"/>
        <v>550.79999999999995</v>
      </c>
      <c r="AB16" s="883">
        <f>V16*Y16</f>
        <v>984</v>
      </c>
      <c r="AC16" s="883">
        <f>W16*Z16</f>
        <v>1287.9000000000001</v>
      </c>
    </row>
    <row r="17" spans="1:29">
      <c r="A17" s="856">
        <v>9</v>
      </c>
      <c r="B17" s="892" t="s">
        <v>890</v>
      </c>
      <c r="C17" s="893">
        <f>[19]Population!L47</f>
        <v>52</v>
      </c>
      <c r="D17" s="883">
        <v>114</v>
      </c>
      <c r="E17" s="883">
        <f t="shared" si="0"/>
        <v>219.23076923076923</v>
      </c>
      <c r="F17" s="883">
        <v>30</v>
      </c>
      <c r="G17" s="893">
        <f t="shared" si="1"/>
        <v>57.692307692307693</v>
      </c>
      <c r="H17" s="893">
        <f t="shared" si="2"/>
        <v>3.8</v>
      </c>
      <c r="I17" s="894" t="s">
        <v>880</v>
      </c>
      <c r="J17" s="895">
        <v>1</v>
      </c>
      <c r="K17" s="895"/>
      <c r="L17" s="895">
        <f t="shared" si="8"/>
        <v>1</v>
      </c>
      <c r="M17" s="883">
        <v>1</v>
      </c>
      <c r="N17" s="894" t="s">
        <v>238</v>
      </c>
      <c r="O17" s="895"/>
      <c r="P17" s="883">
        <f t="shared" si="9"/>
        <v>8</v>
      </c>
      <c r="Q17" s="883">
        <f t="shared" si="10"/>
        <v>240</v>
      </c>
      <c r="R17" s="883">
        <f t="shared" si="11"/>
        <v>100</v>
      </c>
      <c r="S17" s="883">
        <f t="shared" si="12"/>
        <v>416</v>
      </c>
      <c r="T17" s="883">
        <f t="shared" si="13"/>
        <v>328</v>
      </c>
      <c r="U17" s="883">
        <f t="shared" si="15"/>
        <v>328</v>
      </c>
      <c r="V17" s="883">
        <f>U17</f>
        <v>328</v>
      </c>
      <c r="W17" s="883">
        <f>U17</f>
        <v>328</v>
      </c>
      <c r="X17" s="896">
        <v>1.2</v>
      </c>
      <c r="Y17" s="896">
        <f>X17</f>
        <v>1.2</v>
      </c>
      <c r="Z17" s="896">
        <f>Y17</f>
        <v>1.2</v>
      </c>
      <c r="AA17" s="883">
        <f t="shared" si="14"/>
        <v>393.59999999999997</v>
      </c>
      <c r="AB17" s="883">
        <f>V17*Y17</f>
        <v>393.59999999999997</v>
      </c>
      <c r="AC17" s="883">
        <f>W17*Z17</f>
        <v>393.59999999999997</v>
      </c>
    </row>
    <row r="18" spans="1:29">
      <c r="A18" s="897">
        <v>10</v>
      </c>
      <c r="B18" s="898" t="s">
        <v>891</v>
      </c>
      <c r="C18" s="899">
        <f>[19]Population!L48</f>
        <v>60.1</v>
      </c>
      <c r="D18" s="900">
        <v>64</v>
      </c>
      <c r="E18" s="900">
        <f t="shared" si="0"/>
        <v>106.48918469217969</v>
      </c>
      <c r="F18" s="900">
        <v>27</v>
      </c>
      <c r="G18" s="899">
        <f t="shared" si="1"/>
        <v>44.925124792013307</v>
      </c>
      <c r="H18" s="899">
        <f t="shared" si="2"/>
        <v>2.3703703703703702</v>
      </c>
      <c r="I18" s="901" t="s">
        <v>882</v>
      </c>
      <c r="J18" s="902">
        <v>1</v>
      </c>
      <c r="K18" s="902"/>
      <c r="L18" s="902">
        <f t="shared" si="8"/>
        <v>1</v>
      </c>
      <c r="M18" s="900">
        <v>2</v>
      </c>
      <c r="N18" s="901" t="s">
        <v>1290</v>
      </c>
      <c r="O18" s="902">
        <v>55</v>
      </c>
      <c r="P18" s="900">
        <f t="shared" si="9"/>
        <v>8</v>
      </c>
      <c r="Q18" s="900">
        <f t="shared" si="10"/>
        <v>216</v>
      </c>
      <c r="R18" s="900">
        <f t="shared" si="11"/>
        <v>100</v>
      </c>
      <c r="S18" s="900">
        <f t="shared" si="12"/>
        <v>480.8</v>
      </c>
      <c r="T18" s="900">
        <f t="shared" si="13"/>
        <v>348</v>
      </c>
      <c r="U18" s="900">
        <f t="shared" si="15"/>
        <v>348</v>
      </c>
      <c r="V18" s="900"/>
      <c r="W18" s="900"/>
      <c r="X18" s="903">
        <v>0.9</v>
      </c>
      <c r="Y18" s="903"/>
      <c r="Z18" s="903"/>
      <c r="AA18" s="900">
        <f t="shared" si="14"/>
        <v>313.2</v>
      </c>
      <c r="AB18" s="900"/>
      <c r="AC18" s="900"/>
    </row>
    <row r="19" spans="1:29">
      <c r="A19" s="913">
        <v>11</v>
      </c>
      <c r="B19" s="914" t="s">
        <v>892</v>
      </c>
      <c r="C19" s="915">
        <f>[19]Population!L49</f>
        <v>43.3</v>
      </c>
      <c r="D19" s="916">
        <v>60</v>
      </c>
      <c r="E19" s="916">
        <f t="shared" si="0"/>
        <v>138.56812933025404</v>
      </c>
      <c r="F19" s="916">
        <v>24</v>
      </c>
      <c r="G19" s="915">
        <f t="shared" si="1"/>
        <v>55.427251732101624</v>
      </c>
      <c r="H19" s="915">
        <f t="shared" si="2"/>
        <v>2.5</v>
      </c>
      <c r="I19" s="917" t="s">
        <v>1776</v>
      </c>
      <c r="J19" s="918">
        <v>1</v>
      </c>
      <c r="K19" s="918"/>
      <c r="L19" s="918">
        <f t="shared" si="8"/>
        <v>1</v>
      </c>
      <c r="M19" s="916">
        <v>1</v>
      </c>
      <c r="N19" s="917" t="s">
        <v>1775</v>
      </c>
      <c r="O19" s="918">
        <v>55</v>
      </c>
      <c r="P19" s="916">
        <f t="shared" si="9"/>
        <v>8</v>
      </c>
      <c r="Q19" s="916">
        <f t="shared" si="10"/>
        <v>192</v>
      </c>
      <c r="R19" s="916">
        <f t="shared" si="11"/>
        <v>100</v>
      </c>
      <c r="S19" s="916">
        <f t="shared" si="12"/>
        <v>346.4</v>
      </c>
      <c r="T19" s="916">
        <f t="shared" si="13"/>
        <v>269</v>
      </c>
      <c r="U19" s="916">
        <f t="shared" si="15"/>
        <v>269</v>
      </c>
      <c r="V19" s="916">
        <f>U19</f>
        <v>269</v>
      </c>
      <c r="W19" s="916"/>
      <c r="X19" s="919">
        <v>1</v>
      </c>
      <c r="Y19" s="919">
        <f>X19</f>
        <v>1</v>
      </c>
      <c r="Z19" s="919">
        <f>Y19</f>
        <v>1</v>
      </c>
      <c r="AA19" s="916">
        <f t="shared" si="14"/>
        <v>269</v>
      </c>
      <c r="AB19" s="916">
        <f>V19*Y19</f>
        <v>269</v>
      </c>
      <c r="AC19" s="916"/>
    </row>
    <row r="20" spans="1:29">
      <c r="A20" s="897">
        <v>12</v>
      </c>
      <c r="B20" s="898" t="s">
        <v>893</v>
      </c>
      <c r="C20" s="899">
        <f>[19]Population!L50</f>
        <v>36.9</v>
      </c>
      <c r="D20" s="900">
        <v>62</v>
      </c>
      <c r="E20" s="900">
        <f t="shared" si="0"/>
        <v>168.02168021680217</v>
      </c>
      <c r="F20" s="900">
        <v>24</v>
      </c>
      <c r="G20" s="899">
        <f t="shared" si="1"/>
        <v>65.040650406504071</v>
      </c>
      <c r="H20" s="899">
        <f t="shared" si="2"/>
        <v>2.5833333333333335</v>
      </c>
      <c r="I20" s="901" t="s">
        <v>882</v>
      </c>
      <c r="J20" s="902">
        <v>1</v>
      </c>
      <c r="K20" s="902"/>
      <c r="L20" s="902">
        <f t="shared" si="8"/>
        <v>1</v>
      </c>
      <c r="M20" s="900">
        <v>2</v>
      </c>
      <c r="N20" s="901" t="s">
        <v>1775</v>
      </c>
      <c r="O20" s="902">
        <v>40</v>
      </c>
      <c r="P20" s="900">
        <f t="shared" si="9"/>
        <v>8</v>
      </c>
      <c r="Q20" s="900">
        <f t="shared" si="10"/>
        <v>192</v>
      </c>
      <c r="R20" s="900">
        <f t="shared" si="11"/>
        <v>100</v>
      </c>
      <c r="S20" s="900">
        <f t="shared" si="12"/>
        <v>295.2</v>
      </c>
      <c r="T20" s="900">
        <f t="shared" si="13"/>
        <v>244</v>
      </c>
      <c r="U20" s="900">
        <f t="shared" si="15"/>
        <v>244</v>
      </c>
      <c r="V20" s="900"/>
      <c r="W20" s="900"/>
      <c r="X20" s="903">
        <v>1.05</v>
      </c>
      <c r="Y20" s="903"/>
      <c r="Z20" s="903"/>
      <c r="AA20" s="900">
        <f t="shared" si="14"/>
        <v>256.2</v>
      </c>
      <c r="AB20" s="900"/>
      <c r="AC20" s="900"/>
    </row>
    <row r="21" spans="1:29">
      <c r="A21" s="913">
        <v>13</v>
      </c>
      <c r="B21" s="914" t="s">
        <v>894</v>
      </c>
      <c r="C21" s="915">
        <f>[19]Population!L45</f>
        <v>30.5</v>
      </c>
      <c r="D21" s="916">
        <v>72</v>
      </c>
      <c r="E21" s="916">
        <f t="shared" si="0"/>
        <v>236.0655737704918</v>
      </c>
      <c r="F21" s="916">
        <v>14</v>
      </c>
      <c r="G21" s="915">
        <f t="shared" si="1"/>
        <v>45.901639344262293</v>
      </c>
      <c r="H21" s="915">
        <f t="shared" si="2"/>
        <v>5.1428571428571432</v>
      </c>
      <c r="I21" s="917" t="s">
        <v>1776</v>
      </c>
      <c r="J21" s="918">
        <v>1</v>
      </c>
      <c r="K21" s="918"/>
      <c r="L21" s="918">
        <f t="shared" si="8"/>
        <v>1</v>
      </c>
      <c r="M21" s="916">
        <v>1</v>
      </c>
      <c r="N21" s="917" t="s">
        <v>1775</v>
      </c>
      <c r="O21" s="918">
        <v>90</v>
      </c>
      <c r="P21" s="916">
        <f t="shared" si="9"/>
        <v>8</v>
      </c>
      <c r="Q21" s="916">
        <f t="shared" si="10"/>
        <v>112</v>
      </c>
      <c r="R21" s="916">
        <f t="shared" si="11"/>
        <v>100</v>
      </c>
      <c r="S21" s="916">
        <f t="shared" si="12"/>
        <v>244</v>
      </c>
      <c r="T21" s="916">
        <f t="shared" si="13"/>
        <v>178</v>
      </c>
      <c r="U21" s="916">
        <f t="shared" si="15"/>
        <v>178</v>
      </c>
      <c r="V21" s="916">
        <f>U21</f>
        <v>178</v>
      </c>
      <c r="W21" s="916"/>
      <c r="X21" s="919">
        <v>1.4</v>
      </c>
      <c r="Y21" s="919">
        <f>X21</f>
        <v>1.4</v>
      </c>
      <c r="Z21" s="919">
        <f>Y21</f>
        <v>1.4</v>
      </c>
      <c r="AA21" s="916">
        <f t="shared" si="14"/>
        <v>249.2</v>
      </c>
      <c r="AB21" s="916">
        <f>V21*Y21</f>
        <v>249.2</v>
      </c>
      <c r="AC21" s="916"/>
    </row>
    <row r="22" spans="1:29" s="838" customFormat="1">
      <c r="A22" s="911"/>
      <c r="B22" s="911" t="s">
        <v>900</v>
      </c>
      <c r="C22" s="887">
        <f>SUM(C23:C26)</f>
        <v>313.7</v>
      </c>
      <c r="D22" s="888">
        <f>SUM(D23:D26)</f>
        <v>933</v>
      </c>
      <c r="E22" s="888">
        <f t="shared" si="0"/>
        <v>297.41791520561048</v>
      </c>
      <c r="F22" s="888">
        <f>SUM(F23:F26)</f>
        <v>247</v>
      </c>
      <c r="G22" s="887">
        <f t="shared" si="1"/>
        <v>78.737647433854008</v>
      </c>
      <c r="H22" s="887">
        <f t="shared" si="2"/>
        <v>3.7773279352226719</v>
      </c>
      <c r="I22" s="889"/>
      <c r="J22" s="890">
        <f>SUM(J23:J26)</f>
        <v>4</v>
      </c>
      <c r="K22" s="890">
        <f>SUM(K23:K26)</f>
        <v>1</v>
      </c>
      <c r="L22" s="890">
        <f>SUM(L23:L26)</f>
        <v>3</v>
      </c>
      <c r="M22" s="890"/>
      <c r="N22" s="889"/>
      <c r="O22" s="890"/>
      <c r="P22" s="887">
        <f>Q22/F22</f>
        <v>8</v>
      </c>
      <c r="Q22" s="888">
        <f>SUM(Q23:Q26)</f>
        <v>1976</v>
      </c>
      <c r="R22" s="888">
        <f>(S22*100)/(P22*C22)</f>
        <v>100</v>
      </c>
      <c r="S22" s="888">
        <f>SUM(S23:S26)</f>
        <v>2509.6</v>
      </c>
      <c r="T22" s="888">
        <f>SUM(T23:T26)</f>
        <v>2243</v>
      </c>
      <c r="U22" s="888">
        <f>SUM(U23:U26)</f>
        <v>2243</v>
      </c>
      <c r="V22" s="888">
        <f>SUM(V23:V26)</f>
        <v>2243</v>
      </c>
      <c r="W22" s="888">
        <f>SUM(W23:W26)</f>
        <v>2243</v>
      </c>
      <c r="X22" s="891">
        <f>AA22/U22</f>
        <v>1.0640213999108337</v>
      </c>
      <c r="Y22" s="891">
        <f>AB22/V22</f>
        <v>1.0640213999108337</v>
      </c>
      <c r="Z22" s="891">
        <f>AC22/W22</f>
        <v>0.8</v>
      </c>
      <c r="AA22" s="888">
        <f>SUM(AA23:AA26)</f>
        <v>2386.6</v>
      </c>
      <c r="AB22" s="888">
        <f>SUM(AB23:AB26)</f>
        <v>2386.6</v>
      </c>
      <c r="AC22" s="888">
        <f>SUM(AC23:AC26)</f>
        <v>1794.4</v>
      </c>
    </row>
    <row r="23" spans="1:29">
      <c r="A23" s="856">
        <v>14</v>
      </c>
      <c r="B23" s="892" t="s">
        <v>896</v>
      </c>
      <c r="C23" s="893">
        <f>[19]Population!L89</f>
        <v>145.69999999999999</v>
      </c>
      <c r="D23" s="883">
        <v>608</v>
      </c>
      <c r="E23" s="883">
        <f t="shared" si="0"/>
        <v>417.2958133150309</v>
      </c>
      <c r="F23" s="883">
        <v>129</v>
      </c>
      <c r="G23" s="893">
        <f t="shared" si="1"/>
        <v>88.538091969800973</v>
      </c>
      <c r="H23" s="893">
        <f t="shared" si="2"/>
        <v>4.7131782945736438</v>
      </c>
      <c r="I23" s="894" t="s">
        <v>880</v>
      </c>
      <c r="J23" s="895">
        <v>1</v>
      </c>
      <c r="K23" s="895">
        <v>1</v>
      </c>
      <c r="L23" s="895"/>
      <c r="M23" s="895"/>
      <c r="N23" s="894" t="s">
        <v>238</v>
      </c>
      <c r="O23" s="895"/>
      <c r="P23" s="883">
        <f t="shared" ref="P23:P26" si="16">P$8</f>
        <v>8</v>
      </c>
      <c r="Q23" s="883">
        <f t="shared" ref="Q23:Q26" si="17">F23*P23</f>
        <v>1032</v>
      </c>
      <c r="R23" s="883">
        <f t="shared" ref="R23:R26" si="18">R$8</f>
        <v>100</v>
      </c>
      <c r="S23" s="883">
        <f t="shared" ref="S23:S26" si="19">R23*P23*C23/100</f>
        <v>1165.5999999999999</v>
      </c>
      <c r="T23" s="883">
        <f t="shared" ref="T23:T26" si="20">ROUND(AVERAGE(Q23,S23),0)</f>
        <v>1099</v>
      </c>
      <c r="U23" s="883">
        <f t="shared" si="15"/>
        <v>1099</v>
      </c>
      <c r="V23" s="883">
        <f t="shared" si="15"/>
        <v>1099</v>
      </c>
      <c r="W23" s="883">
        <f>U23+SUM(U24,U25,U26)</f>
        <v>2243</v>
      </c>
      <c r="X23" s="896">
        <v>1</v>
      </c>
      <c r="Y23" s="896">
        <f>X23</f>
        <v>1</v>
      </c>
      <c r="Z23" s="896">
        <v>0.8</v>
      </c>
      <c r="AA23" s="883">
        <f>U23*X23</f>
        <v>1099</v>
      </c>
      <c r="AB23" s="883">
        <f>V23*Y23</f>
        <v>1099</v>
      </c>
      <c r="AC23" s="883">
        <f>W23*Z23</f>
        <v>1794.4</v>
      </c>
    </row>
    <row r="24" spans="1:29">
      <c r="A24" s="913">
        <v>15</v>
      </c>
      <c r="B24" s="914" t="s">
        <v>897</v>
      </c>
      <c r="C24" s="915">
        <f>[19]Population!L92</f>
        <v>52.6</v>
      </c>
      <c r="D24" s="916">
        <v>140</v>
      </c>
      <c r="E24" s="916">
        <f t="shared" si="0"/>
        <v>266.1596958174905</v>
      </c>
      <c r="F24" s="916">
        <v>54</v>
      </c>
      <c r="G24" s="915">
        <f t="shared" si="1"/>
        <v>102.6615969581749</v>
      </c>
      <c r="H24" s="915">
        <f t="shared" si="2"/>
        <v>2.5925925925925926</v>
      </c>
      <c r="I24" s="917" t="s">
        <v>1776</v>
      </c>
      <c r="J24" s="918">
        <v>1</v>
      </c>
      <c r="K24" s="918"/>
      <c r="L24" s="918">
        <f>J24-K24</f>
        <v>1</v>
      </c>
      <c r="M24" s="916">
        <v>1</v>
      </c>
      <c r="N24" s="917" t="s">
        <v>1777</v>
      </c>
      <c r="O24" s="918">
        <v>40</v>
      </c>
      <c r="P24" s="916">
        <f t="shared" si="16"/>
        <v>8</v>
      </c>
      <c r="Q24" s="916">
        <f t="shared" si="17"/>
        <v>432</v>
      </c>
      <c r="R24" s="916">
        <f t="shared" si="18"/>
        <v>100</v>
      </c>
      <c r="S24" s="916">
        <f t="shared" si="19"/>
        <v>420.8</v>
      </c>
      <c r="T24" s="916">
        <f t="shared" si="20"/>
        <v>426</v>
      </c>
      <c r="U24" s="916">
        <f t="shared" si="15"/>
        <v>426</v>
      </c>
      <c r="V24" s="916">
        <f t="shared" si="15"/>
        <v>426</v>
      </c>
      <c r="W24" s="916"/>
      <c r="X24" s="919">
        <v>1</v>
      </c>
      <c r="Y24" s="919">
        <f t="shared" ref="Y24:Z26" si="21">X24</f>
        <v>1</v>
      </c>
      <c r="Z24" s="919">
        <f t="shared" si="21"/>
        <v>1</v>
      </c>
      <c r="AA24" s="916">
        <f t="shared" ref="AA24:AB26" si="22">U24*X24</f>
        <v>426</v>
      </c>
      <c r="AB24" s="916">
        <f t="shared" si="22"/>
        <v>426</v>
      </c>
      <c r="AC24" s="916"/>
    </row>
    <row r="25" spans="1:29">
      <c r="A25" s="913">
        <v>16</v>
      </c>
      <c r="B25" s="914" t="s">
        <v>898</v>
      </c>
      <c r="C25" s="915">
        <f>[19]Population!L93</f>
        <v>52.9</v>
      </c>
      <c r="D25" s="916">
        <v>107</v>
      </c>
      <c r="E25" s="916">
        <f t="shared" si="0"/>
        <v>202.26843100189038</v>
      </c>
      <c r="F25" s="916">
        <v>32</v>
      </c>
      <c r="G25" s="915">
        <f t="shared" si="1"/>
        <v>60.491493383742913</v>
      </c>
      <c r="H25" s="915">
        <f t="shared" si="2"/>
        <v>3.34375</v>
      </c>
      <c r="I25" s="917" t="s">
        <v>1776</v>
      </c>
      <c r="J25" s="918">
        <v>1</v>
      </c>
      <c r="K25" s="918"/>
      <c r="L25" s="918">
        <f>J25-K25</f>
        <v>1</v>
      </c>
      <c r="M25" s="916">
        <v>1</v>
      </c>
      <c r="N25" s="917" t="s">
        <v>1777</v>
      </c>
      <c r="O25" s="918">
        <v>25</v>
      </c>
      <c r="P25" s="916">
        <f t="shared" si="16"/>
        <v>8</v>
      </c>
      <c r="Q25" s="916">
        <f t="shared" si="17"/>
        <v>256</v>
      </c>
      <c r="R25" s="916">
        <f t="shared" si="18"/>
        <v>100</v>
      </c>
      <c r="S25" s="916">
        <f t="shared" si="19"/>
        <v>423.2</v>
      </c>
      <c r="T25" s="916">
        <f t="shared" si="20"/>
        <v>340</v>
      </c>
      <c r="U25" s="916">
        <f t="shared" si="15"/>
        <v>340</v>
      </c>
      <c r="V25" s="916">
        <f t="shared" si="15"/>
        <v>340</v>
      </c>
      <c r="W25" s="916"/>
      <c r="X25" s="919">
        <v>1.2</v>
      </c>
      <c r="Y25" s="919">
        <f t="shared" si="21"/>
        <v>1.2</v>
      </c>
      <c r="Z25" s="919">
        <f t="shared" si="21"/>
        <v>1.2</v>
      </c>
      <c r="AA25" s="916">
        <f t="shared" si="22"/>
        <v>408</v>
      </c>
      <c r="AB25" s="916">
        <f t="shared" si="22"/>
        <v>408</v>
      </c>
      <c r="AC25" s="916"/>
    </row>
    <row r="26" spans="1:29">
      <c r="A26" s="913">
        <v>17</v>
      </c>
      <c r="B26" s="914" t="s">
        <v>899</v>
      </c>
      <c r="C26" s="915">
        <f>[19]Population!L95</f>
        <v>62.5</v>
      </c>
      <c r="D26" s="916">
        <v>78</v>
      </c>
      <c r="E26" s="916">
        <f t="shared" si="0"/>
        <v>124.8</v>
      </c>
      <c r="F26" s="916">
        <v>32</v>
      </c>
      <c r="G26" s="915">
        <f t="shared" si="1"/>
        <v>51.2</v>
      </c>
      <c r="H26" s="915">
        <f t="shared" si="2"/>
        <v>2.4375</v>
      </c>
      <c r="I26" s="917" t="s">
        <v>1776</v>
      </c>
      <c r="J26" s="918">
        <v>1</v>
      </c>
      <c r="K26" s="918"/>
      <c r="L26" s="918">
        <f>J26-K26</f>
        <v>1</v>
      </c>
      <c r="M26" s="916">
        <v>1</v>
      </c>
      <c r="N26" s="917" t="s">
        <v>1777</v>
      </c>
      <c r="O26" s="918">
        <v>50</v>
      </c>
      <c r="P26" s="916">
        <f t="shared" si="16"/>
        <v>8</v>
      </c>
      <c r="Q26" s="916">
        <f t="shared" si="17"/>
        <v>256</v>
      </c>
      <c r="R26" s="916">
        <f t="shared" si="18"/>
        <v>100</v>
      </c>
      <c r="S26" s="916">
        <f t="shared" si="19"/>
        <v>500</v>
      </c>
      <c r="T26" s="916">
        <f t="shared" si="20"/>
        <v>378</v>
      </c>
      <c r="U26" s="916">
        <f t="shared" si="15"/>
        <v>378</v>
      </c>
      <c r="V26" s="916">
        <f t="shared" si="15"/>
        <v>378</v>
      </c>
      <c r="W26" s="916"/>
      <c r="X26" s="919">
        <v>1.2</v>
      </c>
      <c r="Y26" s="919">
        <f t="shared" si="21"/>
        <v>1.2</v>
      </c>
      <c r="Z26" s="919">
        <f t="shared" si="21"/>
        <v>1.2</v>
      </c>
      <c r="AA26" s="916">
        <f t="shared" si="22"/>
        <v>453.59999999999997</v>
      </c>
      <c r="AB26" s="916">
        <f t="shared" si="22"/>
        <v>453.59999999999997</v>
      </c>
      <c r="AC26" s="916"/>
    </row>
    <row r="27" spans="1:29" s="838" customFormat="1">
      <c r="A27" s="911"/>
      <c r="B27" s="911" t="s">
        <v>908</v>
      </c>
      <c r="C27" s="887">
        <f>SUM(C28:C34)</f>
        <v>512.1</v>
      </c>
      <c r="D27" s="888">
        <f>SUM(D28:D34)</f>
        <v>914</v>
      </c>
      <c r="E27" s="888">
        <f t="shared" si="0"/>
        <v>178.48076547549306</v>
      </c>
      <c r="F27" s="888">
        <f>SUM(F28:F34)</f>
        <v>394</v>
      </c>
      <c r="G27" s="887">
        <f t="shared" si="1"/>
        <v>76.938098027728955</v>
      </c>
      <c r="H27" s="887">
        <f t="shared" si="2"/>
        <v>2.3197969543147208</v>
      </c>
      <c r="I27" s="889"/>
      <c r="J27" s="890">
        <f>SUM(J28:J34)</f>
        <v>4</v>
      </c>
      <c r="K27" s="890">
        <f>SUM(K28:K34)</f>
        <v>0</v>
      </c>
      <c r="L27" s="890">
        <f>SUM(L28:L34)</f>
        <v>4</v>
      </c>
      <c r="M27" s="890"/>
      <c r="N27" s="889"/>
      <c r="O27" s="890"/>
      <c r="P27" s="887">
        <f>Q27/F27</f>
        <v>8</v>
      </c>
      <c r="Q27" s="888">
        <f>SUM(Q28:Q34)</f>
        <v>3152</v>
      </c>
      <c r="R27" s="888">
        <f>(S27*100)/(P27*C27)</f>
        <v>100</v>
      </c>
      <c r="S27" s="888">
        <f>SUM(S28:S34)</f>
        <v>4096.8</v>
      </c>
      <c r="T27" s="888">
        <f>SUM(T28:T34)</f>
        <v>3625</v>
      </c>
      <c r="U27" s="888">
        <f>SUM(U28:U34)</f>
        <v>3163</v>
      </c>
      <c r="V27" s="888">
        <f>SUM(V28:V34)</f>
        <v>3163</v>
      </c>
      <c r="W27" s="888">
        <f>SUM(W28:W34)</f>
        <v>2724</v>
      </c>
      <c r="X27" s="891">
        <f>AA27/U27</f>
        <v>0.80199177995573834</v>
      </c>
      <c r="Y27" s="891">
        <f>AB27/V27</f>
        <v>0.80199177995573834</v>
      </c>
      <c r="Z27" s="891">
        <f>AC27/W27</f>
        <v>0.79425477239353903</v>
      </c>
      <c r="AA27" s="888">
        <f>SUM(AA28:AA34)</f>
        <v>2536.7000000000003</v>
      </c>
      <c r="AB27" s="888">
        <f>SUM(AB28:AB34)</f>
        <v>2536.7000000000003</v>
      </c>
      <c r="AC27" s="888">
        <f>SUM(AC28:AC34)</f>
        <v>2163.5500000000002</v>
      </c>
    </row>
    <row r="28" spans="1:29">
      <c r="A28" s="856">
        <v>18</v>
      </c>
      <c r="B28" s="892" t="s">
        <v>901</v>
      </c>
      <c r="C28" s="893">
        <f>[19]Population!L80</f>
        <v>122.7</v>
      </c>
      <c r="D28" s="883">
        <v>411</v>
      </c>
      <c r="E28" s="883">
        <f t="shared" si="0"/>
        <v>334.96332518337408</v>
      </c>
      <c r="F28" s="883">
        <v>188</v>
      </c>
      <c r="G28" s="893">
        <f t="shared" si="1"/>
        <v>153.21923390383049</v>
      </c>
      <c r="H28" s="893">
        <f t="shared" si="2"/>
        <v>2.1861702127659575</v>
      </c>
      <c r="I28" s="894" t="s">
        <v>880</v>
      </c>
      <c r="J28" s="895">
        <v>1</v>
      </c>
      <c r="K28" s="895"/>
      <c r="L28" s="895">
        <f t="shared" ref="L28:L34" si="23">J28-K28</f>
        <v>1</v>
      </c>
      <c r="M28" s="883">
        <v>1</v>
      </c>
      <c r="N28" s="894" t="s">
        <v>238</v>
      </c>
      <c r="O28" s="895"/>
      <c r="P28" s="883">
        <f t="shared" ref="P28:P34" si="24">P$8</f>
        <v>8</v>
      </c>
      <c r="Q28" s="883">
        <f t="shared" ref="Q28:Q34" si="25">F28*P28</f>
        <v>1504</v>
      </c>
      <c r="R28" s="883">
        <f t="shared" ref="R28:R34" si="26">R$8</f>
        <v>100</v>
      </c>
      <c r="S28" s="883">
        <f t="shared" ref="S28:S34" si="27">R28*P28*C28/100</f>
        <v>981.6</v>
      </c>
      <c r="T28" s="883">
        <f t="shared" ref="T28:T34" si="28">ROUND(AVERAGE(Q28,S28),0)</f>
        <v>1243</v>
      </c>
      <c r="U28" s="883">
        <f>T28</f>
        <v>1243</v>
      </c>
      <c r="V28" s="883">
        <f>U28</f>
        <v>1243</v>
      </c>
      <c r="W28" s="883">
        <f>U28</f>
        <v>1243</v>
      </c>
      <c r="X28" s="896">
        <v>0.8</v>
      </c>
      <c r="Y28" s="896">
        <f>X28</f>
        <v>0.8</v>
      </c>
      <c r="Z28" s="896">
        <f>Y28</f>
        <v>0.8</v>
      </c>
      <c r="AA28" s="883">
        <f>U28*X28</f>
        <v>994.40000000000009</v>
      </c>
      <c r="AB28" s="883">
        <f>V28*Y28</f>
        <v>994.40000000000009</v>
      </c>
      <c r="AC28" s="883">
        <f>W28*Z28</f>
        <v>994.40000000000009</v>
      </c>
    </row>
    <row r="29" spans="1:29" ht="30">
      <c r="A29" s="904">
        <v>19</v>
      </c>
      <c r="B29" s="905" t="s">
        <v>902</v>
      </c>
      <c r="C29" s="906">
        <f>[19]Population!L84</f>
        <v>28.3</v>
      </c>
      <c r="D29" s="907">
        <v>44</v>
      </c>
      <c r="E29" s="907">
        <f t="shared" si="0"/>
        <v>155.47703180212014</v>
      </c>
      <c r="F29" s="907">
        <v>14</v>
      </c>
      <c r="G29" s="906">
        <f t="shared" si="1"/>
        <v>49.46996466431095</v>
      </c>
      <c r="H29" s="906">
        <f t="shared" si="2"/>
        <v>3.1428571428571428</v>
      </c>
      <c r="I29" s="908" t="s">
        <v>884</v>
      </c>
      <c r="J29" s="909"/>
      <c r="K29" s="909"/>
      <c r="L29" s="909"/>
      <c r="M29" s="847"/>
      <c r="N29" s="908" t="s">
        <v>1296</v>
      </c>
      <c r="O29" s="909" t="s">
        <v>1298</v>
      </c>
      <c r="P29" s="907">
        <f t="shared" si="24"/>
        <v>8</v>
      </c>
      <c r="Q29" s="907">
        <f t="shared" si="25"/>
        <v>112</v>
      </c>
      <c r="R29" s="907">
        <f t="shared" si="26"/>
        <v>100</v>
      </c>
      <c r="S29" s="907">
        <f t="shared" si="27"/>
        <v>226.4</v>
      </c>
      <c r="T29" s="907">
        <f t="shared" si="28"/>
        <v>169</v>
      </c>
      <c r="U29" s="907"/>
      <c r="V29" s="907"/>
      <c r="W29" s="907"/>
      <c r="X29" s="910"/>
      <c r="Y29" s="910"/>
      <c r="Z29" s="910"/>
      <c r="AA29" s="907"/>
      <c r="AB29" s="907"/>
      <c r="AC29" s="907"/>
    </row>
    <row r="30" spans="1:29" ht="30">
      <c r="A30" s="904">
        <v>20</v>
      </c>
      <c r="B30" s="905" t="s">
        <v>903</v>
      </c>
      <c r="C30" s="906">
        <f>[19]Population!L86</f>
        <v>23.5</v>
      </c>
      <c r="D30" s="907">
        <v>15</v>
      </c>
      <c r="E30" s="907">
        <f t="shared" si="0"/>
        <v>63.829787234042556</v>
      </c>
      <c r="F30" s="907">
        <v>4</v>
      </c>
      <c r="G30" s="906">
        <f t="shared" si="1"/>
        <v>17.021276595744681</v>
      </c>
      <c r="H30" s="906">
        <f t="shared" si="2"/>
        <v>3.75</v>
      </c>
      <c r="I30" s="908" t="s">
        <v>884</v>
      </c>
      <c r="J30" s="909"/>
      <c r="K30" s="909"/>
      <c r="L30" s="909"/>
      <c r="M30" s="847"/>
      <c r="N30" s="908" t="s">
        <v>1296</v>
      </c>
      <c r="O30" s="909" t="s">
        <v>1297</v>
      </c>
      <c r="P30" s="907">
        <f t="shared" si="24"/>
        <v>8</v>
      </c>
      <c r="Q30" s="907">
        <f t="shared" si="25"/>
        <v>32</v>
      </c>
      <c r="R30" s="907">
        <f t="shared" si="26"/>
        <v>100</v>
      </c>
      <c r="S30" s="907">
        <f t="shared" si="27"/>
        <v>188</v>
      </c>
      <c r="T30" s="907">
        <f t="shared" si="28"/>
        <v>110</v>
      </c>
      <c r="U30" s="907"/>
      <c r="V30" s="907"/>
      <c r="W30" s="907"/>
      <c r="X30" s="910"/>
      <c r="Y30" s="910"/>
      <c r="Z30" s="910"/>
      <c r="AA30" s="907"/>
      <c r="AB30" s="907"/>
      <c r="AC30" s="907"/>
    </row>
    <row r="31" spans="1:29" ht="30">
      <c r="A31" s="913">
        <v>21</v>
      </c>
      <c r="B31" s="914" t="s">
        <v>904</v>
      </c>
      <c r="C31" s="915">
        <f>[19]Population!L81</f>
        <v>78.7</v>
      </c>
      <c r="D31" s="916">
        <v>79</v>
      </c>
      <c r="E31" s="916">
        <f t="shared" si="0"/>
        <v>100.38119440914866</v>
      </c>
      <c r="F31" s="916">
        <v>31</v>
      </c>
      <c r="G31" s="915">
        <f t="shared" si="1"/>
        <v>39.39008894536213</v>
      </c>
      <c r="H31" s="915">
        <f t="shared" si="2"/>
        <v>2.5483870967741935</v>
      </c>
      <c r="I31" s="917" t="s">
        <v>1776</v>
      </c>
      <c r="J31" s="918">
        <v>1</v>
      </c>
      <c r="K31" s="918"/>
      <c r="L31" s="918">
        <f t="shared" si="23"/>
        <v>1</v>
      </c>
      <c r="M31" s="916">
        <v>1</v>
      </c>
      <c r="N31" s="917" t="s">
        <v>1296</v>
      </c>
      <c r="O31" s="918" t="s">
        <v>1778</v>
      </c>
      <c r="P31" s="916">
        <f t="shared" si="24"/>
        <v>8</v>
      </c>
      <c r="Q31" s="916">
        <f t="shared" si="25"/>
        <v>248</v>
      </c>
      <c r="R31" s="916">
        <f t="shared" si="26"/>
        <v>100</v>
      </c>
      <c r="S31" s="916">
        <f t="shared" si="27"/>
        <v>629.6</v>
      </c>
      <c r="T31" s="916">
        <f t="shared" si="28"/>
        <v>439</v>
      </c>
      <c r="U31" s="916">
        <f>T31</f>
        <v>439</v>
      </c>
      <c r="V31" s="916">
        <f>U31</f>
        <v>439</v>
      </c>
      <c r="W31" s="916"/>
      <c r="X31" s="919">
        <v>0.85</v>
      </c>
      <c r="Y31" s="919">
        <f t="shared" ref="Y31:Z32" si="29">X31</f>
        <v>0.85</v>
      </c>
      <c r="Z31" s="919">
        <f t="shared" si="29"/>
        <v>0.85</v>
      </c>
      <c r="AA31" s="916">
        <f>U31*X31</f>
        <v>373.15</v>
      </c>
      <c r="AB31" s="916">
        <f>V31*Y31</f>
        <v>373.15</v>
      </c>
      <c r="AC31" s="916"/>
    </row>
    <row r="32" spans="1:29">
      <c r="A32" s="856">
        <v>22</v>
      </c>
      <c r="B32" s="892" t="s">
        <v>905</v>
      </c>
      <c r="C32" s="893">
        <f>[19]Population!L82</f>
        <v>99.9</v>
      </c>
      <c r="D32" s="883">
        <v>92</v>
      </c>
      <c r="E32" s="883">
        <f t="shared" si="0"/>
        <v>92.092092092092088</v>
      </c>
      <c r="F32" s="883">
        <v>46</v>
      </c>
      <c r="G32" s="893">
        <f t="shared" si="1"/>
        <v>46.046046046046044</v>
      </c>
      <c r="H32" s="893">
        <f t="shared" si="2"/>
        <v>2</v>
      </c>
      <c r="I32" s="894" t="s">
        <v>880</v>
      </c>
      <c r="J32" s="895">
        <v>1</v>
      </c>
      <c r="K32" s="895"/>
      <c r="L32" s="895">
        <f t="shared" si="23"/>
        <v>1</v>
      </c>
      <c r="M32" s="883">
        <v>1</v>
      </c>
      <c r="N32" s="894" t="s">
        <v>238</v>
      </c>
      <c r="O32" s="895"/>
      <c r="P32" s="883">
        <f t="shared" si="24"/>
        <v>8</v>
      </c>
      <c r="Q32" s="883">
        <f t="shared" si="25"/>
        <v>368</v>
      </c>
      <c r="R32" s="883">
        <f t="shared" si="26"/>
        <v>100</v>
      </c>
      <c r="S32" s="883">
        <f t="shared" si="27"/>
        <v>799.2</v>
      </c>
      <c r="T32" s="883">
        <f t="shared" si="28"/>
        <v>584</v>
      </c>
      <c r="U32" s="883">
        <f>T32</f>
        <v>584</v>
      </c>
      <c r="V32" s="883">
        <f>U32</f>
        <v>584</v>
      </c>
      <c r="W32" s="883">
        <f>U32</f>
        <v>584</v>
      </c>
      <c r="X32" s="896">
        <v>0.85</v>
      </c>
      <c r="Y32" s="896">
        <f t="shared" si="29"/>
        <v>0.85</v>
      </c>
      <c r="Z32" s="896">
        <f t="shared" si="29"/>
        <v>0.85</v>
      </c>
      <c r="AA32" s="883">
        <f>U32*X32</f>
        <v>496.4</v>
      </c>
      <c r="AB32" s="883">
        <f>V32*Y32</f>
        <v>496.4</v>
      </c>
      <c r="AC32" s="883">
        <f>W32*Z32</f>
        <v>496.4</v>
      </c>
    </row>
    <row r="33" spans="1:31">
      <c r="A33" s="904">
        <v>23</v>
      </c>
      <c r="B33" s="905" t="s">
        <v>906</v>
      </c>
      <c r="C33" s="906">
        <f>[19]Population!L83</f>
        <v>28.8</v>
      </c>
      <c r="D33" s="907">
        <v>51</v>
      </c>
      <c r="E33" s="907">
        <f t="shared" si="0"/>
        <v>177.08333333333334</v>
      </c>
      <c r="F33" s="907">
        <v>17</v>
      </c>
      <c r="G33" s="906">
        <f t="shared" si="1"/>
        <v>59.027777777777779</v>
      </c>
      <c r="H33" s="906">
        <f t="shared" si="2"/>
        <v>3</v>
      </c>
      <c r="I33" s="908" t="s">
        <v>884</v>
      </c>
      <c r="J33" s="909"/>
      <c r="K33" s="909"/>
      <c r="L33" s="909"/>
      <c r="M33" s="847"/>
      <c r="N33" s="908" t="s">
        <v>907</v>
      </c>
      <c r="O33" s="909">
        <v>65</v>
      </c>
      <c r="P33" s="907">
        <f t="shared" si="24"/>
        <v>8</v>
      </c>
      <c r="Q33" s="907">
        <f t="shared" si="25"/>
        <v>136</v>
      </c>
      <c r="R33" s="907">
        <f t="shared" si="26"/>
        <v>100</v>
      </c>
      <c r="S33" s="907">
        <f t="shared" si="27"/>
        <v>230.4</v>
      </c>
      <c r="T33" s="907">
        <f t="shared" si="28"/>
        <v>183</v>
      </c>
      <c r="U33" s="907"/>
      <c r="V33" s="907"/>
      <c r="W33" s="907"/>
      <c r="X33" s="910"/>
      <c r="Y33" s="910"/>
      <c r="Z33" s="910"/>
      <c r="AA33" s="907"/>
      <c r="AB33" s="907"/>
      <c r="AC33" s="907"/>
    </row>
    <row r="34" spans="1:31">
      <c r="A34" s="856">
        <v>24</v>
      </c>
      <c r="B34" s="892" t="s">
        <v>907</v>
      </c>
      <c r="C34" s="893">
        <f>[19]Population!L85</f>
        <v>130.19999999999999</v>
      </c>
      <c r="D34" s="883">
        <v>222</v>
      </c>
      <c r="E34" s="883">
        <f t="shared" si="0"/>
        <v>170.50691244239633</v>
      </c>
      <c r="F34" s="883">
        <v>94</v>
      </c>
      <c r="G34" s="893">
        <f t="shared" si="1"/>
        <v>72.196620583717362</v>
      </c>
      <c r="H34" s="893">
        <f t="shared" si="2"/>
        <v>2.3617021276595747</v>
      </c>
      <c r="I34" s="894" t="s">
        <v>880</v>
      </c>
      <c r="J34" s="895">
        <v>1</v>
      </c>
      <c r="K34" s="895"/>
      <c r="L34" s="895">
        <f t="shared" si="23"/>
        <v>1</v>
      </c>
      <c r="M34" s="883">
        <v>1</v>
      </c>
      <c r="N34" s="894" t="s">
        <v>238</v>
      </c>
      <c r="O34" s="895"/>
      <c r="P34" s="883">
        <f t="shared" si="24"/>
        <v>8</v>
      </c>
      <c r="Q34" s="883">
        <f t="shared" si="25"/>
        <v>752</v>
      </c>
      <c r="R34" s="883">
        <f t="shared" si="26"/>
        <v>100</v>
      </c>
      <c r="S34" s="883">
        <f t="shared" si="27"/>
        <v>1041.5999999999999</v>
      </c>
      <c r="T34" s="883">
        <f t="shared" si="28"/>
        <v>897</v>
      </c>
      <c r="U34" s="883">
        <f>T34</f>
        <v>897</v>
      </c>
      <c r="V34" s="883">
        <f>U34</f>
        <v>897</v>
      </c>
      <c r="W34" s="883">
        <f>U34</f>
        <v>897</v>
      </c>
      <c r="X34" s="896">
        <v>0.75</v>
      </c>
      <c r="Y34" s="896">
        <f>X34</f>
        <v>0.75</v>
      </c>
      <c r="Z34" s="896">
        <f>Y34</f>
        <v>0.75</v>
      </c>
      <c r="AA34" s="883">
        <f>U34*X34</f>
        <v>672.75</v>
      </c>
      <c r="AB34" s="883">
        <f>V34*Y34</f>
        <v>672.75</v>
      </c>
      <c r="AC34" s="883">
        <f>W34*Z34</f>
        <v>672.75</v>
      </c>
    </row>
    <row r="35" spans="1:31" s="838" customFormat="1">
      <c r="A35" s="911"/>
      <c r="B35" s="911" t="s">
        <v>918</v>
      </c>
      <c r="C35" s="887">
        <f>SUM(C36:C44)</f>
        <v>538.6</v>
      </c>
      <c r="D35" s="888">
        <f>SUM(D36:D44)</f>
        <v>4036</v>
      </c>
      <c r="E35" s="888">
        <f t="shared" si="0"/>
        <v>749.35016709988861</v>
      </c>
      <c r="F35" s="888">
        <f>SUM(F36:F44)</f>
        <v>347</v>
      </c>
      <c r="G35" s="887">
        <f t="shared" si="1"/>
        <v>64.42629038247307</v>
      </c>
      <c r="H35" s="887">
        <f t="shared" si="2"/>
        <v>11.631123919308358</v>
      </c>
      <c r="I35" s="889"/>
      <c r="J35" s="890">
        <f>SUM(J36:J44)</f>
        <v>5</v>
      </c>
      <c r="K35" s="890">
        <f>SUM(K36:K44)</f>
        <v>2</v>
      </c>
      <c r="L35" s="890">
        <f>SUM(L36:L44)</f>
        <v>3</v>
      </c>
      <c r="M35" s="890"/>
      <c r="N35" s="889"/>
      <c r="O35" s="890"/>
      <c r="P35" s="887">
        <f>Q35/F35</f>
        <v>8</v>
      </c>
      <c r="Q35" s="888">
        <f>SUM(Q36:Q44)</f>
        <v>2776</v>
      </c>
      <c r="R35" s="888">
        <f>(S35*100)/(P35*C35)</f>
        <v>100</v>
      </c>
      <c r="S35" s="888">
        <f>SUM(S36:S44)</f>
        <v>4308.8</v>
      </c>
      <c r="T35" s="888">
        <f>SUM(T36:T44)</f>
        <v>3543</v>
      </c>
      <c r="U35" s="888">
        <f>SUM(U36:U44)</f>
        <v>3836</v>
      </c>
      <c r="V35" s="888">
        <f>SUM(V36:V44)</f>
        <v>4053</v>
      </c>
      <c r="W35" s="888">
        <f>SUM(W36:W44)</f>
        <v>4053</v>
      </c>
      <c r="X35" s="891">
        <f>AA35/U35</f>
        <v>0.93392857142857144</v>
      </c>
      <c r="Y35" s="891">
        <f>AB35/V35</f>
        <v>0.92943498642980504</v>
      </c>
      <c r="Z35" s="891">
        <f>AC35/W35</f>
        <v>0.87915124599062422</v>
      </c>
      <c r="AA35" s="888">
        <f>SUM(AA36:AA44)</f>
        <v>3582.55</v>
      </c>
      <c r="AB35" s="888">
        <f>SUM(AB36:AB44)</f>
        <v>3767</v>
      </c>
      <c r="AC35" s="888">
        <f>SUM(AC36:AC44)</f>
        <v>3563.2</v>
      </c>
    </row>
    <row r="36" spans="1:31">
      <c r="A36" s="856">
        <v>25</v>
      </c>
      <c r="B36" s="892" t="s">
        <v>909</v>
      </c>
      <c r="C36" s="893">
        <f>[19]Population!L30</f>
        <v>196.7</v>
      </c>
      <c r="D36" s="883">
        <v>3364</v>
      </c>
      <c r="E36" s="883">
        <f t="shared" si="0"/>
        <v>1710.2186070157602</v>
      </c>
      <c r="F36" s="883">
        <v>190</v>
      </c>
      <c r="G36" s="893">
        <f t="shared" si="1"/>
        <v>96.593797661413319</v>
      </c>
      <c r="H36" s="893">
        <f t="shared" si="2"/>
        <v>17.705263157894738</v>
      </c>
      <c r="I36" s="894" t="s">
        <v>880</v>
      </c>
      <c r="J36" s="895">
        <v>2</v>
      </c>
      <c r="K36" s="895">
        <v>2</v>
      </c>
      <c r="L36" s="895"/>
      <c r="M36" s="883"/>
      <c r="N36" s="894" t="s">
        <v>238</v>
      </c>
      <c r="O36" s="895"/>
      <c r="P36" s="883">
        <f t="shared" ref="P36:P44" si="30">P$8</f>
        <v>8</v>
      </c>
      <c r="Q36" s="883">
        <f t="shared" ref="Q36:Q44" si="31">F36*P36</f>
        <v>1520</v>
      </c>
      <c r="R36" s="883">
        <f t="shared" ref="R36:R44" si="32">R$8</f>
        <v>100</v>
      </c>
      <c r="S36" s="883">
        <f t="shared" ref="S36:S44" si="33">R36*P36*C36/100</f>
        <v>1573.6</v>
      </c>
      <c r="T36" s="883">
        <f t="shared" ref="T36:T44" si="34">ROUND(AVERAGE(Q36,S36),0)</f>
        <v>1547</v>
      </c>
      <c r="U36" s="883">
        <f>T36+SUM(T37:T40,T43)+SUM(T48,T50:T52)</f>
        <v>2767</v>
      </c>
      <c r="V36" s="883">
        <f>U36+U49</f>
        <v>2984</v>
      </c>
      <c r="W36" s="883">
        <f>U36+U49</f>
        <v>2984</v>
      </c>
      <c r="X36" s="896">
        <v>0.85</v>
      </c>
      <c r="Y36" s="896">
        <f>X36</f>
        <v>0.85</v>
      </c>
      <c r="Z36" s="896">
        <f>Y36</f>
        <v>0.85</v>
      </c>
      <c r="AA36" s="883">
        <f>U36*X36</f>
        <v>2351.9499999999998</v>
      </c>
      <c r="AB36" s="883">
        <f>V36*Y36</f>
        <v>2536.4</v>
      </c>
      <c r="AC36" s="883">
        <f>W36*Z36</f>
        <v>2536.4</v>
      </c>
      <c r="AE36" s="872"/>
    </row>
    <row r="37" spans="1:31">
      <c r="A37" s="845">
        <v>26</v>
      </c>
      <c r="B37" s="846" t="s">
        <v>910</v>
      </c>
      <c r="C37" s="848">
        <f>[19]Population!L37</f>
        <v>29.7</v>
      </c>
      <c r="D37" s="847">
        <v>34</v>
      </c>
      <c r="E37" s="847">
        <f t="shared" si="0"/>
        <v>114.47811447811448</v>
      </c>
      <c r="F37" s="847">
        <v>12</v>
      </c>
      <c r="G37" s="848">
        <f t="shared" si="1"/>
        <v>40.404040404040408</v>
      </c>
      <c r="H37" s="848">
        <f t="shared" si="2"/>
        <v>2.8333333333333335</v>
      </c>
      <c r="I37" s="908" t="s">
        <v>884</v>
      </c>
      <c r="J37" s="920"/>
      <c r="K37" s="920"/>
      <c r="L37" s="920"/>
      <c r="M37" s="847"/>
      <c r="N37" s="908" t="s">
        <v>849</v>
      </c>
      <c r="O37" s="909">
        <v>35</v>
      </c>
      <c r="P37" s="847">
        <f t="shared" si="30"/>
        <v>8</v>
      </c>
      <c r="Q37" s="847">
        <f t="shared" si="31"/>
        <v>96</v>
      </c>
      <c r="R37" s="847">
        <f t="shared" si="32"/>
        <v>100</v>
      </c>
      <c r="S37" s="847">
        <f t="shared" si="33"/>
        <v>237.6</v>
      </c>
      <c r="T37" s="847">
        <f t="shared" si="34"/>
        <v>167</v>
      </c>
      <c r="U37" s="847"/>
      <c r="V37" s="847"/>
      <c r="W37" s="847"/>
      <c r="X37" s="849"/>
      <c r="Y37" s="849"/>
      <c r="Z37" s="849"/>
      <c r="AA37" s="847"/>
      <c r="AB37" s="847"/>
      <c r="AC37" s="847"/>
      <c r="AD37" s="921"/>
    </row>
    <row r="38" spans="1:31">
      <c r="A38" s="845">
        <v>27</v>
      </c>
      <c r="B38" s="846" t="s">
        <v>911</v>
      </c>
      <c r="C38" s="848">
        <f>[19]Population!L31</f>
        <v>28.6</v>
      </c>
      <c r="D38" s="847">
        <v>65</v>
      </c>
      <c r="E38" s="847">
        <f t="shared" si="0"/>
        <v>227.27272727272725</v>
      </c>
      <c r="F38" s="847">
        <v>9</v>
      </c>
      <c r="G38" s="848">
        <f t="shared" si="1"/>
        <v>31.468531468531467</v>
      </c>
      <c r="H38" s="848">
        <f t="shared" si="2"/>
        <v>7.2222222222222223</v>
      </c>
      <c r="I38" s="908" t="s">
        <v>884</v>
      </c>
      <c r="J38" s="920"/>
      <c r="K38" s="920"/>
      <c r="L38" s="920"/>
      <c r="M38" s="847"/>
      <c r="N38" s="908" t="s">
        <v>849</v>
      </c>
      <c r="O38" s="909">
        <v>25</v>
      </c>
      <c r="P38" s="847">
        <f t="shared" si="30"/>
        <v>8</v>
      </c>
      <c r="Q38" s="847">
        <f t="shared" si="31"/>
        <v>72</v>
      </c>
      <c r="R38" s="847">
        <f t="shared" si="32"/>
        <v>100</v>
      </c>
      <c r="S38" s="847">
        <f t="shared" si="33"/>
        <v>228.8</v>
      </c>
      <c r="T38" s="847">
        <f t="shared" si="34"/>
        <v>150</v>
      </c>
      <c r="U38" s="847"/>
      <c r="V38" s="847"/>
      <c r="W38" s="847"/>
      <c r="X38" s="849"/>
      <c r="Y38" s="849"/>
      <c r="Z38" s="849"/>
      <c r="AA38" s="847"/>
      <c r="AB38" s="847"/>
      <c r="AC38" s="847"/>
      <c r="AD38" s="921"/>
    </row>
    <row r="39" spans="1:31" ht="30">
      <c r="A39" s="845">
        <v>28</v>
      </c>
      <c r="B39" s="846" t="s">
        <v>912</v>
      </c>
      <c r="C39" s="848">
        <f>[19]Population!L32</f>
        <v>33.5</v>
      </c>
      <c r="D39" s="847">
        <v>59</v>
      </c>
      <c r="E39" s="847">
        <f t="shared" si="0"/>
        <v>176.11940298507463</v>
      </c>
      <c r="F39" s="847">
        <v>14</v>
      </c>
      <c r="G39" s="848">
        <f t="shared" si="1"/>
        <v>41.791044776119406</v>
      </c>
      <c r="H39" s="848">
        <f t="shared" si="2"/>
        <v>4.2142857142857144</v>
      </c>
      <c r="I39" s="908" t="s">
        <v>884</v>
      </c>
      <c r="J39" s="920"/>
      <c r="K39" s="920"/>
      <c r="L39" s="920"/>
      <c r="M39" s="847"/>
      <c r="N39" s="908" t="s">
        <v>1291</v>
      </c>
      <c r="O39" s="909" t="s">
        <v>1292</v>
      </c>
      <c r="P39" s="847">
        <f t="shared" si="30"/>
        <v>8</v>
      </c>
      <c r="Q39" s="847">
        <f t="shared" si="31"/>
        <v>112</v>
      </c>
      <c r="R39" s="847">
        <f t="shared" si="32"/>
        <v>100</v>
      </c>
      <c r="S39" s="847">
        <f t="shared" si="33"/>
        <v>268</v>
      </c>
      <c r="T39" s="847">
        <f t="shared" si="34"/>
        <v>190</v>
      </c>
      <c r="U39" s="847"/>
      <c r="V39" s="847"/>
      <c r="W39" s="847"/>
      <c r="X39" s="849"/>
      <c r="Y39" s="849"/>
      <c r="Z39" s="849"/>
      <c r="AA39" s="847"/>
      <c r="AB39" s="847"/>
      <c r="AC39" s="847"/>
    </row>
    <row r="40" spans="1:31" ht="30">
      <c r="A40" s="845">
        <v>29</v>
      </c>
      <c r="B40" s="846" t="s">
        <v>913</v>
      </c>
      <c r="C40" s="848">
        <f>[19]Population!L34</f>
        <v>44.7</v>
      </c>
      <c r="D40" s="847">
        <v>25</v>
      </c>
      <c r="E40" s="847">
        <f t="shared" si="0"/>
        <v>55.928411633109619</v>
      </c>
      <c r="F40" s="847">
        <v>20</v>
      </c>
      <c r="G40" s="848">
        <f t="shared" si="1"/>
        <v>44.742729306487696</v>
      </c>
      <c r="H40" s="848">
        <f t="shared" si="2"/>
        <v>1.25</v>
      </c>
      <c r="I40" s="908" t="s">
        <v>884</v>
      </c>
      <c r="J40" s="920"/>
      <c r="K40" s="920"/>
      <c r="L40" s="920"/>
      <c r="M40" s="847"/>
      <c r="N40" s="908" t="s">
        <v>1294</v>
      </c>
      <c r="O40" s="909" t="s">
        <v>1293</v>
      </c>
      <c r="P40" s="847">
        <f t="shared" si="30"/>
        <v>8</v>
      </c>
      <c r="Q40" s="847">
        <f t="shared" si="31"/>
        <v>160</v>
      </c>
      <c r="R40" s="847">
        <f t="shared" si="32"/>
        <v>100</v>
      </c>
      <c r="S40" s="847">
        <f t="shared" si="33"/>
        <v>357.6</v>
      </c>
      <c r="T40" s="847">
        <f t="shared" si="34"/>
        <v>259</v>
      </c>
      <c r="U40" s="847"/>
      <c r="V40" s="847"/>
      <c r="W40" s="847"/>
      <c r="X40" s="849"/>
      <c r="Y40" s="849"/>
      <c r="Z40" s="849"/>
      <c r="AA40" s="847"/>
      <c r="AB40" s="847"/>
      <c r="AC40" s="847"/>
    </row>
    <row r="41" spans="1:31">
      <c r="A41" s="856">
        <v>30</v>
      </c>
      <c r="B41" s="892" t="s">
        <v>914</v>
      </c>
      <c r="C41" s="893">
        <f>[19]Population!L33</f>
        <v>75.3</v>
      </c>
      <c r="D41" s="883">
        <v>176</v>
      </c>
      <c r="E41" s="883">
        <f t="shared" si="0"/>
        <v>233.73173970783535</v>
      </c>
      <c r="F41" s="883">
        <v>32</v>
      </c>
      <c r="G41" s="893">
        <f t="shared" si="1"/>
        <v>42.496679946879155</v>
      </c>
      <c r="H41" s="893">
        <f t="shared" si="2"/>
        <v>5.5</v>
      </c>
      <c r="I41" s="894" t="s">
        <v>880</v>
      </c>
      <c r="J41" s="895">
        <v>1</v>
      </c>
      <c r="K41" s="895"/>
      <c r="L41" s="895">
        <f t="shared" ref="L41:L44" si="35">J41-K41</f>
        <v>1</v>
      </c>
      <c r="M41" s="883">
        <v>1</v>
      </c>
      <c r="N41" s="894" t="s">
        <v>238</v>
      </c>
      <c r="O41" s="895"/>
      <c r="P41" s="883">
        <f t="shared" si="30"/>
        <v>8</v>
      </c>
      <c r="Q41" s="883">
        <f t="shared" si="31"/>
        <v>256</v>
      </c>
      <c r="R41" s="883">
        <f t="shared" si="32"/>
        <v>100</v>
      </c>
      <c r="S41" s="883">
        <f t="shared" si="33"/>
        <v>602.4</v>
      </c>
      <c r="T41" s="883">
        <f t="shared" si="34"/>
        <v>429</v>
      </c>
      <c r="U41" s="883">
        <f>T41</f>
        <v>429</v>
      </c>
      <c r="V41" s="883">
        <f>U41</f>
        <v>429</v>
      </c>
      <c r="W41" s="883">
        <f>U41</f>
        <v>429</v>
      </c>
      <c r="X41" s="896">
        <v>1.2</v>
      </c>
      <c r="Y41" s="896">
        <f>X41</f>
        <v>1.2</v>
      </c>
      <c r="Z41" s="896">
        <f>Y41</f>
        <v>1.2</v>
      </c>
      <c r="AA41" s="883">
        <f t="shared" ref="AA41:AC42" si="36">U41*X41</f>
        <v>514.79999999999995</v>
      </c>
      <c r="AB41" s="883">
        <f t="shared" si="36"/>
        <v>514.79999999999995</v>
      </c>
      <c r="AC41" s="883">
        <f t="shared" si="36"/>
        <v>514.79999999999995</v>
      </c>
    </row>
    <row r="42" spans="1:31">
      <c r="A42" s="856">
        <v>31</v>
      </c>
      <c r="B42" s="892" t="s">
        <v>915</v>
      </c>
      <c r="C42" s="893">
        <f>[19]Population!L36</f>
        <v>48</v>
      </c>
      <c r="D42" s="883">
        <v>148</v>
      </c>
      <c r="E42" s="883">
        <f t="shared" si="0"/>
        <v>308.33333333333331</v>
      </c>
      <c r="F42" s="883">
        <v>25</v>
      </c>
      <c r="G42" s="893">
        <f t="shared" si="1"/>
        <v>52.083333333333336</v>
      </c>
      <c r="H42" s="893">
        <f t="shared" si="2"/>
        <v>5.92</v>
      </c>
      <c r="I42" s="894" t="s">
        <v>880</v>
      </c>
      <c r="J42" s="895">
        <v>1</v>
      </c>
      <c r="K42" s="895"/>
      <c r="L42" s="895">
        <f t="shared" si="35"/>
        <v>1</v>
      </c>
      <c r="M42" s="883">
        <v>1</v>
      </c>
      <c r="N42" s="894" t="s">
        <v>238</v>
      </c>
      <c r="O42" s="895"/>
      <c r="P42" s="883">
        <f t="shared" si="30"/>
        <v>8</v>
      </c>
      <c r="Q42" s="883">
        <f t="shared" si="31"/>
        <v>200</v>
      </c>
      <c r="R42" s="883">
        <f t="shared" si="32"/>
        <v>100</v>
      </c>
      <c r="S42" s="883">
        <f t="shared" si="33"/>
        <v>384</v>
      </c>
      <c r="T42" s="883">
        <f t="shared" si="34"/>
        <v>292</v>
      </c>
      <c r="U42" s="883">
        <f>T42</f>
        <v>292</v>
      </c>
      <c r="V42" s="883">
        <f>U42</f>
        <v>292</v>
      </c>
      <c r="W42" s="883">
        <f>U42+U44</f>
        <v>640</v>
      </c>
      <c r="X42" s="896">
        <v>1.2</v>
      </c>
      <c r="Y42" s="896">
        <f>X42</f>
        <v>1.2</v>
      </c>
      <c r="Z42" s="896">
        <v>0.8</v>
      </c>
      <c r="AA42" s="883">
        <f t="shared" si="36"/>
        <v>350.4</v>
      </c>
      <c r="AB42" s="883">
        <f t="shared" si="36"/>
        <v>350.4</v>
      </c>
      <c r="AC42" s="883">
        <f t="shared" si="36"/>
        <v>512</v>
      </c>
    </row>
    <row r="43" spans="1:31" ht="30">
      <c r="A43" s="904">
        <v>32</v>
      </c>
      <c r="B43" s="905" t="s">
        <v>916</v>
      </c>
      <c r="C43" s="922">
        <f>[19]Population!L40</f>
        <v>27.2</v>
      </c>
      <c r="D43" s="907">
        <v>26</v>
      </c>
      <c r="E43" s="907">
        <f t="shared" si="0"/>
        <v>95.588235294117652</v>
      </c>
      <c r="F43" s="907">
        <v>13</v>
      </c>
      <c r="G43" s="906">
        <f t="shared" si="1"/>
        <v>47.794117647058826</v>
      </c>
      <c r="H43" s="906">
        <f t="shared" si="2"/>
        <v>2</v>
      </c>
      <c r="I43" s="908" t="s">
        <v>884</v>
      </c>
      <c r="J43" s="909"/>
      <c r="K43" s="909"/>
      <c r="L43" s="909"/>
      <c r="M43" s="847"/>
      <c r="N43" s="908" t="s">
        <v>1294</v>
      </c>
      <c r="O43" s="909" t="s">
        <v>1295</v>
      </c>
      <c r="P43" s="923">
        <f t="shared" si="30"/>
        <v>8</v>
      </c>
      <c r="Q43" s="907">
        <f t="shared" si="31"/>
        <v>104</v>
      </c>
      <c r="R43" s="907">
        <f t="shared" si="32"/>
        <v>100</v>
      </c>
      <c r="S43" s="907">
        <f t="shared" si="33"/>
        <v>217.6</v>
      </c>
      <c r="T43" s="907">
        <f t="shared" si="34"/>
        <v>161</v>
      </c>
      <c r="U43" s="907"/>
      <c r="V43" s="907"/>
      <c r="W43" s="907"/>
      <c r="X43" s="910"/>
      <c r="Y43" s="910"/>
      <c r="Z43" s="910"/>
      <c r="AA43" s="907"/>
      <c r="AB43" s="907"/>
      <c r="AC43" s="907"/>
    </row>
    <row r="44" spans="1:31" ht="30">
      <c r="A44" s="913">
        <v>33</v>
      </c>
      <c r="B44" s="914" t="s">
        <v>917</v>
      </c>
      <c r="C44" s="915">
        <f>[19]Population!L39</f>
        <v>54.9</v>
      </c>
      <c r="D44" s="916">
        <v>139</v>
      </c>
      <c r="E44" s="916">
        <f t="shared" si="0"/>
        <v>253.18761384335156</v>
      </c>
      <c r="F44" s="916">
        <v>32</v>
      </c>
      <c r="G44" s="915">
        <f t="shared" si="1"/>
        <v>58.287795992714024</v>
      </c>
      <c r="H44" s="915">
        <f t="shared" si="2"/>
        <v>4.34375</v>
      </c>
      <c r="I44" s="917" t="s">
        <v>1776</v>
      </c>
      <c r="J44" s="918">
        <v>1</v>
      </c>
      <c r="K44" s="918"/>
      <c r="L44" s="918">
        <f t="shared" si="35"/>
        <v>1</v>
      </c>
      <c r="M44" s="916">
        <v>1</v>
      </c>
      <c r="N44" s="917" t="s">
        <v>1779</v>
      </c>
      <c r="O44" s="918" t="s">
        <v>1780</v>
      </c>
      <c r="P44" s="916">
        <f t="shared" si="30"/>
        <v>8</v>
      </c>
      <c r="Q44" s="916">
        <f t="shared" si="31"/>
        <v>256</v>
      </c>
      <c r="R44" s="916">
        <f t="shared" si="32"/>
        <v>100</v>
      </c>
      <c r="S44" s="916">
        <f t="shared" si="33"/>
        <v>439.2</v>
      </c>
      <c r="T44" s="916">
        <f t="shared" si="34"/>
        <v>348</v>
      </c>
      <c r="U44" s="916">
        <f>T44</f>
        <v>348</v>
      </c>
      <c r="V44" s="916">
        <f>U44</f>
        <v>348</v>
      </c>
      <c r="W44" s="916"/>
      <c r="X44" s="919">
        <v>1.05</v>
      </c>
      <c r="Y44" s="919">
        <f>X44</f>
        <v>1.05</v>
      </c>
      <c r="Z44" s="919">
        <f>Y44</f>
        <v>1.05</v>
      </c>
      <c r="AA44" s="916">
        <f>U44*X44</f>
        <v>365.40000000000003</v>
      </c>
      <c r="AB44" s="916">
        <f>V44*Y44</f>
        <v>365.40000000000003</v>
      </c>
      <c r="AC44" s="916"/>
    </row>
    <row r="45" spans="1:31" s="838" customFormat="1">
      <c r="A45" s="911"/>
      <c r="B45" s="911" t="s">
        <v>926</v>
      </c>
      <c r="C45" s="887">
        <f>SUM(C46:C52)</f>
        <v>211.1</v>
      </c>
      <c r="D45" s="888">
        <f>SUM(D46:D52)</f>
        <v>681</v>
      </c>
      <c r="E45" s="888">
        <f t="shared" si="0"/>
        <v>322.59592610137378</v>
      </c>
      <c r="F45" s="888">
        <f>SUM(F46:F52)</f>
        <v>120</v>
      </c>
      <c r="G45" s="887">
        <f t="shared" si="1"/>
        <v>56.845097110374233</v>
      </c>
      <c r="H45" s="887">
        <f t="shared" si="2"/>
        <v>5.6749999999999998</v>
      </c>
      <c r="I45" s="889"/>
      <c r="J45" s="890">
        <f>SUM(J46:J52)</f>
        <v>3</v>
      </c>
      <c r="K45" s="890">
        <f>SUM(K46:K52)</f>
        <v>0</v>
      </c>
      <c r="L45" s="890">
        <f>SUM(L46:L52)</f>
        <v>3</v>
      </c>
      <c r="M45" s="890"/>
      <c r="N45" s="889"/>
      <c r="O45" s="890"/>
      <c r="P45" s="887">
        <f>Q45/F45</f>
        <v>8</v>
      </c>
      <c r="Q45" s="888">
        <f>SUM(Q46:Q52)</f>
        <v>960</v>
      </c>
      <c r="R45" s="888">
        <f>(S45*100)/(P45*C45)</f>
        <v>100</v>
      </c>
      <c r="S45" s="888">
        <f>SUM(S46:S52)</f>
        <v>1688.8</v>
      </c>
      <c r="T45" s="888">
        <f>SUM(T46:T52)</f>
        <v>1325</v>
      </c>
      <c r="U45" s="888">
        <f>SUM(U46:U52)</f>
        <v>1032</v>
      </c>
      <c r="V45" s="888">
        <f>SUM(V46:V52)</f>
        <v>815</v>
      </c>
      <c r="W45" s="888">
        <f>SUM(W46:W52)</f>
        <v>815</v>
      </c>
      <c r="X45" s="891">
        <f>AA45/U45</f>
        <v>1.063372093023256</v>
      </c>
      <c r="Y45" s="891">
        <f>AB45/V45</f>
        <v>1.0269938650306749</v>
      </c>
      <c r="Z45" s="891">
        <f>AC45/W45</f>
        <v>1.0269938650306749</v>
      </c>
      <c r="AA45" s="888">
        <f>SUM(AA46:AA52)</f>
        <v>1097.4000000000001</v>
      </c>
      <c r="AB45" s="888">
        <f>SUM(AB46:AB52)</f>
        <v>837</v>
      </c>
      <c r="AC45" s="888">
        <f>SUM(AC46:AC52)</f>
        <v>837</v>
      </c>
    </row>
    <row r="46" spans="1:31">
      <c r="A46" s="856">
        <v>34</v>
      </c>
      <c r="B46" s="892" t="s">
        <v>919</v>
      </c>
      <c r="C46" s="893">
        <f>[19]Population!L35</f>
        <v>60.2</v>
      </c>
      <c r="D46" s="883">
        <v>227</v>
      </c>
      <c r="E46" s="883">
        <f t="shared" si="0"/>
        <v>377.07641196013287</v>
      </c>
      <c r="F46" s="883">
        <v>26</v>
      </c>
      <c r="G46" s="893">
        <f t="shared" si="1"/>
        <v>43.189368770764119</v>
      </c>
      <c r="H46" s="893">
        <f t="shared" si="2"/>
        <v>8.7307692307692299</v>
      </c>
      <c r="I46" s="894" t="s">
        <v>880</v>
      </c>
      <c r="J46" s="895">
        <v>1</v>
      </c>
      <c r="K46" s="895"/>
      <c r="L46" s="895">
        <f>J46-K46</f>
        <v>1</v>
      </c>
      <c r="M46" s="883">
        <v>1</v>
      </c>
      <c r="N46" s="894" t="s">
        <v>238</v>
      </c>
      <c r="O46" s="895"/>
      <c r="P46" s="883">
        <f t="shared" ref="P46:P52" si="37">P$8</f>
        <v>8</v>
      </c>
      <c r="Q46" s="883">
        <f t="shared" ref="Q46:Q52" si="38">F46*P46</f>
        <v>208</v>
      </c>
      <c r="R46" s="883">
        <f t="shared" ref="R46:R52" si="39">R$8</f>
        <v>100</v>
      </c>
      <c r="S46" s="883">
        <f t="shared" ref="S46:S52" si="40">R46*P46*C46/100</f>
        <v>481.6</v>
      </c>
      <c r="T46" s="883">
        <f t="shared" ref="T46:T52" si="41">ROUND(AVERAGE(Q46,S46),0)</f>
        <v>345</v>
      </c>
      <c r="U46" s="883">
        <f>T46</f>
        <v>345</v>
      </c>
      <c r="V46" s="883">
        <f t="shared" ref="V46:V47" si="42">U46</f>
        <v>345</v>
      </c>
      <c r="W46" s="883">
        <f>U46</f>
        <v>345</v>
      </c>
      <c r="X46" s="896">
        <v>1.2</v>
      </c>
      <c r="Y46" s="896">
        <f t="shared" ref="Y46:Z47" si="43">X46</f>
        <v>1.2</v>
      </c>
      <c r="Z46" s="896">
        <f t="shared" si="43"/>
        <v>1.2</v>
      </c>
      <c r="AA46" s="883">
        <f t="shared" ref="AA46:AC47" si="44">U46*X46</f>
        <v>414</v>
      </c>
      <c r="AB46" s="883">
        <f t="shared" si="44"/>
        <v>414</v>
      </c>
      <c r="AC46" s="883">
        <f t="shared" si="44"/>
        <v>414</v>
      </c>
    </row>
    <row r="47" spans="1:31">
      <c r="A47" s="856">
        <v>35</v>
      </c>
      <c r="B47" s="892" t="s">
        <v>920</v>
      </c>
      <c r="C47" s="893">
        <f>[19]Population!L38</f>
        <v>73.5</v>
      </c>
      <c r="D47" s="883">
        <v>273</v>
      </c>
      <c r="E47" s="883">
        <f t="shared" si="0"/>
        <v>371.42857142857144</v>
      </c>
      <c r="F47" s="883">
        <v>44</v>
      </c>
      <c r="G47" s="893">
        <f t="shared" si="1"/>
        <v>59.863945578231295</v>
      </c>
      <c r="H47" s="893">
        <f t="shared" si="2"/>
        <v>6.2045454545454541</v>
      </c>
      <c r="I47" s="894" t="s">
        <v>880</v>
      </c>
      <c r="J47" s="895">
        <v>1</v>
      </c>
      <c r="K47" s="895"/>
      <c r="L47" s="895">
        <f>J47-K47</f>
        <v>1</v>
      </c>
      <c r="M47" s="883">
        <v>1</v>
      </c>
      <c r="N47" s="894" t="s">
        <v>238</v>
      </c>
      <c r="O47" s="895"/>
      <c r="P47" s="883">
        <f t="shared" si="37"/>
        <v>8</v>
      </c>
      <c r="Q47" s="883">
        <f t="shared" si="38"/>
        <v>352</v>
      </c>
      <c r="R47" s="883">
        <f t="shared" si="39"/>
        <v>100</v>
      </c>
      <c r="S47" s="883">
        <f t="shared" si="40"/>
        <v>588</v>
      </c>
      <c r="T47" s="883">
        <f t="shared" si="41"/>
        <v>470</v>
      </c>
      <c r="U47" s="883">
        <f>T47</f>
        <v>470</v>
      </c>
      <c r="V47" s="883">
        <f t="shared" si="42"/>
        <v>470</v>
      </c>
      <c r="W47" s="883">
        <f>U47</f>
        <v>470</v>
      </c>
      <c r="X47" s="896">
        <v>0.9</v>
      </c>
      <c r="Y47" s="896">
        <f t="shared" si="43"/>
        <v>0.9</v>
      </c>
      <c r="Z47" s="896">
        <f t="shared" si="43"/>
        <v>0.9</v>
      </c>
      <c r="AA47" s="883">
        <f t="shared" si="44"/>
        <v>423</v>
      </c>
      <c r="AB47" s="883">
        <f t="shared" si="44"/>
        <v>423</v>
      </c>
      <c r="AC47" s="883">
        <f t="shared" si="44"/>
        <v>423</v>
      </c>
    </row>
    <row r="48" spans="1:31" ht="30">
      <c r="A48" s="904">
        <v>36</v>
      </c>
      <c r="B48" s="905" t="s">
        <v>921</v>
      </c>
      <c r="C48" s="906">
        <f>[19]Population!L61</f>
        <v>15.3</v>
      </c>
      <c r="D48" s="907">
        <v>26</v>
      </c>
      <c r="E48" s="907">
        <f t="shared" si="0"/>
        <v>169.93464052287581</v>
      </c>
      <c r="F48" s="907">
        <v>10</v>
      </c>
      <c r="G48" s="906">
        <f t="shared" si="1"/>
        <v>65.359477124183002</v>
      </c>
      <c r="H48" s="906">
        <f t="shared" si="2"/>
        <v>2.6</v>
      </c>
      <c r="I48" s="908" t="s">
        <v>884</v>
      </c>
      <c r="J48" s="909"/>
      <c r="K48" s="909"/>
      <c r="L48" s="909"/>
      <c r="M48" s="847"/>
      <c r="N48" s="908" t="s">
        <v>1299</v>
      </c>
      <c r="O48" s="909" t="s">
        <v>1300</v>
      </c>
      <c r="P48" s="907">
        <f t="shared" si="37"/>
        <v>8</v>
      </c>
      <c r="Q48" s="907">
        <f t="shared" si="38"/>
        <v>80</v>
      </c>
      <c r="R48" s="907">
        <f t="shared" si="39"/>
        <v>100</v>
      </c>
      <c r="S48" s="907">
        <f t="shared" si="40"/>
        <v>122.4</v>
      </c>
      <c r="T48" s="907">
        <f t="shared" si="41"/>
        <v>101</v>
      </c>
      <c r="U48" s="907"/>
      <c r="V48" s="907"/>
      <c r="W48" s="907"/>
      <c r="X48" s="910"/>
      <c r="Y48" s="910"/>
      <c r="Z48" s="910"/>
      <c r="AA48" s="907"/>
      <c r="AB48" s="907"/>
      <c r="AC48" s="907"/>
    </row>
    <row r="49" spans="1:29">
      <c r="A49" s="897">
        <v>37</v>
      </c>
      <c r="B49" s="898" t="s">
        <v>922</v>
      </c>
      <c r="C49" s="899">
        <f>[19]Population!L41</f>
        <v>31.3</v>
      </c>
      <c r="D49" s="900">
        <v>87</v>
      </c>
      <c r="E49" s="900">
        <f t="shared" si="0"/>
        <v>277.9552715654952</v>
      </c>
      <c r="F49" s="900">
        <v>23</v>
      </c>
      <c r="G49" s="899">
        <f t="shared" si="1"/>
        <v>73.482428115015978</v>
      </c>
      <c r="H49" s="899">
        <f t="shared" si="2"/>
        <v>3.7826086956521738</v>
      </c>
      <c r="I49" s="901" t="s">
        <v>882</v>
      </c>
      <c r="J49" s="902">
        <v>1</v>
      </c>
      <c r="K49" s="902"/>
      <c r="L49" s="902">
        <f>J49-K49</f>
        <v>1</v>
      </c>
      <c r="M49" s="900">
        <v>2</v>
      </c>
      <c r="N49" s="901" t="s">
        <v>849</v>
      </c>
      <c r="O49" s="902">
        <v>30</v>
      </c>
      <c r="P49" s="900">
        <f t="shared" si="37"/>
        <v>8</v>
      </c>
      <c r="Q49" s="900">
        <f t="shared" si="38"/>
        <v>184</v>
      </c>
      <c r="R49" s="900">
        <f t="shared" si="39"/>
        <v>100</v>
      </c>
      <c r="S49" s="900">
        <f t="shared" si="40"/>
        <v>250.4</v>
      </c>
      <c r="T49" s="900">
        <f t="shared" si="41"/>
        <v>217</v>
      </c>
      <c r="U49" s="900">
        <f>T49</f>
        <v>217</v>
      </c>
      <c r="V49" s="900"/>
      <c r="W49" s="900"/>
      <c r="X49" s="903">
        <v>1.2</v>
      </c>
      <c r="Y49" s="903"/>
      <c r="Z49" s="903"/>
      <c r="AA49" s="900">
        <f>U49*X49</f>
        <v>260.39999999999998</v>
      </c>
      <c r="AB49" s="900"/>
      <c r="AC49" s="900"/>
    </row>
    <row r="50" spans="1:29">
      <c r="A50" s="904">
        <v>38</v>
      </c>
      <c r="B50" s="905" t="s">
        <v>923</v>
      </c>
      <c r="C50" s="906">
        <f>[19]Population!L58</f>
        <v>13.7</v>
      </c>
      <c r="D50" s="907">
        <v>16</v>
      </c>
      <c r="E50" s="907">
        <f t="shared" si="0"/>
        <v>116.78832116788321</v>
      </c>
      <c r="F50" s="907">
        <v>8</v>
      </c>
      <c r="G50" s="906">
        <f t="shared" si="1"/>
        <v>58.394160583941606</v>
      </c>
      <c r="H50" s="906">
        <f t="shared" si="2"/>
        <v>2</v>
      </c>
      <c r="I50" s="908" t="s">
        <v>884</v>
      </c>
      <c r="J50" s="909"/>
      <c r="K50" s="909"/>
      <c r="L50" s="909"/>
      <c r="M50" s="847"/>
      <c r="N50" s="908" t="s">
        <v>849</v>
      </c>
      <c r="O50" s="909">
        <v>75</v>
      </c>
      <c r="P50" s="907">
        <f t="shared" si="37"/>
        <v>8</v>
      </c>
      <c r="Q50" s="907">
        <f t="shared" si="38"/>
        <v>64</v>
      </c>
      <c r="R50" s="907">
        <f t="shared" si="39"/>
        <v>100</v>
      </c>
      <c r="S50" s="907">
        <f t="shared" si="40"/>
        <v>109.6</v>
      </c>
      <c r="T50" s="907">
        <f t="shared" si="41"/>
        <v>87</v>
      </c>
      <c r="U50" s="907"/>
      <c r="V50" s="907"/>
      <c r="W50" s="907"/>
      <c r="X50" s="910"/>
      <c r="Y50" s="910"/>
      <c r="Z50" s="910"/>
      <c r="AA50" s="907"/>
      <c r="AB50" s="907"/>
      <c r="AC50" s="907"/>
    </row>
    <row r="51" spans="1:29" ht="30">
      <c r="A51" s="904">
        <v>39</v>
      </c>
      <c r="B51" s="905" t="s">
        <v>924</v>
      </c>
      <c r="C51" s="906">
        <f>[19]Population!L59</f>
        <v>8.9</v>
      </c>
      <c r="D51" s="907">
        <v>35</v>
      </c>
      <c r="E51" s="907">
        <f t="shared" si="0"/>
        <v>393.25842696629212</v>
      </c>
      <c r="F51" s="907">
        <v>4</v>
      </c>
      <c r="G51" s="906">
        <f t="shared" si="1"/>
        <v>44.943820224719097</v>
      </c>
      <c r="H51" s="906">
        <f t="shared" si="2"/>
        <v>8.75</v>
      </c>
      <c r="I51" s="908" t="s">
        <v>884</v>
      </c>
      <c r="J51" s="909"/>
      <c r="K51" s="909"/>
      <c r="L51" s="909"/>
      <c r="M51" s="847"/>
      <c r="N51" s="908" t="s">
        <v>1299</v>
      </c>
      <c r="O51" s="909" t="s">
        <v>1301</v>
      </c>
      <c r="P51" s="907">
        <f t="shared" si="37"/>
        <v>8</v>
      </c>
      <c r="Q51" s="907">
        <f t="shared" si="38"/>
        <v>32</v>
      </c>
      <c r="R51" s="907">
        <f t="shared" si="39"/>
        <v>100</v>
      </c>
      <c r="S51" s="907">
        <f t="shared" si="40"/>
        <v>71.2</v>
      </c>
      <c r="T51" s="907">
        <f t="shared" si="41"/>
        <v>52</v>
      </c>
      <c r="U51" s="907"/>
      <c r="V51" s="907"/>
      <c r="W51" s="907"/>
      <c r="X51" s="910"/>
      <c r="Y51" s="910"/>
      <c r="Z51" s="910"/>
      <c r="AA51" s="907"/>
      <c r="AB51" s="907"/>
      <c r="AC51" s="907"/>
    </row>
    <row r="52" spans="1:29">
      <c r="A52" s="904">
        <v>40</v>
      </c>
      <c r="B52" s="905" t="s">
        <v>925</v>
      </c>
      <c r="C52" s="906">
        <f>[19]Population!L60</f>
        <v>8.1999999999999993</v>
      </c>
      <c r="D52" s="907">
        <v>17</v>
      </c>
      <c r="E52" s="907">
        <f t="shared" si="0"/>
        <v>207.31707317073173</v>
      </c>
      <c r="F52" s="907">
        <v>5</v>
      </c>
      <c r="G52" s="906">
        <f t="shared" si="1"/>
        <v>60.975609756097569</v>
      </c>
      <c r="H52" s="906">
        <f t="shared" si="2"/>
        <v>3.4</v>
      </c>
      <c r="I52" s="908" t="s">
        <v>884</v>
      </c>
      <c r="J52" s="909"/>
      <c r="K52" s="909"/>
      <c r="L52" s="909"/>
      <c r="M52" s="847"/>
      <c r="N52" s="908" t="s">
        <v>849</v>
      </c>
      <c r="O52" s="909">
        <v>105</v>
      </c>
      <c r="P52" s="907">
        <f t="shared" si="37"/>
        <v>8</v>
      </c>
      <c r="Q52" s="907">
        <f t="shared" si="38"/>
        <v>40</v>
      </c>
      <c r="R52" s="907">
        <f t="shared" si="39"/>
        <v>100</v>
      </c>
      <c r="S52" s="907">
        <f t="shared" si="40"/>
        <v>65.599999999999994</v>
      </c>
      <c r="T52" s="907">
        <f t="shared" si="41"/>
        <v>53</v>
      </c>
      <c r="U52" s="907"/>
      <c r="V52" s="907"/>
      <c r="W52" s="907"/>
      <c r="X52" s="910"/>
      <c r="Y52" s="910"/>
      <c r="Z52" s="910"/>
      <c r="AA52" s="907"/>
      <c r="AB52" s="907"/>
      <c r="AC52" s="907"/>
    </row>
    <row r="53" spans="1:29" s="838" customFormat="1">
      <c r="A53" s="911"/>
      <c r="B53" s="911" t="s">
        <v>930</v>
      </c>
      <c r="C53" s="887">
        <f>SUM(C54:C56)</f>
        <v>139</v>
      </c>
      <c r="D53" s="888">
        <f>SUM(D54:D56)</f>
        <v>393</v>
      </c>
      <c r="E53" s="888">
        <f t="shared" si="0"/>
        <v>282.73381294964031</v>
      </c>
      <c r="F53" s="888">
        <f>SUM(F54:F56)</f>
        <v>132</v>
      </c>
      <c r="G53" s="887">
        <f t="shared" si="1"/>
        <v>94.964028776978424</v>
      </c>
      <c r="H53" s="887">
        <f t="shared" si="2"/>
        <v>2.9772727272727271</v>
      </c>
      <c r="I53" s="889"/>
      <c r="J53" s="890">
        <f>SUM(J54:J56)</f>
        <v>3</v>
      </c>
      <c r="K53" s="890">
        <f>SUM(K54:K56)</f>
        <v>1</v>
      </c>
      <c r="L53" s="890">
        <f>SUM(L54:L56)</f>
        <v>2</v>
      </c>
      <c r="M53" s="890"/>
      <c r="N53" s="889"/>
      <c r="O53" s="890"/>
      <c r="P53" s="887">
        <f>Q53/F53</f>
        <v>8</v>
      </c>
      <c r="Q53" s="888">
        <f>SUM(Q54:Q56)</f>
        <v>1056</v>
      </c>
      <c r="R53" s="888">
        <f>(S53*100)/(P53*C53)</f>
        <v>100</v>
      </c>
      <c r="S53" s="888">
        <f>SUM(S54:S56)</f>
        <v>1112</v>
      </c>
      <c r="T53" s="888">
        <f>SUM(T54:T56)</f>
        <v>1083</v>
      </c>
      <c r="U53" s="888">
        <f>SUM(U54:U56)</f>
        <v>1083</v>
      </c>
      <c r="V53" s="888">
        <f>SUM(V54:V56)</f>
        <v>1083</v>
      </c>
      <c r="W53" s="888">
        <f>SUM(W54:W56)</f>
        <v>1083</v>
      </c>
      <c r="X53" s="891">
        <f>AA53/U53</f>
        <v>1.087534626038781</v>
      </c>
      <c r="Y53" s="891">
        <f>AB53/V53</f>
        <v>1</v>
      </c>
      <c r="Z53" s="891">
        <f>AC53/W53</f>
        <v>0.9</v>
      </c>
      <c r="AA53" s="888">
        <f>SUM(AA54:AA56)</f>
        <v>1177.8</v>
      </c>
      <c r="AB53" s="888">
        <f>SUM(AB54:AB56)</f>
        <v>1083</v>
      </c>
      <c r="AC53" s="888">
        <f>SUM(AC54:AC56)</f>
        <v>974.7</v>
      </c>
    </row>
    <row r="54" spans="1:29">
      <c r="A54" s="913">
        <v>41</v>
      </c>
      <c r="B54" s="914" t="s">
        <v>927</v>
      </c>
      <c r="C54" s="915">
        <f>[19]Population!L26</f>
        <v>38.6</v>
      </c>
      <c r="D54" s="916">
        <v>163</v>
      </c>
      <c r="E54" s="916">
        <f t="shared" si="0"/>
        <v>422.27979274611397</v>
      </c>
      <c r="F54" s="916">
        <v>47</v>
      </c>
      <c r="G54" s="915">
        <f t="shared" si="1"/>
        <v>121.76165803108807</v>
      </c>
      <c r="H54" s="915">
        <f t="shared" si="2"/>
        <v>3.4680851063829787</v>
      </c>
      <c r="I54" s="917" t="s">
        <v>1776</v>
      </c>
      <c r="J54" s="918">
        <v>1</v>
      </c>
      <c r="K54" s="918"/>
      <c r="L54" s="918">
        <f t="shared" ref="L54:L64" si="45">J54-K54</f>
        <v>1</v>
      </c>
      <c r="M54" s="916">
        <v>1</v>
      </c>
      <c r="N54" s="917" t="s">
        <v>1302</v>
      </c>
      <c r="O54" s="918"/>
      <c r="P54" s="916">
        <f t="shared" ref="P54:P56" si="46">P$8</f>
        <v>8</v>
      </c>
      <c r="Q54" s="916">
        <f t="shared" ref="Q54:Q56" si="47">F54*P54</f>
        <v>376</v>
      </c>
      <c r="R54" s="916">
        <f t="shared" ref="R54:R56" si="48">R$8</f>
        <v>100</v>
      </c>
      <c r="S54" s="916">
        <f t="shared" ref="S54:S56" si="49">R54*P54*C54/100</f>
        <v>308.8</v>
      </c>
      <c r="T54" s="916">
        <f t="shared" ref="T54:T56" si="50">ROUND(AVERAGE(Q54,S54),0)</f>
        <v>342</v>
      </c>
      <c r="U54" s="916">
        <f>T54</f>
        <v>342</v>
      </c>
      <c r="V54" s="916">
        <f>U54</f>
        <v>342</v>
      </c>
      <c r="W54" s="916"/>
      <c r="X54" s="919">
        <v>1</v>
      </c>
      <c r="Y54" s="919">
        <f>X54</f>
        <v>1</v>
      </c>
      <c r="Z54" s="919">
        <f>Y54</f>
        <v>1</v>
      </c>
      <c r="AA54" s="916">
        <f>U54*X54</f>
        <v>342</v>
      </c>
      <c r="AB54" s="916">
        <f>V54*Y54</f>
        <v>342</v>
      </c>
      <c r="AC54" s="916"/>
    </row>
    <row r="55" spans="1:29">
      <c r="A55" s="897">
        <v>42</v>
      </c>
      <c r="B55" s="898" t="s">
        <v>928</v>
      </c>
      <c r="C55" s="899">
        <f>[19]Population!L28</f>
        <v>22.6</v>
      </c>
      <c r="D55" s="900">
        <v>60</v>
      </c>
      <c r="E55" s="900">
        <f t="shared" si="0"/>
        <v>265.48672566371681</v>
      </c>
      <c r="F55" s="900">
        <v>17</v>
      </c>
      <c r="G55" s="899">
        <f t="shared" si="1"/>
        <v>75.221238938053091</v>
      </c>
      <c r="H55" s="899">
        <f t="shared" si="2"/>
        <v>3.5294117647058822</v>
      </c>
      <c r="I55" s="901" t="s">
        <v>882</v>
      </c>
      <c r="J55" s="902">
        <v>1</v>
      </c>
      <c r="K55" s="902"/>
      <c r="L55" s="902">
        <f t="shared" si="45"/>
        <v>1</v>
      </c>
      <c r="M55" s="900">
        <v>2</v>
      </c>
      <c r="N55" s="901" t="s">
        <v>1302</v>
      </c>
      <c r="O55" s="902">
        <v>30</v>
      </c>
      <c r="P55" s="900">
        <f t="shared" si="46"/>
        <v>8</v>
      </c>
      <c r="Q55" s="900">
        <f t="shared" si="47"/>
        <v>136</v>
      </c>
      <c r="R55" s="900">
        <f t="shared" si="48"/>
        <v>100</v>
      </c>
      <c r="S55" s="900">
        <f t="shared" si="49"/>
        <v>180.8</v>
      </c>
      <c r="T55" s="900">
        <f t="shared" si="50"/>
        <v>158</v>
      </c>
      <c r="U55" s="900">
        <f>T55</f>
        <v>158</v>
      </c>
      <c r="V55" s="900"/>
      <c r="W55" s="900"/>
      <c r="X55" s="903">
        <v>1.6</v>
      </c>
      <c r="Y55" s="903"/>
      <c r="Z55" s="903"/>
      <c r="AA55" s="900">
        <f>U55*X55</f>
        <v>252.8</v>
      </c>
      <c r="AB55" s="900"/>
      <c r="AC55" s="900"/>
    </row>
    <row r="56" spans="1:29">
      <c r="A56" s="856">
        <v>43</v>
      </c>
      <c r="B56" s="892" t="s">
        <v>929</v>
      </c>
      <c r="C56" s="893">
        <f>[19]Population!L27</f>
        <v>77.8</v>
      </c>
      <c r="D56" s="883">
        <v>170</v>
      </c>
      <c r="E56" s="883">
        <f t="shared" si="0"/>
        <v>218.50899742930591</v>
      </c>
      <c r="F56" s="883">
        <v>68</v>
      </c>
      <c r="G56" s="893">
        <f t="shared" si="1"/>
        <v>87.403598971722374</v>
      </c>
      <c r="H56" s="893">
        <f t="shared" si="2"/>
        <v>2.5</v>
      </c>
      <c r="I56" s="894" t="s">
        <v>880</v>
      </c>
      <c r="J56" s="895">
        <v>1</v>
      </c>
      <c r="K56" s="895">
        <v>1</v>
      </c>
      <c r="L56" s="895"/>
      <c r="M56" s="883"/>
      <c r="N56" s="894" t="s">
        <v>238</v>
      </c>
      <c r="O56" s="895"/>
      <c r="P56" s="883">
        <f t="shared" si="46"/>
        <v>8</v>
      </c>
      <c r="Q56" s="883">
        <f t="shared" si="47"/>
        <v>544</v>
      </c>
      <c r="R56" s="883">
        <f t="shared" si="48"/>
        <v>100</v>
      </c>
      <c r="S56" s="883">
        <f t="shared" si="49"/>
        <v>622.4</v>
      </c>
      <c r="T56" s="883">
        <f t="shared" si="50"/>
        <v>583</v>
      </c>
      <c r="U56" s="883">
        <f>T56</f>
        <v>583</v>
      </c>
      <c r="V56" s="883">
        <f>U56+U55</f>
        <v>741</v>
      </c>
      <c r="W56" s="883">
        <f>U56+U55+U54</f>
        <v>1083</v>
      </c>
      <c r="X56" s="896">
        <v>1</v>
      </c>
      <c r="Y56" s="896">
        <f>X56</f>
        <v>1</v>
      </c>
      <c r="Z56" s="896">
        <v>0.9</v>
      </c>
      <c r="AA56" s="883">
        <f>U56*X56</f>
        <v>583</v>
      </c>
      <c r="AB56" s="883">
        <f>V56*Y56</f>
        <v>741</v>
      </c>
      <c r="AC56" s="883">
        <f>W56*Z56</f>
        <v>974.7</v>
      </c>
    </row>
    <row r="57" spans="1:29" s="838" customFormat="1">
      <c r="A57" s="911"/>
      <c r="B57" s="911" t="s">
        <v>939</v>
      </c>
      <c r="C57" s="887">
        <f>SUM(C58:C65)</f>
        <v>428.9</v>
      </c>
      <c r="D57" s="888">
        <f>SUM(D58:D65)</f>
        <v>1542</v>
      </c>
      <c r="E57" s="888">
        <f t="shared" si="0"/>
        <v>359.52436465376547</v>
      </c>
      <c r="F57" s="888">
        <f>SUM(F58:F65)</f>
        <v>396</v>
      </c>
      <c r="G57" s="887">
        <f t="shared" si="1"/>
        <v>92.329214269060387</v>
      </c>
      <c r="H57" s="887">
        <f t="shared" si="2"/>
        <v>3.893939393939394</v>
      </c>
      <c r="I57" s="889"/>
      <c r="J57" s="890">
        <f>SUM(J58:J65)</f>
        <v>5</v>
      </c>
      <c r="K57" s="890">
        <f>SUM(K58:K65)</f>
        <v>1</v>
      </c>
      <c r="L57" s="890">
        <f>SUM(L58:L65)</f>
        <v>4</v>
      </c>
      <c r="M57" s="890"/>
      <c r="N57" s="889"/>
      <c r="O57" s="890"/>
      <c r="P57" s="887">
        <f>Q57/F57</f>
        <v>8</v>
      </c>
      <c r="Q57" s="888">
        <f>SUM(Q58:Q65)</f>
        <v>3168</v>
      </c>
      <c r="R57" s="888">
        <f>(S57*100)/(P57*C57)</f>
        <v>100</v>
      </c>
      <c r="S57" s="888">
        <f>SUM(S58:S65)</f>
        <v>3431.2</v>
      </c>
      <c r="T57" s="888">
        <f>SUM(T58:T65)</f>
        <v>3299</v>
      </c>
      <c r="U57" s="888">
        <f>SUM(U58:U65)</f>
        <v>3299</v>
      </c>
      <c r="V57" s="888">
        <f>SUM(V58:V65)</f>
        <v>3299</v>
      </c>
      <c r="W57" s="888">
        <f>SUM(W58:W65)</f>
        <v>3299</v>
      </c>
      <c r="X57" s="891">
        <f>AA57/U57</f>
        <v>0.86930888147923624</v>
      </c>
      <c r="Y57" s="891">
        <f>AB57/V57</f>
        <v>0.76856623219157316</v>
      </c>
      <c r="Z57" s="891">
        <f>AC57/W57</f>
        <v>0.76856623219157316</v>
      </c>
      <c r="AA57" s="888">
        <f>SUM(AA58:AA65)</f>
        <v>2867.8500000000004</v>
      </c>
      <c r="AB57" s="888">
        <f>SUM(AB58:AB65)</f>
        <v>2535.5</v>
      </c>
      <c r="AC57" s="888">
        <f>SUM(AC58:AC65)</f>
        <v>2535.5</v>
      </c>
    </row>
    <row r="58" spans="1:29">
      <c r="A58" s="856">
        <v>44</v>
      </c>
      <c r="B58" s="892" t="s">
        <v>931</v>
      </c>
      <c r="C58" s="893">
        <f>[19]Population!L65</f>
        <v>177.1</v>
      </c>
      <c r="D58" s="883">
        <v>1011</v>
      </c>
      <c r="E58" s="883">
        <f t="shared" si="0"/>
        <v>570.86391869000568</v>
      </c>
      <c r="F58" s="883">
        <v>228</v>
      </c>
      <c r="G58" s="893">
        <f t="shared" si="1"/>
        <v>128.74082439299832</v>
      </c>
      <c r="H58" s="893">
        <f t="shared" si="2"/>
        <v>4.4342105263157894</v>
      </c>
      <c r="I58" s="894" t="s">
        <v>880</v>
      </c>
      <c r="J58" s="895">
        <v>1</v>
      </c>
      <c r="K58" s="895">
        <v>1</v>
      </c>
      <c r="L58" s="895"/>
      <c r="M58" s="895"/>
      <c r="N58" s="894" t="s">
        <v>238</v>
      </c>
      <c r="O58" s="895"/>
      <c r="P58" s="883">
        <f t="shared" ref="P58:P65" si="51">P$8</f>
        <v>8</v>
      </c>
      <c r="Q58" s="883">
        <f t="shared" ref="Q58:Q65" si="52">F58*P58</f>
        <v>1824</v>
      </c>
      <c r="R58" s="883">
        <f t="shared" ref="R58:R65" si="53">R$8</f>
        <v>100</v>
      </c>
      <c r="S58" s="883">
        <f t="shared" ref="S58:S66" si="54">R58*P58*C58/100</f>
        <v>1416.8</v>
      </c>
      <c r="T58" s="883">
        <f t="shared" ref="T58:T66" si="55">ROUND(AVERAGE(Q58,S58),0)</f>
        <v>1620</v>
      </c>
      <c r="U58" s="883">
        <f>T58+SUM(T59,T62,T65)</f>
        <v>2063</v>
      </c>
      <c r="V58" s="883">
        <f>U58+SUM(U60,U63,U64)</f>
        <v>2922</v>
      </c>
      <c r="W58" s="883">
        <f>U58+SUM(U60,U63,U64)</f>
        <v>2922</v>
      </c>
      <c r="X58" s="896">
        <v>0.8</v>
      </c>
      <c r="Y58" s="896">
        <v>0.7</v>
      </c>
      <c r="Z58" s="896">
        <v>0.7</v>
      </c>
      <c r="AA58" s="883">
        <f>U58*X58</f>
        <v>1650.4</v>
      </c>
      <c r="AB58" s="883">
        <f>V58*Y58</f>
        <v>2045.3999999999999</v>
      </c>
      <c r="AC58" s="883">
        <f>W58*Z58</f>
        <v>2045.3999999999999</v>
      </c>
    </row>
    <row r="59" spans="1:29" ht="30">
      <c r="A59" s="904">
        <v>45</v>
      </c>
      <c r="B59" s="905" t="s">
        <v>932</v>
      </c>
      <c r="C59" s="906">
        <f>[19]Population!L64</f>
        <v>27.6</v>
      </c>
      <c r="D59" s="907">
        <v>49</v>
      </c>
      <c r="E59" s="907">
        <f t="shared" si="0"/>
        <v>177.53623188405797</v>
      </c>
      <c r="F59" s="907">
        <v>18</v>
      </c>
      <c r="G59" s="906">
        <f t="shared" si="1"/>
        <v>65.217391304347828</v>
      </c>
      <c r="H59" s="906">
        <f t="shared" si="2"/>
        <v>2.7222222222222223</v>
      </c>
      <c r="I59" s="908" t="s">
        <v>884</v>
      </c>
      <c r="J59" s="909"/>
      <c r="K59" s="909"/>
      <c r="L59" s="909"/>
      <c r="M59" s="847"/>
      <c r="N59" s="908" t="s">
        <v>1304</v>
      </c>
      <c r="O59" s="909" t="s">
        <v>1305</v>
      </c>
      <c r="P59" s="907">
        <f t="shared" si="51"/>
        <v>8</v>
      </c>
      <c r="Q59" s="907">
        <f t="shared" si="52"/>
        <v>144</v>
      </c>
      <c r="R59" s="907">
        <f t="shared" si="53"/>
        <v>100</v>
      </c>
      <c r="S59" s="907">
        <f t="shared" si="54"/>
        <v>220.8</v>
      </c>
      <c r="T59" s="907">
        <f t="shared" si="55"/>
        <v>182</v>
      </c>
      <c r="U59" s="907"/>
      <c r="V59" s="907"/>
      <c r="W59" s="907"/>
      <c r="X59" s="910"/>
      <c r="Y59" s="910"/>
      <c r="Z59" s="910"/>
      <c r="AA59" s="907"/>
      <c r="AB59" s="907"/>
      <c r="AC59" s="907"/>
    </row>
    <row r="60" spans="1:29" ht="30">
      <c r="A60" s="897">
        <v>46</v>
      </c>
      <c r="B60" s="898" t="s">
        <v>933</v>
      </c>
      <c r="C60" s="899">
        <f>[19]Population!L66</f>
        <v>44.6</v>
      </c>
      <c r="D60" s="900">
        <v>49</v>
      </c>
      <c r="E60" s="900">
        <f t="shared" si="0"/>
        <v>109.86547085201794</v>
      </c>
      <c r="F60" s="900">
        <v>24</v>
      </c>
      <c r="G60" s="899">
        <f t="shared" si="1"/>
        <v>53.811659192825111</v>
      </c>
      <c r="H60" s="899">
        <f t="shared" si="2"/>
        <v>2.0416666666666665</v>
      </c>
      <c r="I60" s="901" t="s">
        <v>882</v>
      </c>
      <c r="J60" s="902">
        <v>1</v>
      </c>
      <c r="K60" s="902"/>
      <c r="L60" s="902">
        <f t="shared" si="45"/>
        <v>1</v>
      </c>
      <c r="M60" s="900">
        <v>2</v>
      </c>
      <c r="N60" s="901" t="s">
        <v>1304</v>
      </c>
      <c r="O60" s="902" t="s">
        <v>1306</v>
      </c>
      <c r="P60" s="900">
        <f t="shared" si="51"/>
        <v>8</v>
      </c>
      <c r="Q60" s="900">
        <f t="shared" si="52"/>
        <v>192</v>
      </c>
      <c r="R60" s="900">
        <f t="shared" si="53"/>
        <v>100</v>
      </c>
      <c r="S60" s="900">
        <f t="shared" si="54"/>
        <v>356.8</v>
      </c>
      <c r="T60" s="900">
        <f t="shared" si="55"/>
        <v>274</v>
      </c>
      <c r="U60" s="900">
        <f>T60</f>
        <v>274</v>
      </c>
      <c r="V60" s="900"/>
      <c r="W60" s="900"/>
      <c r="X60" s="903">
        <v>1</v>
      </c>
      <c r="Y60" s="903"/>
      <c r="Z60" s="903"/>
      <c r="AA60" s="900">
        <f>U60*X60</f>
        <v>274</v>
      </c>
      <c r="AB60" s="900"/>
      <c r="AC60" s="900"/>
    </row>
    <row r="61" spans="1:29">
      <c r="A61" s="856">
        <v>47</v>
      </c>
      <c r="B61" s="892" t="s">
        <v>934</v>
      </c>
      <c r="C61" s="893">
        <f>[19]Population!L68</f>
        <v>52.2</v>
      </c>
      <c r="D61" s="883">
        <v>102</v>
      </c>
      <c r="E61" s="883">
        <f t="shared" si="0"/>
        <v>195.40229885057471</v>
      </c>
      <c r="F61" s="883">
        <v>42</v>
      </c>
      <c r="G61" s="893">
        <f t="shared" si="1"/>
        <v>80.459770114942529</v>
      </c>
      <c r="H61" s="893">
        <f t="shared" si="2"/>
        <v>2.4285714285714284</v>
      </c>
      <c r="I61" s="894" t="s">
        <v>880</v>
      </c>
      <c r="J61" s="895">
        <v>1</v>
      </c>
      <c r="K61" s="895"/>
      <c r="L61" s="895">
        <f t="shared" si="45"/>
        <v>1</v>
      </c>
      <c r="M61" s="883">
        <v>1</v>
      </c>
      <c r="N61" s="894" t="s">
        <v>238</v>
      </c>
      <c r="O61" s="895"/>
      <c r="P61" s="883">
        <f t="shared" si="51"/>
        <v>8</v>
      </c>
      <c r="Q61" s="883">
        <f t="shared" si="52"/>
        <v>336</v>
      </c>
      <c r="R61" s="883">
        <f t="shared" si="53"/>
        <v>100</v>
      </c>
      <c r="S61" s="883">
        <f t="shared" si="54"/>
        <v>417.6</v>
      </c>
      <c r="T61" s="883">
        <f t="shared" si="55"/>
        <v>377</v>
      </c>
      <c r="U61" s="883">
        <f>T61</f>
        <v>377</v>
      </c>
      <c r="V61" s="883">
        <f>U61</f>
        <v>377</v>
      </c>
      <c r="W61" s="883">
        <f>U61</f>
        <v>377</v>
      </c>
      <c r="X61" s="896">
        <v>1.1000000000000001</v>
      </c>
      <c r="Y61" s="896">
        <v>1.3</v>
      </c>
      <c r="Z61" s="896">
        <v>1.3</v>
      </c>
      <c r="AA61" s="883">
        <f>U61*X61</f>
        <v>414.70000000000005</v>
      </c>
      <c r="AB61" s="883">
        <f>V61*Y61</f>
        <v>490.1</v>
      </c>
      <c r="AC61" s="883">
        <f>W61*Z61</f>
        <v>490.1</v>
      </c>
    </row>
    <row r="62" spans="1:29">
      <c r="A62" s="845">
        <v>48</v>
      </c>
      <c r="B62" s="846" t="s">
        <v>935</v>
      </c>
      <c r="C62" s="848">
        <f>[19]Population!L69</f>
        <v>30.7</v>
      </c>
      <c r="D62" s="847">
        <v>79</v>
      </c>
      <c r="E62" s="847">
        <f t="shared" si="0"/>
        <v>257.32899022801303</v>
      </c>
      <c r="F62" s="847">
        <v>18</v>
      </c>
      <c r="G62" s="848">
        <f t="shared" si="1"/>
        <v>58.631921824104239</v>
      </c>
      <c r="H62" s="848">
        <f t="shared" si="2"/>
        <v>4.3888888888888893</v>
      </c>
      <c r="I62" s="924" t="s">
        <v>884</v>
      </c>
      <c r="J62" s="920"/>
      <c r="K62" s="920"/>
      <c r="L62" s="920"/>
      <c r="M62" s="847"/>
      <c r="N62" s="924" t="s">
        <v>1303</v>
      </c>
      <c r="O62" s="920">
        <v>35</v>
      </c>
      <c r="P62" s="847">
        <f t="shared" si="51"/>
        <v>8</v>
      </c>
      <c r="Q62" s="847">
        <f t="shared" si="52"/>
        <v>144</v>
      </c>
      <c r="R62" s="847">
        <f t="shared" si="53"/>
        <v>100</v>
      </c>
      <c r="S62" s="847">
        <f t="shared" si="54"/>
        <v>245.6</v>
      </c>
      <c r="T62" s="847">
        <f t="shared" si="55"/>
        <v>195</v>
      </c>
      <c r="U62" s="847"/>
      <c r="V62" s="847"/>
      <c r="W62" s="847"/>
      <c r="X62" s="849"/>
      <c r="Y62" s="849"/>
      <c r="Z62" s="849"/>
      <c r="AA62" s="847"/>
      <c r="AB62" s="847"/>
      <c r="AC62" s="847"/>
    </row>
    <row r="63" spans="1:29">
      <c r="A63" s="897">
        <v>49</v>
      </c>
      <c r="B63" s="898" t="s">
        <v>936</v>
      </c>
      <c r="C63" s="899">
        <f>[19]Population!L70</f>
        <v>40.700000000000003</v>
      </c>
      <c r="D63" s="900">
        <v>143</v>
      </c>
      <c r="E63" s="900">
        <f t="shared" si="0"/>
        <v>351.35135135135135</v>
      </c>
      <c r="F63" s="900">
        <v>20</v>
      </c>
      <c r="G63" s="899">
        <f t="shared" si="1"/>
        <v>49.140049140049136</v>
      </c>
      <c r="H63" s="899">
        <f t="shared" si="2"/>
        <v>7.15</v>
      </c>
      <c r="I63" s="901" t="s">
        <v>882</v>
      </c>
      <c r="J63" s="902">
        <v>1</v>
      </c>
      <c r="K63" s="902"/>
      <c r="L63" s="902">
        <f t="shared" si="45"/>
        <v>1</v>
      </c>
      <c r="M63" s="900">
        <v>2</v>
      </c>
      <c r="N63" s="901" t="s">
        <v>1303</v>
      </c>
      <c r="O63" s="902">
        <v>30</v>
      </c>
      <c r="P63" s="900">
        <f t="shared" si="51"/>
        <v>8</v>
      </c>
      <c r="Q63" s="900">
        <f t="shared" si="52"/>
        <v>160</v>
      </c>
      <c r="R63" s="900">
        <f t="shared" si="53"/>
        <v>100</v>
      </c>
      <c r="S63" s="900">
        <f t="shared" si="54"/>
        <v>325.60000000000002</v>
      </c>
      <c r="T63" s="900">
        <f t="shared" si="55"/>
        <v>243</v>
      </c>
      <c r="U63" s="900">
        <f>T63</f>
        <v>243</v>
      </c>
      <c r="V63" s="900"/>
      <c r="W63" s="900"/>
      <c r="X63" s="903">
        <v>1.05</v>
      </c>
      <c r="Y63" s="903"/>
      <c r="Z63" s="903"/>
      <c r="AA63" s="900">
        <f>U63*X63</f>
        <v>255.15</v>
      </c>
      <c r="AB63" s="900"/>
      <c r="AC63" s="900"/>
    </row>
    <row r="64" spans="1:29" ht="30">
      <c r="A64" s="897">
        <v>50</v>
      </c>
      <c r="B64" s="898" t="s">
        <v>937</v>
      </c>
      <c r="C64" s="899">
        <f>[19]Population!L71</f>
        <v>41.5</v>
      </c>
      <c r="D64" s="900">
        <v>105</v>
      </c>
      <c r="E64" s="900">
        <f t="shared" si="0"/>
        <v>253.01204819277109</v>
      </c>
      <c r="F64" s="900">
        <v>44</v>
      </c>
      <c r="G64" s="899">
        <f t="shared" si="1"/>
        <v>106.02409638554217</v>
      </c>
      <c r="H64" s="899">
        <f t="shared" si="2"/>
        <v>2.3863636363636362</v>
      </c>
      <c r="I64" s="901" t="s">
        <v>882</v>
      </c>
      <c r="J64" s="902">
        <v>1</v>
      </c>
      <c r="K64" s="902"/>
      <c r="L64" s="902">
        <f t="shared" si="45"/>
        <v>1</v>
      </c>
      <c r="M64" s="900">
        <v>2</v>
      </c>
      <c r="N64" s="901" t="s">
        <v>1304</v>
      </c>
      <c r="O64" s="902" t="s">
        <v>1307</v>
      </c>
      <c r="P64" s="900">
        <f t="shared" si="51"/>
        <v>8</v>
      </c>
      <c r="Q64" s="900">
        <f t="shared" si="52"/>
        <v>352</v>
      </c>
      <c r="R64" s="900">
        <f t="shared" si="53"/>
        <v>100</v>
      </c>
      <c r="S64" s="900">
        <f t="shared" si="54"/>
        <v>332</v>
      </c>
      <c r="T64" s="900">
        <f t="shared" si="55"/>
        <v>342</v>
      </c>
      <c r="U64" s="900">
        <f>T64</f>
        <v>342</v>
      </c>
      <c r="V64" s="900"/>
      <c r="W64" s="900"/>
      <c r="X64" s="903">
        <v>0.8</v>
      </c>
      <c r="Y64" s="903"/>
      <c r="Z64" s="903"/>
      <c r="AA64" s="900">
        <f>U64*X64</f>
        <v>273.60000000000002</v>
      </c>
      <c r="AB64" s="900"/>
      <c r="AC64" s="900"/>
    </row>
    <row r="65" spans="1:30">
      <c r="A65" s="904">
        <v>51</v>
      </c>
      <c r="B65" s="905" t="s">
        <v>938</v>
      </c>
      <c r="C65" s="906">
        <f>[19]Population!L67</f>
        <v>14.5</v>
      </c>
      <c r="D65" s="907">
        <v>4</v>
      </c>
      <c r="E65" s="907">
        <f t="shared" si="0"/>
        <v>27.586206896551722</v>
      </c>
      <c r="F65" s="907">
        <v>2</v>
      </c>
      <c r="G65" s="906">
        <f t="shared" si="1"/>
        <v>13.793103448275861</v>
      </c>
      <c r="H65" s="906">
        <f t="shared" si="2"/>
        <v>2</v>
      </c>
      <c r="I65" s="908" t="s">
        <v>884</v>
      </c>
      <c r="J65" s="909"/>
      <c r="K65" s="909"/>
      <c r="L65" s="909"/>
      <c r="M65" s="847"/>
      <c r="N65" s="924" t="s">
        <v>1303</v>
      </c>
      <c r="O65" s="909">
        <v>130</v>
      </c>
      <c r="P65" s="907">
        <f t="shared" si="51"/>
        <v>8</v>
      </c>
      <c r="Q65" s="907">
        <f t="shared" si="52"/>
        <v>16</v>
      </c>
      <c r="R65" s="907">
        <f t="shared" si="53"/>
        <v>100</v>
      </c>
      <c r="S65" s="907">
        <f t="shared" si="54"/>
        <v>116</v>
      </c>
      <c r="T65" s="907">
        <f t="shared" si="55"/>
        <v>66</v>
      </c>
      <c r="U65" s="907"/>
      <c r="V65" s="907"/>
      <c r="W65" s="907"/>
      <c r="X65" s="910"/>
      <c r="Y65" s="910"/>
      <c r="Z65" s="910"/>
      <c r="AA65" s="907"/>
      <c r="AB65" s="907"/>
      <c r="AC65" s="907"/>
    </row>
    <row r="66" spans="1:30" s="838" customFormat="1">
      <c r="A66" s="925">
        <v>52</v>
      </c>
      <c r="B66" s="926" t="s">
        <v>940</v>
      </c>
      <c r="C66" s="927">
        <f>[19]Population!L63</f>
        <v>47.7</v>
      </c>
      <c r="D66" s="928">
        <v>740</v>
      </c>
      <c r="E66" s="928">
        <f t="shared" si="0"/>
        <v>1551.362683438155</v>
      </c>
      <c r="F66" s="928">
        <v>81</v>
      </c>
      <c r="G66" s="927">
        <f t="shared" si="1"/>
        <v>169.81132075471697</v>
      </c>
      <c r="H66" s="927">
        <f t="shared" si="2"/>
        <v>9.1358024691358022</v>
      </c>
      <c r="I66" s="929" t="s">
        <v>880</v>
      </c>
      <c r="J66" s="930">
        <v>1</v>
      </c>
      <c r="K66" s="930">
        <v>1</v>
      </c>
      <c r="L66" s="930"/>
      <c r="M66" s="930"/>
      <c r="N66" s="929" t="s">
        <v>880</v>
      </c>
      <c r="O66" s="930"/>
      <c r="P66" s="928">
        <f>P$8</f>
        <v>8</v>
      </c>
      <c r="Q66" s="928">
        <v>740</v>
      </c>
      <c r="R66" s="928">
        <f>R$8</f>
        <v>100</v>
      </c>
      <c r="S66" s="928">
        <f t="shared" si="54"/>
        <v>381.6</v>
      </c>
      <c r="T66" s="928">
        <f t="shared" si="55"/>
        <v>561</v>
      </c>
      <c r="U66" s="928">
        <f>T66</f>
        <v>561</v>
      </c>
      <c r="V66" s="928">
        <f>U66</f>
        <v>561</v>
      </c>
      <c r="W66" s="928">
        <f>U66</f>
        <v>561</v>
      </c>
      <c r="X66" s="931">
        <v>1.1000000000000001</v>
      </c>
      <c r="Y66" s="931">
        <f>X66</f>
        <v>1.1000000000000001</v>
      </c>
      <c r="Z66" s="931">
        <f>Y66</f>
        <v>1.1000000000000001</v>
      </c>
      <c r="AA66" s="928">
        <f>U66*X66</f>
        <v>617.1</v>
      </c>
      <c r="AB66" s="928">
        <f>V66*Y66</f>
        <v>617.1</v>
      </c>
      <c r="AC66" s="928">
        <f>W66*Z66</f>
        <v>617.1</v>
      </c>
    </row>
    <row r="67" spans="1:30" s="838" customFormat="1">
      <c r="A67" s="911"/>
      <c r="B67" s="911" t="s">
        <v>948</v>
      </c>
      <c r="C67" s="887">
        <f>SUM(C68:C74)</f>
        <v>213.6</v>
      </c>
      <c r="D67" s="888">
        <f>SUM(D68:D74)</f>
        <v>471</v>
      </c>
      <c r="E67" s="888">
        <f t="shared" si="0"/>
        <v>220.50561797752809</v>
      </c>
      <c r="F67" s="888">
        <f>SUM(F68:F74)</f>
        <v>92</v>
      </c>
      <c r="G67" s="887">
        <f t="shared" si="1"/>
        <v>43.071161048689142</v>
      </c>
      <c r="H67" s="887">
        <f t="shared" si="2"/>
        <v>5.1195652173913047</v>
      </c>
      <c r="I67" s="889"/>
      <c r="J67" s="890">
        <f>SUM(J68:J74)</f>
        <v>3</v>
      </c>
      <c r="K67" s="890">
        <f>SUM(K68:K74)</f>
        <v>1</v>
      </c>
      <c r="L67" s="890">
        <f>SUM(L68:L74)</f>
        <v>2</v>
      </c>
      <c r="M67" s="890"/>
      <c r="N67" s="889"/>
      <c r="O67" s="890"/>
      <c r="P67" s="887">
        <f>Q67/F67</f>
        <v>8</v>
      </c>
      <c r="Q67" s="888">
        <f>SUM(Q68:Q74)</f>
        <v>736</v>
      </c>
      <c r="R67" s="888">
        <f>(S67*100)/(P67*C67)</f>
        <v>111.23595505617978</v>
      </c>
      <c r="S67" s="888">
        <f>SUM(S68:S74)</f>
        <v>1900.8</v>
      </c>
      <c r="T67" s="888">
        <f>SUM(T68:T74)</f>
        <v>1319</v>
      </c>
      <c r="U67" s="888">
        <f>SUM(U68:U74)</f>
        <v>1319</v>
      </c>
      <c r="V67" s="888">
        <f>SUM(V68:V74)</f>
        <v>1319</v>
      </c>
      <c r="W67" s="888">
        <f>SUM(W68:W74)</f>
        <v>1319</v>
      </c>
      <c r="X67" s="891">
        <f>AA67/U67</f>
        <v>1.041243366186505</v>
      </c>
      <c r="Y67" s="891">
        <f>AB67/V67</f>
        <v>0.95746777862016685</v>
      </c>
      <c r="Z67" s="891">
        <f>AC67/W67</f>
        <v>0.95746777862016685</v>
      </c>
      <c r="AA67" s="888">
        <f>SUM(AA68:AA74)</f>
        <v>1373.4</v>
      </c>
      <c r="AB67" s="888">
        <f>SUM(AB68:AB74)</f>
        <v>1262.9000000000001</v>
      </c>
      <c r="AC67" s="888">
        <f>SUM(AC68:AC74)</f>
        <v>1262.9000000000001</v>
      </c>
    </row>
    <row r="68" spans="1:30" ht="30">
      <c r="A68" s="904">
        <v>53</v>
      </c>
      <c r="B68" s="905" t="s">
        <v>941</v>
      </c>
      <c r="C68" s="906">
        <f>[19]Population!L73</f>
        <v>20.8</v>
      </c>
      <c r="D68" s="907">
        <v>96</v>
      </c>
      <c r="E68" s="907">
        <f t="shared" si="0"/>
        <v>461.53846153846155</v>
      </c>
      <c r="F68" s="907">
        <v>5</v>
      </c>
      <c r="G68" s="906">
        <f t="shared" si="1"/>
        <v>24.038461538461537</v>
      </c>
      <c r="H68" s="906">
        <f t="shared" si="2"/>
        <v>19.2</v>
      </c>
      <c r="I68" s="908" t="s">
        <v>884</v>
      </c>
      <c r="J68" s="909"/>
      <c r="K68" s="909"/>
      <c r="L68" s="909"/>
      <c r="M68" s="847"/>
      <c r="N68" s="908" t="s">
        <v>1308</v>
      </c>
      <c r="O68" s="909">
        <v>30</v>
      </c>
      <c r="P68" s="907">
        <f t="shared" ref="P68:P74" si="56">P$8</f>
        <v>8</v>
      </c>
      <c r="Q68" s="907">
        <f t="shared" ref="Q68:Q74" si="57">F68*P68</f>
        <v>40</v>
      </c>
      <c r="R68" s="907">
        <f t="shared" ref="R68:R74" si="58">R$8</f>
        <v>100</v>
      </c>
      <c r="S68" s="907">
        <f t="shared" ref="S68:S73" si="59">R68*P68*C68/100</f>
        <v>166.4</v>
      </c>
      <c r="T68" s="907">
        <f t="shared" ref="T68:T74" si="60">ROUND(AVERAGE(Q68,S68),0)</f>
        <v>103</v>
      </c>
      <c r="U68" s="907"/>
      <c r="V68" s="907"/>
      <c r="W68" s="907"/>
      <c r="X68" s="910"/>
      <c r="Y68" s="910"/>
      <c r="Z68" s="910"/>
      <c r="AA68" s="907"/>
      <c r="AB68" s="907"/>
      <c r="AC68" s="907"/>
    </row>
    <row r="69" spans="1:30" ht="30">
      <c r="A69" s="904">
        <v>54</v>
      </c>
      <c r="B69" s="905" t="s">
        <v>942</v>
      </c>
      <c r="C69" s="906">
        <f>[19]Population!L74</f>
        <v>13.2</v>
      </c>
      <c r="D69" s="907">
        <v>77</v>
      </c>
      <c r="E69" s="907">
        <f t="shared" si="0"/>
        <v>583.33333333333337</v>
      </c>
      <c r="F69" s="907">
        <v>7</v>
      </c>
      <c r="G69" s="906">
        <f t="shared" si="1"/>
        <v>53.030303030303031</v>
      </c>
      <c r="H69" s="906">
        <f t="shared" si="2"/>
        <v>11</v>
      </c>
      <c r="I69" s="908" t="s">
        <v>884</v>
      </c>
      <c r="J69" s="909"/>
      <c r="K69" s="909"/>
      <c r="L69" s="909"/>
      <c r="M69" s="847"/>
      <c r="N69" s="908" t="s">
        <v>1308</v>
      </c>
      <c r="O69" s="909">
        <v>35</v>
      </c>
      <c r="P69" s="907">
        <f t="shared" si="56"/>
        <v>8</v>
      </c>
      <c r="Q69" s="907">
        <f t="shared" si="57"/>
        <v>56</v>
      </c>
      <c r="R69" s="907">
        <f t="shared" si="58"/>
        <v>100</v>
      </c>
      <c r="S69" s="907">
        <f t="shared" si="59"/>
        <v>105.6</v>
      </c>
      <c r="T69" s="907">
        <f t="shared" si="60"/>
        <v>81</v>
      </c>
      <c r="U69" s="907"/>
      <c r="V69" s="907"/>
      <c r="W69" s="907"/>
      <c r="X69" s="910"/>
      <c r="Y69" s="910"/>
      <c r="Z69" s="910"/>
      <c r="AA69" s="907"/>
      <c r="AB69" s="907"/>
      <c r="AC69" s="907"/>
    </row>
    <row r="70" spans="1:30">
      <c r="A70" s="856">
        <v>55</v>
      </c>
      <c r="B70" s="892" t="s">
        <v>943</v>
      </c>
      <c r="C70" s="893">
        <f>[19]Population!L76</f>
        <v>48.4</v>
      </c>
      <c r="D70" s="883">
        <v>48</v>
      </c>
      <c r="E70" s="883">
        <f t="shared" si="0"/>
        <v>99.173553719008268</v>
      </c>
      <c r="F70" s="883">
        <v>12</v>
      </c>
      <c r="G70" s="893">
        <f t="shared" si="1"/>
        <v>24.793388429752067</v>
      </c>
      <c r="H70" s="893">
        <f t="shared" si="2"/>
        <v>4</v>
      </c>
      <c r="I70" s="894" t="s">
        <v>880</v>
      </c>
      <c r="J70" s="895">
        <v>1</v>
      </c>
      <c r="K70" s="895">
        <v>1</v>
      </c>
      <c r="L70" s="895"/>
      <c r="M70" s="883"/>
      <c r="N70" s="894" t="s">
        <v>238</v>
      </c>
      <c r="O70" s="895"/>
      <c r="P70" s="883">
        <f t="shared" si="56"/>
        <v>8</v>
      </c>
      <c r="Q70" s="883">
        <f t="shared" si="57"/>
        <v>96</v>
      </c>
      <c r="R70" s="883">
        <f t="shared" si="58"/>
        <v>100</v>
      </c>
      <c r="S70" s="883">
        <f t="shared" si="59"/>
        <v>387.2</v>
      </c>
      <c r="T70" s="883">
        <f t="shared" si="60"/>
        <v>242</v>
      </c>
      <c r="U70" s="883">
        <f>T70+SUM(T68,T69,T73,T74)</f>
        <v>834</v>
      </c>
      <c r="V70" s="883">
        <f>U70+U72</f>
        <v>1004</v>
      </c>
      <c r="W70" s="883">
        <f>U70+U72</f>
        <v>1004</v>
      </c>
      <c r="X70" s="896">
        <v>0.85</v>
      </c>
      <c r="Y70" s="896">
        <v>0.85</v>
      </c>
      <c r="Z70" s="896">
        <v>0.85</v>
      </c>
      <c r="AA70" s="883">
        <f t="shared" ref="AA70:AC71" si="61">U70*X70</f>
        <v>708.9</v>
      </c>
      <c r="AB70" s="883">
        <f t="shared" si="61"/>
        <v>853.4</v>
      </c>
      <c r="AC70" s="883">
        <f t="shared" si="61"/>
        <v>853.4</v>
      </c>
    </row>
    <row r="71" spans="1:30">
      <c r="A71" s="856">
        <v>56</v>
      </c>
      <c r="B71" s="892" t="s">
        <v>944</v>
      </c>
      <c r="C71" s="893">
        <f>[19]Population!L75</f>
        <v>64.8</v>
      </c>
      <c r="D71" s="883">
        <v>28</v>
      </c>
      <c r="E71" s="883">
        <f t="shared" ref="E71:E89" si="62">D71*100/C71</f>
        <v>43.20987654320988</v>
      </c>
      <c r="F71" s="883">
        <v>14</v>
      </c>
      <c r="G71" s="893">
        <f t="shared" si="1"/>
        <v>21.60493827160494</v>
      </c>
      <c r="H71" s="893">
        <f t="shared" si="2"/>
        <v>2</v>
      </c>
      <c r="I71" s="894" t="s">
        <v>880</v>
      </c>
      <c r="J71" s="895">
        <v>1</v>
      </c>
      <c r="K71" s="895"/>
      <c r="L71" s="895">
        <f>J71-K71</f>
        <v>1</v>
      </c>
      <c r="M71" s="883">
        <v>1</v>
      </c>
      <c r="N71" s="894" t="s">
        <v>238</v>
      </c>
      <c r="O71" s="895"/>
      <c r="P71" s="883">
        <f t="shared" si="56"/>
        <v>8</v>
      </c>
      <c r="Q71" s="883">
        <f t="shared" si="57"/>
        <v>112</v>
      </c>
      <c r="R71" s="883">
        <f t="shared" si="58"/>
        <v>100</v>
      </c>
      <c r="S71" s="883">
        <f t="shared" si="59"/>
        <v>518.4</v>
      </c>
      <c r="T71" s="883">
        <f t="shared" si="60"/>
        <v>315</v>
      </c>
      <c r="U71" s="883">
        <f>T71</f>
        <v>315</v>
      </c>
      <c r="V71" s="883">
        <f>U71</f>
        <v>315</v>
      </c>
      <c r="W71" s="883">
        <f>U71</f>
        <v>315</v>
      </c>
      <c r="X71" s="896">
        <v>1.3</v>
      </c>
      <c r="Y71" s="896">
        <f>X71</f>
        <v>1.3</v>
      </c>
      <c r="Z71" s="896">
        <f>Y71</f>
        <v>1.3</v>
      </c>
      <c r="AA71" s="883">
        <f t="shared" si="61"/>
        <v>409.5</v>
      </c>
      <c r="AB71" s="883">
        <f t="shared" si="61"/>
        <v>409.5</v>
      </c>
      <c r="AC71" s="883">
        <f t="shared" si="61"/>
        <v>409.5</v>
      </c>
    </row>
    <row r="72" spans="1:30" ht="45">
      <c r="A72" s="897">
        <v>57</v>
      </c>
      <c r="B72" s="898" t="s">
        <v>945</v>
      </c>
      <c r="C72" s="899">
        <f>[19]Population!L77</f>
        <v>31.5</v>
      </c>
      <c r="D72" s="900">
        <v>101</v>
      </c>
      <c r="E72" s="900">
        <f t="shared" si="62"/>
        <v>320.63492063492066</v>
      </c>
      <c r="F72" s="900">
        <v>11</v>
      </c>
      <c r="G72" s="899">
        <f t="shared" ref="G72:G89" si="63">F72*100/C72</f>
        <v>34.920634920634917</v>
      </c>
      <c r="H72" s="899">
        <f t="shared" ref="H72:H89" si="64">D72/F72</f>
        <v>9.1818181818181817</v>
      </c>
      <c r="I72" s="901" t="s">
        <v>882</v>
      </c>
      <c r="J72" s="902">
        <v>1</v>
      </c>
      <c r="K72" s="902"/>
      <c r="L72" s="902">
        <f>J72-K72</f>
        <v>1</v>
      </c>
      <c r="M72" s="900">
        <v>2</v>
      </c>
      <c r="N72" s="901" t="s">
        <v>1312</v>
      </c>
      <c r="O72" s="902" t="s">
        <v>1311</v>
      </c>
      <c r="P72" s="900">
        <f t="shared" si="56"/>
        <v>8</v>
      </c>
      <c r="Q72" s="900">
        <f t="shared" si="57"/>
        <v>88</v>
      </c>
      <c r="R72" s="900">
        <f t="shared" si="58"/>
        <v>100</v>
      </c>
      <c r="S72" s="900">
        <f t="shared" si="59"/>
        <v>252</v>
      </c>
      <c r="T72" s="900">
        <f t="shared" si="60"/>
        <v>170</v>
      </c>
      <c r="U72" s="900">
        <f>T72</f>
        <v>170</v>
      </c>
      <c r="V72" s="900"/>
      <c r="W72" s="900"/>
      <c r="X72" s="903">
        <v>1.5</v>
      </c>
      <c r="Y72" s="903"/>
      <c r="Z72" s="903"/>
      <c r="AA72" s="900">
        <f>U72*X72</f>
        <v>255</v>
      </c>
      <c r="AB72" s="900"/>
      <c r="AC72" s="900"/>
    </row>
    <row r="73" spans="1:30" ht="45">
      <c r="A73" s="845">
        <v>58</v>
      </c>
      <c r="B73" s="846" t="s">
        <v>946</v>
      </c>
      <c r="C73" s="848">
        <f>[19]Population!L78</f>
        <v>34.9</v>
      </c>
      <c r="D73" s="847">
        <v>42</v>
      </c>
      <c r="E73" s="847">
        <f t="shared" si="62"/>
        <v>120.34383954154728</v>
      </c>
      <c r="F73" s="847">
        <v>23</v>
      </c>
      <c r="G73" s="848">
        <f t="shared" si="63"/>
        <v>65.902578796561613</v>
      </c>
      <c r="H73" s="848">
        <f t="shared" si="64"/>
        <v>1.826086956521739</v>
      </c>
      <c r="I73" s="924" t="s">
        <v>884</v>
      </c>
      <c r="J73" s="920"/>
      <c r="K73" s="920"/>
      <c r="L73" s="920"/>
      <c r="M73" s="847"/>
      <c r="N73" s="924" t="s">
        <v>1310</v>
      </c>
      <c r="O73" s="920" t="s">
        <v>1309</v>
      </c>
      <c r="P73" s="847">
        <f t="shared" si="56"/>
        <v>8</v>
      </c>
      <c r="Q73" s="847">
        <f t="shared" si="57"/>
        <v>184</v>
      </c>
      <c r="R73" s="847">
        <f t="shared" si="58"/>
        <v>100</v>
      </c>
      <c r="S73" s="847">
        <f t="shared" si="59"/>
        <v>279.2</v>
      </c>
      <c r="T73" s="847">
        <f t="shared" si="60"/>
        <v>232</v>
      </c>
      <c r="U73" s="847"/>
      <c r="V73" s="847"/>
      <c r="W73" s="847"/>
      <c r="X73" s="849"/>
      <c r="Y73" s="849"/>
      <c r="Z73" s="849"/>
      <c r="AA73" s="847"/>
      <c r="AB73" s="847"/>
      <c r="AC73" s="847"/>
    </row>
    <row r="74" spans="1:30" ht="30">
      <c r="A74" s="904">
        <v>59</v>
      </c>
      <c r="B74" s="905" t="s">
        <v>947</v>
      </c>
      <c r="C74" s="906"/>
      <c r="D74" s="907">
        <v>79</v>
      </c>
      <c r="E74" s="907" t="e">
        <f t="shared" si="62"/>
        <v>#DIV/0!</v>
      </c>
      <c r="F74" s="907">
        <v>20</v>
      </c>
      <c r="G74" s="906" t="e">
        <f t="shared" si="63"/>
        <v>#DIV/0!</v>
      </c>
      <c r="H74" s="906">
        <f t="shared" si="64"/>
        <v>3.95</v>
      </c>
      <c r="I74" s="908" t="s">
        <v>884</v>
      </c>
      <c r="J74" s="909"/>
      <c r="K74" s="909"/>
      <c r="L74" s="909"/>
      <c r="M74" s="847"/>
      <c r="N74" s="908" t="s">
        <v>1308</v>
      </c>
      <c r="O74" s="909">
        <v>30</v>
      </c>
      <c r="P74" s="907">
        <f t="shared" si="56"/>
        <v>8</v>
      </c>
      <c r="Q74" s="907">
        <f t="shared" si="57"/>
        <v>160</v>
      </c>
      <c r="R74" s="907">
        <f t="shared" si="58"/>
        <v>100</v>
      </c>
      <c r="S74" s="858">
        <f>Q74*1.2</f>
        <v>192</v>
      </c>
      <c r="T74" s="907">
        <f t="shared" si="60"/>
        <v>176</v>
      </c>
      <c r="U74" s="907"/>
      <c r="V74" s="907"/>
      <c r="W74" s="907"/>
      <c r="X74" s="910"/>
      <c r="Y74" s="910"/>
      <c r="Z74" s="910"/>
      <c r="AA74" s="907"/>
      <c r="AB74" s="907"/>
      <c r="AC74" s="907"/>
    </row>
    <row r="75" spans="1:30" s="838" customFormat="1">
      <c r="A75" s="911"/>
      <c r="B75" s="911" t="s">
        <v>955</v>
      </c>
      <c r="C75" s="887">
        <f>SUM(C76:C81)</f>
        <v>395.4</v>
      </c>
      <c r="D75" s="888">
        <f>SUM(D76:D81)</f>
        <v>2717</v>
      </c>
      <c r="E75" s="888">
        <f t="shared" si="62"/>
        <v>687.15225088517957</v>
      </c>
      <c r="F75" s="888">
        <f>SUM(F76:F81)</f>
        <v>641</v>
      </c>
      <c r="G75" s="887">
        <f t="shared" si="63"/>
        <v>162.11431461810827</v>
      </c>
      <c r="H75" s="887">
        <f t="shared" si="64"/>
        <v>4.2386895475819033</v>
      </c>
      <c r="I75" s="889"/>
      <c r="J75" s="890">
        <f>SUM(J76:J81)</f>
        <v>5</v>
      </c>
      <c r="K75" s="890">
        <f>SUM(K76:K81)</f>
        <v>2</v>
      </c>
      <c r="L75" s="890">
        <f>SUM(L76:L81)</f>
        <v>3</v>
      </c>
      <c r="M75" s="890"/>
      <c r="N75" s="889"/>
      <c r="O75" s="890"/>
      <c r="P75" s="887">
        <f>Q75/F75</f>
        <v>8</v>
      </c>
      <c r="Q75" s="888">
        <f>SUM(Q76:Q81)</f>
        <v>5128</v>
      </c>
      <c r="R75" s="888">
        <f>(S75*100)/(P75*C75)</f>
        <v>100</v>
      </c>
      <c r="S75" s="888">
        <f>SUM(S76:S81)</f>
        <v>3163.2</v>
      </c>
      <c r="T75" s="888">
        <f>SUM(T76:T81)</f>
        <v>4144</v>
      </c>
      <c r="U75" s="888">
        <f>SUM(U76:U81)</f>
        <v>4144</v>
      </c>
      <c r="V75" s="888">
        <f>SUM(V76:V81)</f>
        <v>4144</v>
      </c>
      <c r="W75" s="888">
        <f>SUM(W76:W81)</f>
        <v>4144</v>
      </c>
      <c r="X75" s="891">
        <f>AA75/U75</f>
        <v>0.8419763513513514</v>
      </c>
      <c r="Y75" s="891">
        <f>AB75/V75</f>
        <v>0.8222852316602316</v>
      </c>
      <c r="Z75" s="891">
        <f>AC75/W75</f>
        <v>0.8222852316602316</v>
      </c>
      <c r="AA75" s="888">
        <f>SUM(AA76:AA81)</f>
        <v>3489.15</v>
      </c>
      <c r="AB75" s="888">
        <f>SUM(AB76:AB81)</f>
        <v>3407.5499999999997</v>
      </c>
      <c r="AC75" s="888">
        <f>SUM(AC76:AC81)</f>
        <v>3407.5499999999997</v>
      </c>
    </row>
    <row r="76" spans="1:30">
      <c r="A76" s="856">
        <v>60</v>
      </c>
      <c r="B76" s="892" t="s">
        <v>949</v>
      </c>
      <c r="C76" s="893">
        <f>[19]Population!L23</f>
        <v>62.3</v>
      </c>
      <c r="D76" s="883">
        <v>179</v>
      </c>
      <c r="E76" s="883">
        <f t="shared" si="62"/>
        <v>287.31942215088282</v>
      </c>
      <c r="F76" s="883">
        <v>38</v>
      </c>
      <c r="G76" s="893">
        <f t="shared" si="63"/>
        <v>60.995184590690208</v>
      </c>
      <c r="H76" s="893">
        <f t="shared" si="64"/>
        <v>4.7105263157894735</v>
      </c>
      <c r="I76" s="894" t="s">
        <v>880</v>
      </c>
      <c r="J76" s="895">
        <v>1</v>
      </c>
      <c r="K76" s="895"/>
      <c r="L76" s="895">
        <f>J76-K76</f>
        <v>1</v>
      </c>
      <c r="M76" s="883">
        <v>1</v>
      </c>
      <c r="N76" s="894" t="s">
        <v>238</v>
      </c>
      <c r="O76" s="895"/>
      <c r="P76" s="883">
        <f t="shared" ref="P76:P81" si="65">P$8</f>
        <v>8</v>
      </c>
      <c r="Q76" s="883">
        <f t="shared" ref="Q76:Q81" si="66">F76*P76</f>
        <v>304</v>
      </c>
      <c r="R76" s="883">
        <f t="shared" ref="R76:R81" si="67">R$8</f>
        <v>100</v>
      </c>
      <c r="S76" s="883">
        <f t="shared" ref="S76:S81" si="68">R76*P76*C76/100</f>
        <v>498.4</v>
      </c>
      <c r="T76" s="883">
        <f t="shared" ref="T76:T81" si="69">ROUND(AVERAGE(Q76,S76),0)</f>
        <v>401</v>
      </c>
      <c r="U76" s="883">
        <f>T76</f>
        <v>401</v>
      </c>
      <c r="V76" s="883">
        <f>U76</f>
        <v>401</v>
      </c>
      <c r="W76" s="883">
        <f>U76</f>
        <v>401</v>
      </c>
      <c r="X76" s="896">
        <v>1</v>
      </c>
      <c r="Y76" s="896">
        <f>X76</f>
        <v>1</v>
      </c>
      <c r="Z76" s="896">
        <f>Y76</f>
        <v>1</v>
      </c>
      <c r="AA76" s="883">
        <f>U76*X76</f>
        <v>401</v>
      </c>
      <c r="AB76" s="883">
        <f>V76*Y76</f>
        <v>401</v>
      </c>
      <c r="AC76" s="883">
        <f>W76*Z76</f>
        <v>401</v>
      </c>
    </row>
    <row r="77" spans="1:30" ht="30">
      <c r="A77" s="904">
        <v>61</v>
      </c>
      <c r="B77" s="905" t="s">
        <v>950</v>
      </c>
      <c r="C77" s="906">
        <f>[19]Population!L22</f>
        <v>22.8</v>
      </c>
      <c r="D77" s="907">
        <v>89</v>
      </c>
      <c r="E77" s="907">
        <f t="shared" si="62"/>
        <v>390.35087719298247</v>
      </c>
      <c r="F77" s="907">
        <v>16</v>
      </c>
      <c r="G77" s="906">
        <f t="shared" si="63"/>
        <v>70.175438596491219</v>
      </c>
      <c r="H77" s="906">
        <f t="shared" si="64"/>
        <v>5.5625</v>
      </c>
      <c r="I77" s="908" t="s">
        <v>884</v>
      </c>
      <c r="J77" s="909"/>
      <c r="K77" s="909"/>
      <c r="L77" s="909"/>
      <c r="M77" s="847"/>
      <c r="N77" s="908" t="s">
        <v>1315</v>
      </c>
      <c r="O77" s="909" t="s">
        <v>1314</v>
      </c>
      <c r="P77" s="907">
        <f t="shared" si="65"/>
        <v>8</v>
      </c>
      <c r="Q77" s="907">
        <f t="shared" si="66"/>
        <v>128</v>
      </c>
      <c r="R77" s="907">
        <f t="shared" si="67"/>
        <v>100</v>
      </c>
      <c r="S77" s="907">
        <f t="shared" si="68"/>
        <v>182.4</v>
      </c>
      <c r="T77" s="907">
        <f t="shared" si="69"/>
        <v>155</v>
      </c>
      <c r="U77" s="907"/>
      <c r="V77" s="907"/>
      <c r="W77" s="907"/>
      <c r="X77" s="910"/>
      <c r="Y77" s="910"/>
      <c r="Z77" s="910"/>
      <c r="AA77" s="907"/>
      <c r="AB77" s="907"/>
      <c r="AC77" s="907"/>
    </row>
    <row r="78" spans="1:30">
      <c r="A78" s="904">
        <v>62</v>
      </c>
      <c r="B78" s="905" t="s">
        <v>951</v>
      </c>
      <c r="C78" s="906">
        <f>[19]Population!L20</f>
        <v>20.6</v>
      </c>
      <c r="D78" s="907">
        <v>37</v>
      </c>
      <c r="E78" s="907">
        <f t="shared" si="62"/>
        <v>179.61165048543688</v>
      </c>
      <c r="F78" s="907">
        <v>9</v>
      </c>
      <c r="G78" s="906">
        <f t="shared" si="63"/>
        <v>43.689320388349515</v>
      </c>
      <c r="H78" s="906">
        <f t="shared" si="64"/>
        <v>4.1111111111111107</v>
      </c>
      <c r="I78" s="908" t="s">
        <v>884</v>
      </c>
      <c r="J78" s="909"/>
      <c r="K78" s="909"/>
      <c r="L78" s="909"/>
      <c r="M78" s="847"/>
      <c r="N78" s="908" t="s">
        <v>1313</v>
      </c>
      <c r="O78" s="909">
        <v>45</v>
      </c>
      <c r="P78" s="907">
        <f t="shared" si="65"/>
        <v>8</v>
      </c>
      <c r="Q78" s="907">
        <f t="shared" si="66"/>
        <v>72</v>
      </c>
      <c r="R78" s="907">
        <f t="shared" si="67"/>
        <v>100</v>
      </c>
      <c r="S78" s="907">
        <f t="shared" si="68"/>
        <v>164.8</v>
      </c>
      <c r="T78" s="907">
        <f t="shared" si="69"/>
        <v>118</v>
      </c>
      <c r="U78" s="907"/>
      <c r="V78" s="907"/>
      <c r="W78" s="907"/>
      <c r="X78" s="910"/>
      <c r="Y78" s="910"/>
      <c r="Z78" s="910"/>
      <c r="AA78" s="907"/>
      <c r="AB78" s="907"/>
      <c r="AC78" s="907"/>
      <c r="AD78" s="872"/>
    </row>
    <row r="79" spans="1:30">
      <c r="A79" s="897">
        <v>63</v>
      </c>
      <c r="B79" s="898" t="s">
        <v>952</v>
      </c>
      <c r="C79" s="899">
        <f>[19]Population!L24</f>
        <v>36</v>
      </c>
      <c r="D79" s="900">
        <v>39</v>
      </c>
      <c r="E79" s="900">
        <f t="shared" si="62"/>
        <v>108.33333333333333</v>
      </c>
      <c r="F79" s="900">
        <v>15</v>
      </c>
      <c r="G79" s="899">
        <f t="shared" si="63"/>
        <v>41.666666666666664</v>
      </c>
      <c r="H79" s="899">
        <f t="shared" si="64"/>
        <v>2.6</v>
      </c>
      <c r="I79" s="901" t="s">
        <v>882</v>
      </c>
      <c r="J79" s="902">
        <v>1</v>
      </c>
      <c r="K79" s="902"/>
      <c r="L79" s="902">
        <f>J79-K79</f>
        <v>1</v>
      </c>
      <c r="M79" s="900">
        <v>2</v>
      </c>
      <c r="N79" s="901" t="s">
        <v>1313</v>
      </c>
      <c r="O79" s="902">
        <v>85</v>
      </c>
      <c r="P79" s="900">
        <f t="shared" si="65"/>
        <v>8</v>
      </c>
      <c r="Q79" s="900">
        <f t="shared" si="66"/>
        <v>120</v>
      </c>
      <c r="R79" s="900">
        <f t="shared" si="67"/>
        <v>100</v>
      </c>
      <c r="S79" s="900">
        <f t="shared" si="68"/>
        <v>288</v>
      </c>
      <c r="T79" s="900">
        <f t="shared" si="69"/>
        <v>204</v>
      </c>
      <c r="U79" s="900">
        <f>T79</f>
        <v>204</v>
      </c>
      <c r="V79" s="900"/>
      <c r="W79" s="900"/>
      <c r="X79" s="903">
        <v>1.25</v>
      </c>
      <c r="Y79" s="903"/>
      <c r="Z79" s="903"/>
      <c r="AA79" s="900">
        <f>U79*X79</f>
        <v>255</v>
      </c>
      <c r="AB79" s="900"/>
      <c r="AC79" s="900"/>
    </row>
    <row r="80" spans="1:30">
      <c r="A80" s="856">
        <v>64</v>
      </c>
      <c r="B80" s="892" t="s">
        <v>953</v>
      </c>
      <c r="C80" s="893">
        <f>[19]Population!L21</f>
        <v>93.1</v>
      </c>
      <c r="D80" s="883">
        <v>422</v>
      </c>
      <c r="E80" s="883">
        <f t="shared" si="62"/>
        <v>453.27604726100969</v>
      </c>
      <c r="F80" s="883">
        <v>82</v>
      </c>
      <c r="G80" s="893">
        <f t="shared" si="63"/>
        <v>88.077336197636953</v>
      </c>
      <c r="H80" s="893">
        <f t="shared" si="64"/>
        <v>5.1463414634146343</v>
      </c>
      <c r="I80" s="894" t="s">
        <v>880</v>
      </c>
      <c r="J80" s="895">
        <v>1</v>
      </c>
      <c r="K80" s="895"/>
      <c r="L80" s="895">
        <f>J80-K80</f>
        <v>1</v>
      </c>
      <c r="M80" s="883">
        <v>1</v>
      </c>
      <c r="N80" s="894" t="s">
        <v>238</v>
      </c>
      <c r="O80" s="895"/>
      <c r="P80" s="883">
        <f t="shared" si="65"/>
        <v>8</v>
      </c>
      <c r="Q80" s="883">
        <f t="shared" si="66"/>
        <v>656</v>
      </c>
      <c r="R80" s="883">
        <f t="shared" si="67"/>
        <v>100</v>
      </c>
      <c r="S80" s="883">
        <f t="shared" si="68"/>
        <v>744.8</v>
      </c>
      <c r="T80" s="883">
        <f t="shared" si="69"/>
        <v>700</v>
      </c>
      <c r="U80" s="883">
        <f>T80</f>
        <v>700</v>
      </c>
      <c r="V80" s="883">
        <f>U80</f>
        <v>700</v>
      </c>
      <c r="W80" s="883">
        <f>U80</f>
        <v>700</v>
      </c>
      <c r="X80" s="896">
        <v>0.6</v>
      </c>
      <c r="Y80" s="896">
        <f>X80</f>
        <v>0.6</v>
      </c>
      <c r="Z80" s="896">
        <f>Y80</f>
        <v>0.6</v>
      </c>
      <c r="AA80" s="883">
        <f>U80*X80</f>
        <v>420</v>
      </c>
      <c r="AB80" s="883">
        <f>V80*Y80</f>
        <v>420</v>
      </c>
      <c r="AC80" s="883">
        <f>W80*Z80</f>
        <v>420</v>
      </c>
    </row>
    <row r="81" spans="1:29">
      <c r="A81" s="856">
        <v>65</v>
      </c>
      <c r="B81" s="892" t="s">
        <v>954</v>
      </c>
      <c r="C81" s="893">
        <f>[19]Population!L19</f>
        <v>160.6</v>
      </c>
      <c r="D81" s="883">
        <v>1951</v>
      </c>
      <c r="E81" s="883">
        <f t="shared" si="62"/>
        <v>1214.8194271481943</v>
      </c>
      <c r="F81" s="883">
        <v>481</v>
      </c>
      <c r="G81" s="893">
        <f t="shared" si="63"/>
        <v>299.5018679950187</v>
      </c>
      <c r="H81" s="893">
        <f t="shared" si="64"/>
        <v>4.0561330561330564</v>
      </c>
      <c r="I81" s="894" t="s">
        <v>880</v>
      </c>
      <c r="J81" s="895">
        <v>2</v>
      </c>
      <c r="K81" s="895">
        <v>2</v>
      </c>
      <c r="L81" s="895"/>
      <c r="M81" s="895"/>
      <c r="N81" s="894" t="s">
        <v>238</v>
      </c>
      <c r="O81" s="895"/>
      <c r="P81" s="883">
        <f t="shared" si="65"/>
        <v>8</v>
      </c>
      <c r="Q81" s="883">
        <f t="shared" si="66"/>
        <v>3848</v>
      </c>
      <c r="R81" s="883">
        <f t="shared" si="67"/>
        <v>100</v>
      </c>
      <c r="S81" s="883">
        <f t="shared" si="68"/>
        <v>1284.8</v>
      </c>
      <c r="T81" s="883">
        <f t="shared" si="69"/>
        <v>2566</v>
      </c>
      <c r="U81" s="883">
        <f>T81+SUM(T77,T78)</f>
        <v>2839</v>
      </c>
      <c r="V81" s="883">
        <f>U81+U79</f>
        <v>3043</v>
      </c>
      <c r="W81" s="883">
        <f>U81+U79</f>
        <v>3043</v>
      </c>
      <c r="X81" s="896">
        <v>0.85</v>
      </c>
      <c r="Y81" s="896">
        <f>X81</f>
        <v>0.85</v>
      </c>
      <c r="Z81" s="896">
        <f>Y81</f>
        <v>0.85</v>
      </c>
      <c r="AA81" s="883">
        <f>U81*X81</f>
        <v>2413.15</v>
      </c>
      <c r="AB81" s="883">
        <f>V81*Y81</f>
        <v>2586.5499999999997</v>
      </c>
      <c r="AC81" s="883">
        <f>W81*Z81</f>
        <v>2586.5499999999997</v>
      </c>
    </row>
    <row r="82" spans="1:29" s="838" customFormat="1">
      <c r="A82" s="911"/>
      <c r="B82" s="911" t="s">
        <v>960</v>
      </c>
      <c r="C82" s="887">
        <f>[19]Population!L7</f>
        <v>1178.2</v>
      </c>
      <c r="D82" s="888">
        <f>SUM(D83:D86)</f>
        <v>2692</v>
      </c>
      <c r="E82" s="888">
        <f t="shared" si="62"/>
        <v>228.48412833135291</v>
      </c>
      <c r="F82" s="888">
        <f>SUM(F83:F86)</f>
        <v>814</v>
      </c>
      <c r="G82" s="887">
        <f t="shared" si="63"/>
        <v>69.088439993209974</v>
      </c>
      <c r="H82" s="887">
        <f t="shared" si="64"/>
        <v>3.3071253071253071</v>
      </c>
      <c r="I82" s="889"/>
      <c r="J82" s="890">
        <f>SUM(J83:J86)</f>
        <v>4</v>
      </c>
      <c r="K82" s="890">
        <f>SUM(K83:K86)</f>
        <v>0</v>
      </c>
      <c r="L82" s="890">
        <f>SUM(L83:L86)</f>
        <v>4</v>
      </c>
      <c r="M82" s="890"/>
      <c r="N82" s="889"/>
      <c r="O82" s="890"/>
      <c r="P82" s="887">
        <f>Q82/F82</f>
        <v>8</v>
      </c>
      <c r="Q82" s="888">
        <f>SUM(Q83:Q86)</f>
        <v>6512</v>
      </c>
      <c r="R82" s="888">
        <f>(S82*100)/(P82*C82)</f>
        <v>99.999999999999986</v>
      </c>
      <c r="S82" s="888">
        <f>SUM(S83:S86)</f>
        <v>9425.5999999999985</v>
      </c>
      <c r="T82" s="888">
        <f>SUM(T83:T86)</f>
        <v>7969</v>
      </c>
      <c r="U82" s="888">
        <f>SUM(U83:U86)</f>
        <v>7969</v>
      </c>
      <c r="V82" s="888">
        <f>SUM(V83:V86)</f>
        <v>7969</v>
      </c>
      <c r="W82" s="888">
        <f>SUM(W83:W86)</f>
        <v>0</v>
      </c>
      <c r="X82" s="891">
        <f>AA82/U82</f>
        <v>0.4</v>
      </c>
      <c r="Y82" s="891">
        <f>AB82/V82</f>
        <v>0.4</v>
      </c>
      <c r="Z82" s="891" t="e">
        <f>AC82/W82</f>
        <v>#DIV/0!</v>
      </c>
      <c r="AA82" s="888">
        <f>SUM(AA83:AA86)</f>
        <v>3187.6000000000004</v>
      </c>
      <c r="AB82" s="888">
        <f>SUM(AB83:AB86)</f>
        <v>3187.6000000000004</v>
      </c>
      <c r="AC82" s="888">
        <f>SUM(AC83:AC86)</f>
        <v>0</v>
      </c>
    </row>
    <row r="83" spans="1:29">
      <c r="A83" s="913">
        <v>66</v>
      </c>
      <c r="B83" s="914" t="s">
        <v>956</v>
      </c>
      <c r="C83" s="915">
        <f>ROUND(C$82*37%,1)</f>
        <v>435.9</v>
      </c>
      <c r="D83" s="916">
        <v>992</v>
      </c>
      <c r="E83" s="916">
        <f t="shared" si="62"/>
        <v>227.57513191098877</v>
      </c>
      <c r="F83" s="916">
        <v>244</v>
      </c>
      <c r="G83" s="915">
        <f t="shared" si="63"/>
        <v>55.976141316815784</v>
      </c>
      <c r="H83" s="915">
        <f t="shared" si="64"/>
        <v>4.0655737704918034</v>
      </c>
      <c r="I83" s="917" t="s">
        <v>1776</v>
      </c>
      <c r="J83" s="918">
        <v>1</v>
      </c>
      <c r="K83" s="918"/>
      <c r="L83" s="918">
        <f>J83-K83</f>
        <v>1</v>
      </c>
      <c r="M83" s="916">
        <v>1</v>
      </c>
      <c r="N83" s="917" t="s">
        <v>1290</v>
      </c>
      <c r="O83" s="918"/>
      <c r="P83" s="916">
        <f t="shared" ref="P83:P86" si="70">P$8</f>
        <v>8</v>
      </c>
      <c r="Q83" s="916">
        <f t="shared" ref="Q83:Q86" si="71">F83*P83</f>
        <v>1952</v>
      </c>
      <c r="R83" s="916">
        <f t="shared" ref="R83:R86" si="72">R$8</f>
        <v>100</v>
      </c>
      <c r="S83" s="916">
        <f t="shared" ref="S83:S86" si="73">R83*P83*C83/100</f>
        <v>3487.2</v>
      </c>
      <c r="T83" s="916">
        <f t="shared" ref="T83:T86" si="74">ROUND(AVERAGE(Q83,S83),0)</f>
        <v>2720</v>
      </c>
      <c r="U83" s="916">
        <f>T83</f>
        <v>2720</v>
      </c>
      <c r="V83" s="916">
        <f>U83</f>
        <v>2720</v>
      </c>
      <c r="W83" s="916"/>
      <c r="X83" s="919">
        <v>0.4</v>
      </c>
      <c r="Y83" s="919">
        <f>X83</f>
        <v>0.4</v>
      </c>
      <c r="Z83" s="919">
        <f>Y83</f>
        <v>0.4</v>
      </c>
      <c r="AA83" s="916">
        <f t="shared" ref="AA83:AB86" si="75">U83*X83</f>
        <v>1088</v>
      </c>
      <c r="AB83" s="916">
        <f t="shared" si="75"/>
        <v>1088</v>
      </c>
      <c r="AC83" s="916"/>
    </row>
    <row r="84" spans="1:29">
      <c r="A84" s="913">
        <v>67</v>
      </c>
      <c r="B84" s="914" t="s">
        <v>957</v>
      </c>
      <c r="C84" s="915">
        <f>ROUND(C$82*31%,1)</f>
        <v>365.2</v>
      </c>
      <c r="D84" s="916">
        <v>847</v>
      </c>
      <c r="E84" s="916">
        <f t="shared" si="62"/>
        <v>231.92771084337349</v>
      </c>
      <c r="F84" s="916">
        <v>282</v>
      </c>
      <c r="G84" s="915">
        <f t="shared" si="63"/>
        <v>77.217962760131442</v>
      </c>
      <c r="H84" s="915">
        <f t="shared" si="64"/>
        <v>3.0035460992907801</v>
      </c>
      <c r="I84" s="917" t="s">
        <v>1776</v>
      </c>
      <c r="J84" s="918">
        <v>1</v>
      </c>
      <c r="K84" s="918"/>
      <c r="L84" s="918">
        <f>J84-K84</f>
        <v>1</v>
      </c>
      <c r="M84" s="916">
        <v>1</v>
      </c>
      <c r="N84" s="917" t="s">
        <v>1290</v>
      </c>
      <c r="O84" s="918"/>
      <c r="P84" s="916">
        <f t="shared" si="70"/>
        <v>8</v>
      </c>
      <c r="Q84" s="916">
        <f t="shared" si="71"/>
        <v>2256</v>
      </c>
      <c r="R84" s="916">
        <f t="shared" si="72"/>
        <v>100</v>
      </c>
      <c r="S84" s="916">
        <f t="shared" si="73"/>
        <v>2921.6</v>
      </c>
      <c r="T84" s="916">
        <f t="shared" si="74"/>
        <v>2589</v>
      </c>
      <c r="U84" s="916">
        <f t="shared" ref="U84:V86" si="76">T84</f>
        <v>2589</v>
      </c>
      <c r="V84" s="916">
        <f t="shared" si="76"/>
        <v>2589</v>
      </c>
      <c r="W84" s="916"/>
      <c r="X84" s="919">
        <v>0.4</v>
      </c>
      <c r="Y84" s="919">
        <f t="shared" ref="Y84:Z86" si="77">X84</f>
        <v>0.4</v>
      </c>
      <c r="Z84" s="919">
        <f t="shared" si="77"/>
        <v>0.4</v>
      </c>
      <c r="AA84" s="916">
        <f t="shared" si="75"/>
        <v>1035.6000000000001</v>
      </c>
      <c r="AB84" s="916">
        <f t="shared" si="75"/>
        <v>1035.6000000000001</v>
      </c>
      <c r="AC84" s="916"/>
    </row>
    <row r="85" spans="1:29">
      <c r="A85" s="913">
        <v>68</v>
      </c>
      <c r="B85" s="914" t="s">
        <v>958</v>
      </c>
      <c r="C85" s="915">
        <f>ROUND(C$82*18%,1)</f>
        <v>212.1</v>
      </c>
      <c r="D85" s="916">
        <v>492</v>
      </c>
      <c r="E85" s="916">
        <f t="shared" si="62"/>
        <v>231.96605374823199</v>
      </c>
      <c r="F85" s="916">
        <v>157</v>
      </c>
      <c r="G85" s="915">
        <f t="shared" si="63"/>
        <v>74.021687883074023</v>
      </c>
      <c r="H85" s="915">
        <f t="shared" si="64"/>
        <v>3.1337579617834397</v>
      </c>
      <c r="I85" s="917" t="s">
        <v>1776</v>
      </c>
      <c r="J85" s="918">
        <v>1</v>
      </c>
      <c r="K85" s="918"/>
      <c r="L85" s="918">
        <f>J85-K85</f>
        <v>1</v>
      </c>
      <c r="M85" s="916">
        <v>1</v>
      </c>
      <c r="N85" s="917" t="s">
        <v>1290</v>
      </c>
      <c r="O85" s="918"/>
      <c r="P85" s="916">
        <f t="shared" si="70"/>
        <v>8</v>
      </c>
      <c r="Q85" s="916">
        <f t="shared" si="71"/>
        <v>1256</v>
      </c>
      <c r="R85" s="916">
        <f t="shared" si="72"/>
        <v>100</v>
      </c>
      <c r="S85" s="916">
        <f t="shared" si="73"/>
        <v>1696.8</v>
      </c>
      <c r="T85" s="916">
        <f t="shared" si="74"/>
        <v>1476</v>
      </c>
      <c r="U85" s="916">
        <f t="shared" si="76"/>
        <v>1476</v>
      </c>
      <c r="V85" s="916">
        <f t="shared" si="76"/>
        <v>1476</v>
      </c>
      <c r="W85" s="916"/>
      <c r="X85" s="919">
        <v>0.4</v>
      </c>
      <c r="Y85" s="919">
        <f t="shared" si="77"/>
        <v>0.4</v>
      </c>
      <c r="Z85" s="919">
        <f t="shared" si="77"/>
        <v>0.4</v>
      </c>
      <c r="AA85" s="916">
        <f t="shared" si="75"/>
        <v>590.4</v>
      </c>
      <c r="AB85" s="916">
        <f t="shared" si="75"/>
        <v>590.4</v>
      </c>
      <c r="AC85" s="916"/>
    </row>
    <row r="86" spans="1:29">
      <c r="A86" s="913">
        <v>69</v>
      </c>
      <c r="B86" s="914" t="s">
        <v>959</v>
      </c>
      <c r="C86" s="915">
        <f>ROUNDUP(C$82*14%,1)</f>
        <v>165</v>
      </c>
      <c r="D86" s="916">
        <v>361</v>
      </c>
      <c r="E86" s="916">
        <f t="shared" si="62"/>
        <v>218.78787878787878</v>
      </c>
      <c r="F86" s="916">
        <v>131</v>
      </c>
      <c r="G86" s="915">
        <f t="shared" si="63"/>
        <v>79.393939393939391</v>
      </c>
      <c r="H86" s="915">
        <f t="shared" si="64"/>
        <v>2.7557251908396947</v>
      </c>
      <c r="I86" s="917" t="s">
        <v>1776</v>
      </c>
      <c r="J86" s="918">
        <v>1</v>
      </c>
      <c r="K86" s="918"/>
      <c r="L86" s="918">
        <f>J86-K86</f>
        <v>1</v>
      </c>
      <c r="M86" s="916">
        <v>1</v>
      </c>
      <c r="N86" s="917" t="s">
        <v>1290</v>
      </c>
      <c r="O86" s="918"/>
      <c r="P86" s="916">
        <f t="shared" si="70"/>
        <v>8</v>
      </c>
      <c r="Q86" s="916">
        <f t="shared" si="71"/>
        <v>1048</v>
      </c>
      <c r="R86" s="916">
        <f t="shared" si="72"/>
        <v>100</v>
      </c>
      <c r="S86" s="916">
        <f t="shared" si="73"/>
        <v>1320</v>
      </c>
      <c r="T86" s="916">
        <f t="shared" si="74"/>
        <v>1184</v>
      </c>
      <c r="U86" s="916">
        <f t="shared" si="76"/>
        <v>1184</v>
      </c>
      <c r="V86" s="916">
        <f t="shared" si="76"/>
        <v>1184</v>
      </c>
      <c r="W86" s="916"/>
      <c r="X86" s="919">
        <v>0.4</v>
      </c>
      <c r="Y86" s="919">
        <f t="shared" si="77"/>
        <v>0.4</v>
      </c>
      <c r="Z86" s="919">
        <f t="shared" si="77"/>
        <v>0.4</v>
      </c>
      <c r="AA86" s="916">
        <f t="shared" si="75"/>
        <v>473.6</v>
      </c>
      <c r="AB86" s="916">
        <f t="shared" si="75"/>
        <v>473.6</v>
      </c>
      <c r="AC86" s="916"/>
    </row>
    <row r="87" spans="1:29" s="838" customFormat="1" ht="31.5">
      <c r="A87" s="860"/>
      <c r="B87" s="860" t="s">
        <v>1274</v>
      </c>
      <c r="C87" s="862">
        <f>SUM(C7,C13,C22,C27,C35,C45,C53,C57,C66,C67,C75,C82)</f>
        <v>4492.2</v>
      </c>
      <c r="D87" s="861">
        <f>SUM(D7,D13,D22,D27,D35,D45,D53,D57,D66,D67,D75,D82)</f>
        <v>16176</v>
      </c>
      <c r="E87" s="861">
        <f t="shared" si="62"/>
        <v>360.09082409509818</v>
      </c>
      <c r="F87" s="861">
        <f>SUM(F7,F13,F22,F27,F35,F45,F53,F57,F66,F67,F75,F82)</f>
        <v>3607</v>
      </c>
      <c r="G87" s="862">
        <f t="shared" si="63"/>
        <v>80.294733092916616</v>
      </c>
      <c r="H87" s="862">
        <f t="shared" si="64"/>
        <v>4.4846132520099804</v>
      </c>
      <c r="I87" s="932"/>
      <c r="J87" s="933">
        <f>SUM(J7,J13,J22,J27,J35,J45,J53,J57,J66,J67,J75,J82)</f>
        <v>47</v>
      </c>
      <c r="K87" s="933">
        <f>SUM(K7,K13,K22,K27,K35,K45,K53,K57,K66,K67,K75,K82)</f>
        <v>10</v>
      </c>
      <c r="L87" s="933">
        <f>SUM(L7,L13,L22,L27,L35,L45,L53,L57,L66,L67,L75,L82)</f>
        <v>37</v>
      </c>
      <c r="M87" s="933"/>
      <c r="N87" s="932"/>
      <c r="O87" s="933"/>
      <c r="P87" s="862">
        <f>Q87/F87</f>
        <v>8.0345624249145171</v>
      </c>
      <c r="Q87" s="861">
        <f>SUM(Q7,Q13,Q22,Q27,Q35,Q45,Q53,Q57,Q66,Q67,Q75,Q82)</f>
        <v>28980.666666666664</v>
      </c>
      <c r="R87" s="861">
        <f>(S87*100)/(P87*C87)</f>
        <v>100.28797571315421</v>
      </c>
      <c r="S87" s="861">
        <f>SUM(S7,S13,S22,S27,S35,S45,S53,S57,S66,S67,S75,S82)</f>
        <v>36196.799999999996</v>
      </c>
      <c r="T87" s="861">
        <f>SUM(T7,T13,T22,T27,T35,T45,T53,T57,T66,T67,T75,T82)</f>
        <v>32589</v>
      </c>
      <c r="U87" s="861">
        <f>SUM(U7,U13,U22,U27,U35,U45,U53,U57,U66,U67,U75,U82)</f>
        <v>32127</v>
      </c>
      <c r="V87" s="861">
        <f>SUM(V7,V13,V22,V27,V35,V45,V53,V57,V66,V67,V75,V82)</f>
        <v>31779</v>
      </c>
      <c r="W87" s="861">
        <f>SUM(W7,W13,W22,W27,W35,W45,W53,W57,W66,W67,W75,W82)</f>
        <v>23371</v>
      </c>
      <c r="X87" s="863">
        <f>AA87/U87</f>
        <v>0.80628598997727774</v>
      </c>
      <c r="Y87" s="863">
        <f>AB87/V87</f>
        <v>0.77829856194342184</v>
      </c>
      <c r="Z87" s="863">
        <f>AC87/W87</f>
        <v>0.85808052714903094</v>
      </c>
      <c r="AA87" s="861">
        <f>SUM(AA7,AA13,AA22,AA27,AA35,AA45,AA53,AA57,AA66,AA67,AA75,AA82)</f>
        <v>25903.550000000003</v>
      </c>
      <c r="AB87" s="861">
        <f>SUM(AB7,AB13,AB22,AB27,AB35,AB45,AB53,AB57,AB66,AB67,AB75,AB82)</f>
        <v>24733.550000000003</v>
      </c>
      <c r="AC87" s="861">
        <f>SUM(AC7,AC13,AC22,AC27,AC35,AC45,AC53,AC57,AC66,AC67,AC75,AC82)</f>
        <v>20054.2</v>
      </c>
    </row>
    <row r="88" spans="1:29">
      <c r="A88" s="925">
        <v>70</v>
      </c>
      <c r="B88" s="926" t="s">
        <v>1272</v>
      </c>
      <c r="C88" s="927"/>
      <c r="D88" s="928">
        <v>4765</v>
      </c>
      <c r="E88" s="928"/>
      <c r="F88" s="928">
        <v>485</v>
      </c>
      <c r="G88" s="927"/>
      <c r="H88" s="927">
        <f t="shared" si="64"/>
        <v>9.8247422680412377</v>
      </c>
      <c r="I88" s="929" t="s">
        <v>880</v>
      </c>
      <c r="J88" s="930">
        <v>4</v>
      </c>
      <c r="K88" s="930">
        <v>4</v>
      </c>
      <c r="L88" s="930"/>
      <c r="M88" s="929"/>
      <c r="N88" s="929"/>
      <c r="O88" s="930"/>
      <c r="P88" s="927"/>
      <c r="Q88" s="928"/>
      <c r="R88" s="928"/>
      <c r="S88" s="928"/>
      <c r="T88" s="928"/>
      <c r="U88" s="928"/>
      <c r="V88" s="928"/>
      <c r="W88" s="928"/>
      <c r="X88" s="931"/>
      <c r="Y88" s="931"/>
      <c r="Z88" s="931"/>
      <c r="AA88" s="928">
        <f>AA87*15%</f>
        <v>3885.5325000000003</v>
      </c>
      <c r="AB88" s="928">
        <f>AB87*20%</f>
        <v>4946.7100000000009</v>
      </c>
      <c r="AC88" s="928">
        <f>AC87*30%</f>
        <v>6016.26</v>
      </c>
    </row>
    <row r="89" spans="1:29" s="838" customFormat="1" ht="15.75">
      <c r="A89" s="860"/>
      <c r="B89" s="860" t="s">
        <v>1275</v>
      </c>
      <c r="C89" s="862">
        <f>C87</f>
        <v>4492.2</v>
      </c>
      <c r="D89" s="861">
        <f>SUM(D87,D88)</f>
        <v>20941</v>
      </c>
      <c r="E89" s="861">
        <f t="shared" si="62"/>
        <v>466.16357241440721</v>
      </c>
      <c r="F89" s="861">
        <f>SUM(F87,F88)</f>
        <v>4092</v>
      </c>
      <c r="G89" s="862">
        <f t="shared" si="63"/>
        <v>91.091224789635376</v>
      </c>
      <c r="H89" s="862">
        <f t="shared" si="64"/>
        <v>5.1175464320625608</v>
      </c>
      <c r="I89" s="932"/>
      <c r="J89" s="933">
        <f>SUM(J87,J88)</f>
        <v>51</v>
      </c>
      <c r="K89" s="933">
        <f>SUM(K87,K88)</f>
        <v>14</v>
      </c>
      <c r="L89" s="933">
        <f>SUM(L87,L88)</f>
        <v>37</v>
      </c>
      <c r="M89" s="933"/>
      <c r="N89" s="932"/>
      <c r="O89" s="933"/>
      <c r="P89" s="862">
        <f>Q89/F89</f>
        <v>7.082274356467904</v>
      </c>
      <c r="Q89" s="861">
        <f>SUM(Q87,Q88)</f>
        <v>28980.666666666664</v>
      </c>
      <c r="R89" s="861">
        <f>(S89*100)/(P89*C89)</f>
        <v>113.77277422185389</v>
      </c>
      <c r="S89" s="861">
        <f>SUM(S87,S88)</f>
        <v>36196.799999999996</v>
      </c>
      <c r="T89" s="861">
        <f>SUM(T87,T88)</f>
        <v>32589</v>
      </c>
      <c r="U89" s="861">
        <f>SUM(U87,U88)</f>
        <v>32127</v>
      </c>
      <c r="V89" s="861">
        <f>SUM(V87,V88)</f>
        <v>31779</v>
      </c>
      <c r="W89" s="861">
        <f>SUM(W87,W88)</f>
        <v>23371</v>
      </c>
      <c r="X89" s="863">
        <f>AA89/U89</f>
        <v>0.92722888847386942</v>
      </c>
      <c r="Y89" s="863">
        <f>AB89/V89</f>
        <v>0.93395827433210621</v>
      </c>
      <c r="Z89" s="863">
        <f>AC89/W89</f>
        <v>1.11550468529374</v>
      </c>
      <c r="AA89" s="861">
        <f>SUM(AA87,AA88)</f>
        <v>29789.082500000004</v>
      </c>
      <c r="AB89" s="861">
        <f>SUM(AB87,AB88)</f>
        <v>29680.260000000002</v>
      </c>
      <c r="AC89" s="861">
        <f>SUM(AC87,AC88)</f>
        <v>26070.46</v>
      </c>
    </row>
    <row r="90" spans="1:29" s="838" customFormat="1">
      <c r="A90" s="925">
        <v>71</v>
      </c>
      <c r="B90" s="926" t="s">
        <v>1323</v>
      </c>
      <c r="C90" s="927">
        <v>7</v>
      </c>
      <c r="D90" s="928"/>
      <c r="E90" s="928"/>
      <c r="F90" s="928">
        <v>228</v>
      </c>
      <c r="G90" s="927"/>
      <c r="H90" s="927"/>
      <c r="I90" s="929" t="s">
        <v>880</v>
      </c>
      <c r="J90" s="930">
        <v>2</v>
      </c>
      <c r="K90" s="930">
        <v>2</v>
      </c>
      <c r="L90" s="930"/>
      <c r="M90" s="929"/>
      <c r="N90" s="929"/>
      <c r="O90" s="930"/>
      <c r="P90" s="928"/>
      <c r="Q90" s="928">
        <v>2000</v>
      </c>
      <c r="R90" s="928"/>
      <c r="S90" s="928">
        <f>Q90</f>
        <v>2000</v>
      </c>
      <c r="T90" s="928">
        <f t="shared" ref="T90:T91" si="78">ROUND(AVERAGE(Q90,S90),0)</f>
        <v>2000</v>
      </c>
      <c r="U90" s="928">
        <v>2000</v>
      </c>
      <c r="V90" s="928">
        <v>2000</v>
      </c>
      <c r="W90" s="928">
        <v>2000</v>
      </c>
      <c r="X90" s="931">
        <v>0.75</v>
      </c>
      <c r="Y90" s="931">
        <f>X90</f>
        <v>0.75</v>
      </c>
      <c r="Z90" s="931">
        <f>Y90</f>
        <v>0.75</v>
      </c>
      <c r="AA90" s="928">
        <f t="shared" ref="AA90:AC91" si="79">U90*X90</f>
        <v>1500</v>
      </c>
      <c r="AB90" s="928">
        <f t="shared" si="79"/>
        <v>1500</v>
      </c>
      <c r="AC90" s="928">
        <f t="shared" si="79"/>
        <v>1500</v>
      </c>
    </row>
    <row r="91" spans="1:29" s="838" customFormat="1">
      <c r="A91" s="925">
        <v>72</v>
      </c>
      <c r="B91" s="926" t="s">
        <v>1324</v>
      </c>
      <c r="C91" s="927"/>
      <c r="D91" s="928"/>
      <c r="E91" s="928"/>
      <c r="F91" s="928"/>
      <c r="G91" s="927"/>
      <c r="H91" s="927"/>
      <c r="I91" s="929" t="s">
        <v>880</v>
      </c>
      <c r="J91" s="930">
        <v>1</v>
      </c>
      <c r="K91" s="930">
        <v>1</v>
      </c>
      <c r="L91" s="930"/>
      <c r="M91" s="929"/>
      <c r="N91" s="929"/>
      <c r="O91" s="930"/>
      <c r="P91" s="928"/>
      <c r="Q91" s="928">
        <v>1000</v>
      </c>
      <c r="R91" s="928"/>
      <c r="S91" s="928">
        <f>Q91</f>
        <v>1000</v>
      </c>
      <c r="T91" s="928">
        <f t="shared" si="78"/>
        <v>1000</v>
      </c>
      <c r="U91" s="928">
        <f>ROUND(5200*20%,-2)</f>
        <v>1000</v>
      </c>
      <c r="V91" s="928">
        <f>U91</f>
        <v>1000</v>
      </c>
      <c r="W91" s="928">
        <f>V91</f>
        <v>1000</v>
      </c>
      <c r="X91" s="931">
        <v>0.5</v>
      </c>
      <c r="Y91" s="931">
        <f>X91</f>
        <v>0.5</v>
      </c>
      <c r="Z91" s="931">
        <f>Y91</f>
        <v>0.5</v>
      </c>
      <c r="AA91" s="928">
        <f t="shared" si="79"/>
        <v>500</v>
      </c>
      <c r="AB91" s="928">
        <f t="shared" si="79"/>
        <v>500</v>
      </c>
      <c r="AC91" s="928">
        <f t="shared" si="79"/>
        <v>500</v>
      </c>
    </row>
    <row r="92" spans="1:29" s="838" customFormat="1" ht="26.65" customHeight="1">
      <c r="A92" s="860"/>
      <c r="B92" s="860" t="s">
        <v>1325</v>
      </c>
      <c r="C92" s="862">
        <f>C89</f>
        <v>4492.2</v>
      </c>
      <c r="D92" s="861">
        <f>SUM(D89:D91)</f>
        <v>20941</v>
      </c>
      <c r="E92" s="861">
        <f t="shared" ref="E92" si="80">D92*100/C92</f>
        <v>466.16357241440721</v>
      </c>
      <c r="F92" s="861">
        <f>SUM(F89:F91)</f>
        <v>4320</v>
      </c>
      <c r="G92" s="862">
        <f t="shared" ref="G92" si="81">F92*100/C92</f>
        <v>96.166688927474297</v>
      </c>
      <c r="H92" s="862">
        <f t="shared" ref="H92" si="82">D92/F92</f>
        <v>4.847453703703704</v>
      </c>
      <c r="I92" s="932"/>
      <c r="J92" s="933">
        <f t="shared" ref="J92:L92" si="83">SUM(J89:J91)</f>
        <v>54</v>
      </c>
      <c r="K92" s="933">
        <f t="shared" si="83"/>
        <v>17</v>
      </c>
      <c r="L92" s="933">
        <f t="shared" si="83"/>
        <v>37</v>
      </c>
      <c r="M92" s="933"/>
      <c r="N92" s="932"/>
      <c r="O92" s="933"/>
      <c r="P92" s="862">
        <f>Q92/F92</f>
        <v>7.4029320987654312</v>
      </c>
      <c r="Q92" s="861">
        <f>SUM(Q89:Q91)</f>
        <v>31980.666666666664</v>
      </c>
      <c r="R92" s="861">
        <f>(S92*100)/(P92*C92)</f>
        <v>117.86578784742107</v>
      </c>
      <c r="S92" s="861">
        <f>SUM(S89:S91)</f>
        <v>39196.799999999996</v>
      </c>
      <c r="T92" s="861">
        <f>SUM(T89:T91)</f>
        <v>35589</v>
      </c>
      <c r="U92" s="861">
        <f>SUM(U89:U91)</f>
        <v>35127</v>
      </c>
      <c r="V92" s="861">
        <f>SUM(V89:V91)</f>
        <v>34779</v>
      </c>
      <c r="W92" s="861">
        <f>SUM(W89:W91)</f>
        <v>26371</v>
      </c>
      <c r="X92" s="863">
        <f>AA92/U92</f>
        <v>0.904975730919236</v>
      </c>
      <c r="Y92" s="863">
        <f>AB92/V92</f>
        <v>0.91090198108053722</v>
      </c>
      <c r="Z92" s="863">
        <f>AC92/W92</f>
        <v>1.0644442759091426</v>
      </c>
      <c r="AA92" s="861">
        <f t="shared" ref="AA92:AC92" si="84">SUM(AA89:AA91)</f>
        <v>31789.082500000004</v>
      </c>
      <c r="AB92" s="861">
        <f t="shared" si="84"/>
        <v>31680.260000000002</v>
      </c>
      <c r="AC92" s="861">
        <f t="shared" si="84"/>
        <v>28070.46</v>
      </c>
    </row>
    <row r="93" spans="1:29">
      <c r="Y93" s="872"/>
    </row>
    <row r="94" spans="1:29">
      <c r="B94" s="934" t="s">
        <v>961</v>
      </c>
      <c r="E94" s="835"/>
      <c r="I94" s="935"/>
      <c r="J94" s="935"/>
      <c r="K94" s="935"/>
      <c r="L94" s="935"/>
      <c r="N94" s="935"/>
      <c r="O94" s="835"/>
      <c r="P94" s="834"/>
      <c r="Q94" s="834"/>
      <c r="R94" s="834"/>
      <c r="V94" s="872"/>
    </row>
    <row r="95" spans="1:29" ht="4.5" customHeight="1">
      <c r="B95" s="834"/>
      <c r="E95" s="835"/>
      <c r="I95" s="935"/>
      <c r="J95" s="935"/>
      <c r="K95" s="935"/>
      <c r="L95" s="935"/>
      <c r="N95" s="935"/>
      <c r="O95" s="835"/>
      <c r="P95" s="834"/>
      <c r="Q95" s="834"/>
      <c r="R95" s="834"/>
    </row>
    <row r="96" spans="1:29">
      <c r="B96" s="904" t="s">
        <v>880</v>
      </c>
      <c r="C96" s="936">
        <f>COUNTIF(I7:I91,"Yes")</f>
        <v>25</v>
      </c>
      <c r="E96" s="835"/>
      <c r="I96" s="935"/>
      <c r="J96" s="935"/>
      <c r="K96" s="935"/>
      <c r="L96" s="935"/>
      <c r="N96" s="935"/>
      <c r="O96" s="835"/>
      <c r="P96" s="834"/>
      <c r="Q96" s="834"/>
      <c r="R96" s="834"/>
    </row>
    <row r="97" spans="2:18">
      <c r="B97" s="904" t="s">
        <v>882</v>
      </c>
      <c r="C97" s="936">
        <f>COUNTIF(I7:I91,"Probably")</f>
        <v>11</v>
      </c>
      <c r="E97" s="835"/>
      <c r="I97" s="935"/>
      <c r="J97" s="935"/>
      <c r="K97" s="935"/>
      <c r="L97" s="935"/>
      <c r="N97" s="935"/>
      <c r="O97" s="835"/>
      <c r="P97" s="834"/>
      <c r="Q97" s="834"/>
      <c r="R97" s="834"/>
    </row>
    <row r="98" spans="2:18">
      <c r="B98" s="904" t="s">
        <v>884</v>
      </c>
      <c r="C98" s="937">
        <f>COUNTIF(I7:I91,"No")</f>
        <v>24</v>
      </c>
      <c r="O98" s="871"/>
      <c r="P98" s="834"/>
      <c r="Q98" s="834"/>
      <c r="R98" s="834"/>
    </row>
    <row r="99" spans="2:18">
      <c r="B99" s="938" t="s">
        <v>1276</v>
      </c>
      <c r="C99" s="939">
        <f>SUM(C96:C98)</f>
        <v>60</v>
      </c>
      <c r="O99" s="871"/>
      <c r="P99" s="834"/>
      <c r="Q99" s="834"/>
      <c r="R99" s="834"/>
    </row>
    <row r="100" spans="2:18">
      <c r="O100" s="871"/>
      <c r="P100" s="834"/>
      <c r="Q100" s="834"/>
      <c r="R100" s="834"/>
    </row>
    <row r="101" spans="2:18">
      <c r="B101" s="934" t="s">
        <v>1280</v>
      </c>
      <c r="O101" s="871"/>
      <c r="P101" s="834"/>
      <c r="Q101" s="834"/>
      <c r="R101" s="834"/>
    </row>
    <row r="102" spans="2:18" ht="4.1500000000000004" customHeight="1">
      <c r="B102" s="834"/>
      <c r="O102" s="871"/>
      <c r="P102" s="834"/>
      <c r="Q102" s="834"/>
      <c r="R102" s="834"/>
    </row>
    <row r="103" spans="2:18">
      <c r="B103" s="940" t="s">
        <v>1277</v>
      </c>
      <c r="C103" s="936">
        <f>COUNTIF(M8:M91,1)</f>
        <v>26</v>
      </c>
      <c r="O103" s="871"/>
      <c r="P103" s="834"/>
      <c r="Q103" s="834"/>
      <c r="R103" s="834"/>
    </row>
    <row r="104" spans="2:18">
      <c r="B104" s="940" t="s">
        <v>1731</v>
      </c>
      <c r="C104" s="936">
        <f>COUNTIF(M8:M91,2)</f>
        <v>11</v>
      </c>
      <c r="O104" s="871"/>
      <c r="P104" s="834"/>
      <c r="Q104" s="834"/>
      <c r="R104" s="834"/>
    </row>
    <row r="105" spans="2:18" ht="30">
      <c r="B105" s="938" t="s">
        <v>1279</v>
      </c>
      <c r="C105" s="939">
        <f>SUM(C103:C104)</f>
        <v>37</v>
      </c>
      <c r="O105" s="871"/>
      <c r="P105" s="834"/>
      <c r="Q105" s="834"/>
      <c r="R105" s="834"/>
    </row>
    <row r="106" spans="2:18">
      <c r="O106" s="871"/>
      <c r="P106" s="834"/>
      <c r="Q106" s="834"/>
      <c r="R106" s="834"/>
    </row>
  </sheetData>
  <mergeCells count="19">
    <mergeCell ref="Q2:Q4"/>
    <mergeCell ref="R2:R4"/>
    <mergeCell ref="P5:P6"/>
    <mergeCell ref="C2:C4"/>
    <mergeCell ref="D2:D4"/>
    <mergeCell ref="E2:E4"/>
    <mergeCell ref="P2:P4"/>
    <mergeCell ref="A5:A6"/>
    <mergeCell ref="B5:B6"/>
    <mergeCell ref="I5:I6"/>
    <mergeCell ref="J5:M5"/>
    <mergeCell ref="N5:O5"/>
    <mergeCell ref="AA5:AC5"/>
    <mergeCell ref="Q5:Q6"/>
    <mergeCell ref="R5:R6"/>
    <mergeCell ref="S5:S6"/>
    <mergeCell ref="T5:T6"/>
    <mergeCell ref="U5:W5"/>
    <mergeCell ref="X5:Z5"/>
  </mergeCells>
  <pageMargins left="0.25" right="0.25" top="0.25" bottom="0.25" header="0.3" footer="0.3"/>
  <pageSetup paperSize="9" scale="39" fitToWidth="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85"/>
  <sheetViews>
    <sheetView topLeftCell="A51" zoomScale="80" zoomScaleNormal="80" zoomScaleSheetLayoutView="120" workbookViewId="0">
      <pane xSplit="2" topLeftCell="C1" activePane="topRight" state="frozen"/>
      <selection pane="topRight" activeCell="G82" sqref="G82"/>
    </sheetView>
  </sheetViews>
  <sheetFormatPr defaultColWidth="9.140625" defaultRowHeight="15"/>
  <cols>
    <col min="1" max="1" width="8.42578125" style="834" customWidth="1"/>
    <col min="2" max="2" width="40.85546875" style="871" customWidth="1"/>
    <col min="3" max="3" width="7.5703125" style="871" customWidth="1"/>
    <col min="4" max="5" width="8.5703125" style="871" customWidth="1"/>
    <col min="6" max="6" width="8.5703125" style="834" customWidth="1"/>
    <col min="7" max="7" width="10.140625" style="834" customWidth="1"/>
    <col min="8" max="9" width="8.5703125" style="871" customWidth="1"/>
    <col min="10" max="11" width="8.5703125" style="834" customWidth="1"/>
    <col min="12" max="13" width="8.5703125" style="871" customWidth="1"/>
    <col min="14" max="15" width="8.5703125" style="834" customWidth="1"/>
    <col min="16" max="27" width="5.5703125" style="834" customWidth="1"/>
    <col min="28" max="28" width="6.5703125" style="834" customWidth="1"/>
    <col min="29" max="40" width="5.5703125" style="834" customWidth="1"/>
    <col min="41" max="41" width="6.5703125" style="834" customWidth="1"/>
    <col min="42" max="53" width="5.5703125" style="834" customWidth="1"/>
    <col min="54" max="54" width="6.5703125" style="834" customWidth="1"/>
    <col min="55" max="66" width="5.5703125" style="834" customWidth="1"/>
    <col min="67" max="67" width="7.5703125" style="834" customWidth="1"/>
    <col min="68" max="79" width="5.5703125" style="834" customWidth="1"/>
    <col min="80" max="80" width="7.5703125" style="834" customWidth="1"/>
    <col min="81" max="85" width="5.5703125" style="834" customWidth="1"/>
    <col min="86" max="86" width="10.42578125" style="834" customWidth="1"/>
    <col min="87" max="87" width="10.5703125" style="834" customWidth="1"/>
    <col min="88" max="88" width="9.7109375" style="834" customWidth="1"/>
    <col min="89" max="91" width="9" style="834" customWidth="1"/>
    <col min="92" max="92" width="8.5703125" style="834" customWidth="1"/>
    <col min="93" max="93" width="12.42578125" style="834" customWidth="1"/>
    <col min="94" max="187" width="9.140625" style="834"/>
    <col min="188" max="188" width="35.5703125" style="834" customWidth="1"/>
    <col min="189" max="260" width="9.140625" style="834" customWidth="1"/>
    <col min="261" max="261" width="19.7109375" style="834" customWidth="1"/>
    <col min="262" max="262" width="11.5703125" style="834" customWidth="1"/>
    <col min="263" max="264" width="11.28515625" style="834" customWidth="1"/>
    <col min="265" max="443" width="9.140625" style="834"/>
    <col min="444" max="444" width="35.5703125" style="834" customWidth="1"/>
    <col min="445" max="516" width="9.140625" style="834" customWidth="1"/>
    <col min="517" max="517" width="19.7109375" style="834" customWidth="1"/>
    <col min="518" max="518" width="11.5703125" style="834" customWidth="1"/>
    <col min="519" max="520" width="11.28515625" style="834" customWidth="1"/>
    <col min="521" max="699" width="9.140625" style="834"/>
    <col min="700" max="700" width="35.5703125" style="834" customWidth="1"/>
    <col min="701" max="772" width="9.140625" style="834" customWidth="1"/>
    <col min="773" max="773" width="19.7109375" style="834" customWidth="1"/>
    <col min="774" max="774" width="11.5703125" style="834" customWidth="1"/>
    <col min="775" max="776" width="11.28515625" style="834" customWidth="1"/>
    <col min="777" max="955" width="9.140625" style="834"/>
    <col min="956" max="956" width="35.5703125" style="834" customWidth="1"/>
    <col min="957" max="1028" width="9.140625" style="834" customWidth="1"/>
    <col min="1029" max="1029" width="19.7109375" style="834" customWidth="1"/>
    <col min="1030" max="1030" width="11.5703125" style="834" customWidth="1"/>
    <col min="1031" max="1032" width="11.28515625" style="834" customWidth="1"/>
    <col min="1033" max="1211" width="9.140625" style="834"/>
    <col min="1212" max="1212" width="35.5703125" style="834" customWidth="1"/>
    <col min="1213" max="1284" width="9.140625" style="834" customWidth="1"/>
    <col min="1285" max="1285" width="19.7109375" style="834" customWidth="1"/>
    <col min="1286" max="1286" width="11.5703125" style="834" customWidth="1"/>
    <col min="1287" max="1288" width="11.28515625" style="834" customWidth="1"/>
    <col min="1289" max="1467" width="9.140625" style="834"/>
    <col min="1468" max="1468" width="35.5703125" style="834" customWidth="1"/>
    <col min="1469" max="1540" width="9.140625" style="834" customWidth="1"/>
    <col min="1541" max="1541" width="19.7109375" style="834" customWidth="1"/>
    <col min="1542" max="1542" width="11.5703125" style="834" customWidth="1"/>
    <col min="1543" max="1544" width="11.28515625" style="834" customWidth="1"/>
    <col min="1545" max="1723" width="9.140625" style="834"/>
    <col min="1724" max="1724" width="35.5703125" style="834" customWidth="1"/>
    <col min="1725" max="1796" width="9.140625" style="834" customWidth="1"/>
    <col min="1797" max="1797" width="19.7109375" style="834" customWidth="1"/>
    <col min="1798" max="1798" width="11.5703125" style="834" customWidth="1"/>
    <col min="1799" max="1800" width="11.28515625" style="834" customWidth="1"/>
    <col min="1801" max="1979" width="9.140625" style="834"/>
    <col min="1980" max="1980" width="35.5703125" style="834" customWidth="1"/>
    <col min="1981" max="2052" width="9.140625" style="834" customWidth="1"/>
    <col min="2053" max="2053" width="19.7109375" style="834" customWidth="1"/>
    <col min="2054" max="2054" width="11.5703125" style="834" customWidth="1"/>
    <col min="2055" max="2056" width="11.28515625" style="834" customWidth="1"/>
    <col min="2057" max="2235" width="9.140625" style="834"/>
    <col min="2236" max="2236" width="35.5703125" style="834" customWidth="1"/>
    <col min="2237" max="2308" width="9.140625" style="834" customWidth="1"/>
    <col min="2309" max="2309" width="19.7109375" style="834" customWidth="1"/>
    <col min="2310" max="2310" width="11.5703125" style="834" customWidth="1"/>
    <col min="2311" max="2312" width="11.28515625" style="834" customWidth="1"/>
    <col min="2313" max="2491" width="9.140625" style="834"/>
    <col min="2492" max="2492" width="35.5703125" style="834" customWidth="1"/>
    <col min="2493" max="2564" width="9.140625" style="834" customWidth="1"/>
    <col min="2565" max="2565" width="19.7109375" style="834" customWidth="1"/>
    <col min="2566" max="2566" width="11.5703125" style="834" customWidth="1"/>
    <col min="2567" max="2568" width="11.28515625" style="834" customWidth="1"/>
    <col min="2569" max="2747" width="9.140625" style="834"/>
    <col min="2748" max="2748" width="35.5703125" style="834" customWidth="1"/>
    <col min="2749" max="2820" width="9.140625" style="834" customWidth="1"/>
    <col min="2821" max="2821" width="19.7109375" style="834" customWidth="1"/>
    <col min="2822" max="2822" width="11.5703125" style="834" customWidth="1"/>
    <col min="2823" max="2824" width="11.28515625" style="834" customWidth="1"/>
    <col min="2825" max="3003" width="9.140625" style="834"/>
    <col min="3004" max="3004" width="35.5703125" style="834" customWidth="1"/>
    <col min="3005" max="3076" width="9.140625" style="834" customWidth="1"/>
    <col min="3077" max="3077" width="19.7109375" style="834" customWidth="1"/>
    <col min="3078" max="3078" width="11.5703125" style="834" customWidth="1"/>
    <col min="3079" max="3080" width="11.28515625" style="834" customWidth="1"/>
    <col min="3081" max="3259" width="9.140625" style="834"/>
    <col min="3260" max="3260" width="35.5703125" style="834" customWidth="1"/>
    <col min="3261" max="3332" width="9.140625" style="834" customWidth="1"/>
    <col min="3333" max="3333" width="19.7109375" style="834" customWidth="1"/>
    <col min="3334" max="3334" width="11.5703125" style="834" customWidth="1"/>
    <col min="3335" max="3336" width="11.28515625" style="834" customWidth="1"/>
    <col min="3337" max="3515" width="9.140625" style="834"/>
    <col min="3516" max="3516" width="35.5703125" style="834" customWidth="1"/>
    <col min="3517" max="3588" width="9.140625" style="834" customWidth="1"/>
    <col min="3589" max="3589" width="19.7109375" style="834" customWidth="1"/>
    <col min="3590" max="3590" width="11.5703125" style="834" customWidth="1"/>
    <col min="3591" max="3592" width="11.28515625" style="834" customWidth="1"/>
    <col min="3593" max="3771" width="9.140625" style="834"/>
    <col min="3772" max="3772" width="35.5703125" style="834" customWidth="1"/>
    <col min="3773" max="3844" width="9.140625" style="834" customWidth="1"/>
    <col min="3845" max="3845" width="19.7109375" style="834" customWidth="1"/>
    <col min="3846" max="3846" width="11.5703125" style="834" customWidth="1"/>
    <col min="3847" max="3848" width="11.28515625" style="834" customWidth="1"/>
    <col min="3849" max="4027" width="9.140625" style="834"/>
    <col min="4028" max="4028" width="35.5703125" style="834" customWidth="1"/>
    <col min="4029" max="4100" width="9.140625" style="834" customWidth="1"/>
    <col min="4101" max="4101" width="19.7109375" style="834" customWidth="1"/>
    <col min="4102" max="4102" width="11.5703125" style="834" customWidth="1"/>
    <col min="4103" max="4104" width="11.28515625" style="834" customWidth="1"/>
    <col min="4105" max="4283" width="9.140625" style="834"/>
    <col min="4284" max="4284" width="35.5703125" style="834" customWidth="1"/>
    <col min="4285" max="4356" width="9.140625" style="834" customWidth="1"/>
    <col min="4357" max="4357" width="19.7109375" style="834" customWidth="1"/>
    <col min="4358" max="4358" width="11.5703125" style="834" customWidth="1"/>
    <col min="4359" max="4360" width="11.28515625" style="834" customWidth="1"/>
    <col min="4361" max="4539" width="9.140625" style="834"/>
    <col min="4540" max="4540" width="35.5703125" style="834" customWidth="1"/>
    <col min="4541" max="4612" width="9.140625" style="834" customWidth="1"/>
    <col min="4613" max="4613" width="19.7109375" style="834" customWidth="1"/>
    <col min="4614" max="4614" width="11.5703125" style="834" customWidth="1"/>
    <col min="4615" max="4616" width="11.28515625" style="834" customWidth="1"/>
    <col min="4617" max="4795" width="9.140625" style="834"/>
    <col min="4796" max="4796" width="35.5703125" style="834" customWidth="1"/>
    <col min="4797" max="4868" width="9.140625" style="834" customWidth="1"/>
    <col min="4869" max="4869" width="19.7109375" style="834" customWidth="1"/>
    <col min="4870" max="4870" width="11.5703125" style="834" customWidth="1"/>
    <col min="4871" max="4872" width="11.28515625" style="834" customWidth="1"/>
    <col min="4873" max="5051" width="9.140625" style="834"/>
    <col min="5052" max="5052" width="35.5703125" style="834" customWidth="1"/>
    <col min="5053" max="5124" width="9.140625" style="834" customWidth="1"/>
    <col min="5125" max="5125" width="19.7109375" style="834" customWidth="1"/>
    <col min="5126" max="5126" width="11.5703125" style="834" customWidth="1"/>
    <col min="5127" max="5128" width="11.28515625" style="834" customWidth="1"/>
    <col min="5129" max="5307" width="9.140625" style="834"/>
    <col min="5308" max="5308" width="35.5703125" style="834" customWidth="1"/>
    <col min="5309" max="5380" width="9.140625" style="834" customWidth="1"/>
    <col min="5381" max="5381" width="19.7109375" style="834" customWidth="1"/>
    <col min="5382" max="5382" width="11.5703125" style="834" customWidth="1"/>
    <col min="5383" max="5384" width="11.28515625" style="834" customWidth="1"/>
    <col min="5385" max="5563" width="9.140625" style="834"/>
    <col min="5564" max="5564" width="35.5703125" style="834" customWidth="1"/>
    <col min="5565" max="5636" width="9.140625" style="834" customWidth="1"/>
    <col min="5637" max="5637" width="19.7109375" style="834" customWidth="1"/>
    <col min="5638" max="5638" width="11.5703125" style="834" customWidth="1"/>
    <col min="5639" max="5640" width="11.28515625" style="834" customWidth="1"/>
    <col min="5641" max="5819" width="9.140625" style="834"/>
    <col min="5820" max="5820" width="35.5703125" style="834" customWidth="1"/>
    <col min="5821" max="5892" width="9.140625" style="834" customWidth="1"/>
    <col min="5893" max="5893" width="19.7109375" style="834" customWidth="1"/>
    <col min="5894" max="5894" width="11.5703125" style="834" customWidth="1"/>
    <col min="5895" max="5896" width="11.28515625" style="834" customWidth="1"/>
    <col min="5897" max="6075" width="9.140625" style="834"/>
    <col min="6076" max="6076" width="35.5703125" style="834" customWidth="1"/>
    <col min="6077" max="6148" width="9.140625" style="834" customWidth="1"/>
    <col min="6149" max="6149" width="19.7109375" style="834" customWidth="1"/>
    <col min="6150" max="6150" width="11.5703125" style="834" customWidth="1"/>
    <col min="6151" max="6152" width="11.28515625" style="834" customWidth="1"/>
    <col min="6153" max="6331" width="9.140625" style="834"/>
    <col min="6332" max="6332" width="35.5703125" style="834" customWidth="1"/>
    <col min="6333" max="6404" width="9.140625" style="834" customWidth="1"/>
    <col min="6405" max="6405" width="19.7109375" style="834" customWidth="1"/>
    <col min="6406" max="6406" width="11.5703125" style="834" customWidth="1"/>
    <col min="6407" max="6408" width="11.28515625" style="834" customWidth="1"/>
    <col min="6409" max="6587" width="9.140625" style="834"/>
    <col min="6588" max="6588" width="35.5703125" style="834" customWidth="1"/>
    <col min="6589" max="6660" width="9.140625" style="834" customWidth="1"/>
    <col min="6661" max="6661" width="19.7109375" style="834" customWidth="1"/>
    <col min="6662" max="6662" width="11.5703125" style="834" customWidth="1"/>
    <col min="6663" max="6664" width="11.28515625" style="834" customWidth="1"/>
    <col min="6665" max="6843" width="9.140625" style="834"/>
    <col min="6844" max="6844" width="35.5703125" style="834" customWidth="1"/>
    <col min="6845" max="6916" width="9.140625" style="834" customWidth="1"/>
    <col min="6917" max="6917" width="19.7109375" style="834" customWidth="1"/>
    <col min="6918" max="6918" width="11.5703125" style="834" customWidth="1"/>
    <col min="6919" max="6920" width="11.28515625" style="834" customWidth="1"/>
    <col min="6921" max="7099" width="9.140625" style="834"/>
    <col min="7100" max="7100" width="35.5703125" style="834" customWidth="1"/>
    <col min="7101" max="7172" width="9.140625" style="834" customWidth="1"/>
    <col min="7173" max="7173" width="19.7109375" style="834" customWidth="1"/>
    <col min="7174" max="7174" width="11.5703125" style="834" customWidth="1"/>
    <col min="7175" max="7176" width="11.28515625" style="834" customWidth="1"/>
    <col min="7177" max="7355" width="9.140625" style="834"/>
    <col min="7356" max="7356" width="35.5703125" style="834" customWidth="1"/>
    <col min="7357" max="7428" width="9.140625" style="834" customWidth="1"/>
    <col min="7429" max="7429" width="19.7109375" style="834" customWidth="1"/>
    <col min="7430" max="7430" width="11.5703125" style="834" customWidth="1"/>
    <col min="7431" max="7432" width="11.28515625" style="834" customWidth="1"/>
    <col min="7433" max="7611" width="9.140625" style="834"/>
    <col min="7612" max="7612" width="35.5703125" style="834" customWidth="1"/>
    <col min="7613" max="7684" width="9.140625" style="834" customWidth="1"/>
    <col min="7685" max="7685" width="19.7109375" style="834" customWidth="1"/>
    <col min="7686" max="7686" width="11.5703125" style="834" customWidth="1"/>
    <col min="7687" max="7688" width="11.28515625" style="834" customWidth="1"/>
    <col min="7689" max="7867" width="9.140625" style="834"/>
    <col min="7868" max="7868" width="35.5703125" style="834" customWidth="1"/>
    <col min="7869" max="7940" width="9.140625" style="834" customWidth="1"/>
    <col min="7941" max="7941" width="19.7109375" style="834" customWidth="1"/>
    <col min="7942" max="7942" width="11.5703125" style="834" customWidth="1"/>
    <col min="7943" max="7944" width="11.28515625" style="834" customWidth="1"/>
    <col min="7945" max="8123" width="9.140625" style="834"/>
    <col min="8124" max="8124" width="35.5703125" style="834" customWidth="1"/>
    <col min="8125" max="8196" width="9.140625" style="834" customWidth="1"/>
    <col min="8197" max="8197" width="19.7109375" style="834" customWidth="1"/>
    <col min="8198" max="8198" width="11.5703125" style="834" customWidth="1"/>
    <col min="8199" max="8200" width="11.28515625" style="834" customWidth="1"/>
    <col min="8201" max="8379" width="9.140625" style="834"/>
    <col min="8380" max="8380" width="35.5703125" style="834" customWidth="1"/>
    <col min="8381" max="8452" width="9.140625" style="834" customWidth="1"/>
    <col min="8453" max="8453" width="19.7109375" style="834" customWidth="1"/>
    <col min="8454" max="8454" width="11.5703125" style="834" customWidth="1"/>
    <col min="8455" max="8456" width="11.28515625" style="834" customWidth="1"/>
    <col min="8457" max="8635" width="9.140625" style="834"/>
    <col min="8636" max="8636" width="35.5703125" style="834" customWidth="1"/>
    <col min="8637" max="8708" width="9.140625" style="834" customWidth="1"/>
    <col min="8709" max="8709" width="19.7109375" style="834" customWidth="1"/>
    <col min="8710" max="8710" width="11.5703125" style="834" customWidth="1"/>
    <col min="8711" max="8712" width="11.28515625" style="834" customWidth="1"/>
    <col min="8713" max="8891" width="9.140625" style="834"/>
    <col min="8892" max="8892" width="35.5703125" style="834" customWidth="1"/>
    <col min="8893" max="8964" width="9.140625" style="834" customWidth="1"/>
    <col min="8965" max="8965" width="19.7109375" style="834" customWidth="1"/>
    <col min="8966" max="8966" width="11.5703125" style="834" customWidth="1"/>
    <col min="8967" max="8968" width="11.28515625" style="834" customWidth="1"/>
    <col min="8969" max="9147" width="9.140625" style="834"/>
    <col min="9148" max="9148" width="35.5703125" style="834" customWidth="1"/>
    <col min="9149" max="9220" width="9.140625" style="834" customWidth="1"/>
    <col min="9221" max="9221" width="19.7109375" style="834" customWidth="1"/>
    <col min="9222" max="9222" width="11.5703125" style="834" customWidth="1"/>
    <col min="9223" max="9224" width="11.28515625" style="834" customWidth="1"/>
    <col min="9225" max="9403" width="9.140625" style="834"/>
    <col min="9404" max="9404" width="35.5703125" style="834" customWidth="1"/>
    <col min="9405" max="9476" width="9.140625" style="834" customWidth="1"/>
    <col min="9477" max="9477" width="19.7109375" style="834" customWidth="1"/>
    <col min="9478" max="9478" width="11.5703125" style="834" customWidth="1"/>
    <col min="9479" max="9480" width="11.28515625" style="834" customWidth="1"/>
    <col min="9481" max="9659" width="9.140625" style="834"/>
    <col min="9660" max="9660" width="35.5703125" style="834" customWidth="1"/>
    <col min="9661" max="9732" width="9.140625" style="834" customWidth="1"/>
    <col min="9733" max="9733" width="19.7109375" style="834" customWidth="1"/>
    <col min="9734" max="9734" width="11.5703125" style="834" customWidth="1"/>
    <col min="9735" max="9736" width="11.28515625" style="834" customWidth="1"/>
    <col min="9737" max="9915" width="9.140625" style="834"/>
    <col min="9916" max="9916" width="35.5703125" style="834" customWidth="1"/>
    <col min="9917" max="9988" width="9.140625" style="834" customWidth="1"/>
    <col min="9989" max="9989" width="19.7109375" style="834" customWidth="1"/>
    <col min="9990" max="9990" width="11.5703125" style="834" customWidth="1"/>
    <col min="9991" max="9992" width="11.28515625" style="834" customWidth="1"/>
    <col min="9993" max="10171" width="9.140625" style="834"/>
    <col min="10172" max="10172" width="35.5703125" style="834" customWidth="1"/>
    <col min="10173" max="10244" width="9.140625" style="834" customWidth="1"/>
    <col min="10245" max="10245" width="19.7109375" style="834" customWidth="1"/>
    <col min="10246" max="10246" width="11.5703125" style="834" customWidth="1"/>
    <col min="10247" max="10248" width="11.28515625" style="834" customWidth="1"/>
    <col min="10249" max="10427" width="9.140625" style="834"/>
    <col min="10428" max="10428" width="35.5703125" style="834" customWidth="1"/>
    <col min="10429" max="10500" width="9.140625" style="834" customWidth="1"/>
    <col min="10501" max="10501" width="19.7109375" style="834" customWidth="1"/>
    <col min="10502" max="10502" width="11.5703125" style="834" customWidth="1"/>
    <col min="10503" max="10504" width="11.28515625" style="834" customWidth="1"/>
    <col min="10505" max="10683" width="9.140625" style="834"/>
    <col min="10684" max="10684" width="35.5703125" style="834" customWidth="1"/>
    <col min="10685" max="10756" width="9.140625" style="834" customWidth="1"/>
    <col min="10757" max="10757" width="19.7109375" style="834" customWidth="1"/>
    <col min="10758" max="10758" width="11.5703125" style="834" customWidth="1"/>
    <col min="10759" max="10760" width="11.28515625" style="834" customWidth="1"/>
    <col min="10761" max="10939" width="9.140625" style="834"/>
    <col min="10940" max="10940" width="35.5703125" style="834" customWidth="1"/>
    <col min="10941" max="11012" width="9.140625" style="834" customWidth="1"/>
    <col min="11013" max="11013" width="19.7109375" style="834" customWidth="1"/>
    <col min="11014" max="11014" width="11.5703125" style="834" customWidth="1"/>
    <col min="11015" max="11016" width="11.28515625" style="834" customWidth="1"/>
    <col min="11017" max="11195" width="9.140625" style="834"/>
    <col min="11196" max="11196" width="35.5703125" style="834" customWidth="1"/>
    <col min="11197" max="11268" width="9.140625" style="834" customWidth="1"/>
    <col min="11269" max="11269" width="19.7109375" style="834" customWidth="1"/>
    <col min="11270" max="11270" width="11.5703125" style="834" customWidth="1"/>
    <col min="11271" max="11272" width="11.28515625" style="834" customWidth="1"/>
    <col min="11273" max="11451" width="9.140625" style="834"/>
    <col min="11452" max="11452" width="35.5703125" style="834" customWidth="1"/>
    <col min="11453" max="11524" width="9.140625" style="834" customWidth="1"/>
    <col min="11525" max="11525" width="19.7109375" style="834" customWidth="1"/>
    <col min="11526" max="11526" width="11.5703125" style="834" customWidth="1"/>
    <col min="11527" max="11528" width="11.28515625" style="834" customWidth="1"/>
    <col min="11529" max="11707" width="9.140625" style="834"/>
    <col min="11708" max="11708" width="35.5703125" style="834" customWidth="1"/>
    <col min="11709" max="11780" width="9.140625" style="834" customWidth="1"/>
    <col min="11781" max="11781" width="19.7109375" style="834" customWidth="1"/>
    <col min="11782" max="11782" width="11.5703125" style="834" customWidth="1"/>
    <col min="11783" max="11784" width="11.28515625" style="834" customWidth="1"/>
    <col min="11785" max="11963" width="9.140625" style="834"/>
    <col min="11964" max="11964" width="35.5703125" style="834" customWidth="1"/>
    <col min="11965" max="12036" width="9.140625" style="834" customWidth="1"/>
    <col min="12037" max="12037" width="19.7109375" style="834" customWidth="1"/>
    <col min="12038" max="12038" width="11.5703125" style="834" customWidth="1"/>
    <col min="12039" max="12040" width="11.28515625" style="834" customWidth="1"/>
    <col min="12041" max="12219" width="9.140625" style="834"/>
    <col min="12220" max="12220" width="35.5703125" style="834" customWidth="1"/>
    <col min="12221" max="12292" width="9.140625" style="834" customWidth="1"/>
    <col min="12293" max="12293" width="19.7109375" style="834" customWidth="1"/>
    <col min="12294" max="12294" width="11.5703125" style="834" customWidth="1"/>
    <col min="12295" max="12296" width="11.28515625" style="834" customWidth="1"/>
    <col min="12297" max="12475" width="9.140625" style="834"/>
    <col min="12476" max="12476" width="35.5703125" style="834" customWidth="1"/>
    <col min="12477" max="12548" width="9.140625" style="834" customWidth="1"/>
    <col min="12549" max="12549" width="19.7109375" style="834" customWidth="1"/>
    <col min="12550" max="12550" width="11.5703125" style="834" customWidth="1"/>
    <col min="12551" max="12552" width="11.28515625" style="834" customWidth="1"/>
    <col min="12553" max="12731" width="9.140625" style="834"/>
    <col min="12732" max="12732" width="35.5703125" style="834" customWidth="1"/>
    <col min="12733" max="12804" width="9.140625" style="834" customWidth="1"/>
    <col min="12805" max="12805" width="19.7109375" style="834" customWidth="1"/>
    <col min="12806" max="12806" width="11.5703125" style="834" customWidth="1"/>
    <col min="12807" max="12808" width="11.28515625" style="834" customWidth="1"/>
    <col min="12809" max="12987" width="9.140625" style="834"/>
    <col min="12988" max="12988" width="35.5703125" style="834" customWidth="1"/>
    <col min="12989" max="13060" width="9.140625" style="834" customWidth="1"/>
    <col min="13061" max="13061" width="19.7109375" style="834" customWidth="1"/>
    <col min="13062" max="13062" width="11.5703125" style="834" customWidth="1"/>
    <col min="13063" max="13064" width="11.28515625" style="834" customWidth="1"/>
    <col min="13065" max="13243" width="9.140625" style="834"/>
    <col min="13244" max="13244" width="35.5703125" style="834" customWidth="1"/>
    <col min="13245" max="13316" width="9.140625" style="834" customWidth="1"/>
    <col min="13317" max="13317" width="19.7109375" style="834" customWidth="1"/>
    <col min="13318" max="13318" width="11.5703125" style="834" customWidth="1"/>
    <col min="13319" max="13320" width="11.28515625" style="834" customWidth="1"/>
    <col min="13321" max="13499" width="9.140625" style="834"/>
    <col min="13500" max="13500" width="35.5703125" style="834" customWidth="1"/>
    <col min="13501" max="13572" width="9.140625" style="834" customWidth="1"/>
    <col min="13573" max="13573" width="19.7109375" style="834" customWidth="1"/>
    <col min="13574" max="13574" width="11.5703125" style="834" customWidth="1"/>
    <col min="13575" max="13576" width="11.28515625" style="834" customWidth="1"/>
    <col min="13577" max="13755" width="9.140625" style="834"/>
    <col min="13756" max="13756" width="35.5703125" style="834" customWidth="1"/>
    <col min="13757" max="13828" width="9.140625" style="834" customWidth="1"/>
    <col min="13829" max="13829" width="19.7109375" style="834" customWidth="1"/>
    <col min="13830" max="13830" width="11.5703125" style="834" customWidth="1"/>
    <col min="13831" max="13832" width="11.28515625" style="834" customWidth="1"/>
    <col min="13833" max="14011" width="9.140625" style="834"/>
    <col min="14012" max="14012" width="35.5703125" style="834" customWidth="1"/>
    <col min="14013" max="14084" width="9.140625" style="834" customWidth="1"/>
    <col min="14085" max="14085" width="19.7109375" style="834" customWidth="1"/>
    <col min="14086" max="14086" width="11.5703125" style="834" customWidth="1"/>
    <col min="14087" max="14088" width="11.28515625" style="834" customWidth="1"/>
    <col min="14089" max="14267" width="9.140625" style="834"/>
    <col min="14268" max="14268" width="35.5703125" style="834" customWidth="1"/>
    <col min="14269" max="14340" width="9.140625" style="834" customWidth="1"/>
    <col min="14341" max="14341" width="19.7109375" style="834" customWidth="1"/>
    <col min="14342" max="14342" width="11.5703125" style="834" customWidth="1"/>
    <col min="14343" max="14344" width="11.28515625" style="834" customWidth="1"/>
    <col min="14345" max="14523" width="9.140625" style="834"/>
    <col min="14524" max="14524" width="35.5703125" style="834" customWidth="1"/>
    <col min="14525" max="14596" width="9.140625" style="834" customWidth="1"/>
    <col min="14597" max="14597" width="19.7109375" style="834" customWidth="1"/>
    <col min="14598" max="14598" width="11.5703125" style="834" customWidth="1"/>
    <col min="14599" max="14600" width="11.28515625" style="834" customWidth="1"/>
    <col min="14601" max="14779" width="9.140625" style="834"/>
    <col min="14780" max="14780" width="35.5703125" style="834" customWidth="1"/>
    <col min="14781" max="14852" width="9.140625" style="834" customWidth="1"/>
    <col min="14853" max="14853" width="19.7109375" style="834" customWidth="1"/>
    <col min="14854" max="14854" width="11.5703125" style="834" customWidth="1"/>
    <col min="14855" max="14856" width="11.28515625" style="834" customWidth="1"/>
    <col min="14857" max="15035" width="9.140625" style="834"/>
    <col min="15036" max="15036" width="35.5703125" style="834" customWidth="1"/>
    <col min="15037" max="15108" width="9.140625" style="834" customWidth="1"/>
    <col min="15109" max="15109" width="19.7109375" style="834" customWidth="1"/>
    <col min="15110" max="15110" width="11.5703125" style="834" customWidth="1"/>
    <col min="15111" max="15112" width="11.28515625" style="834" customWidth="1"/>
    <col min="15113" max="15291" width="9.140625" style="834"/>
    <col min="15292" max="15292" width="35.5703125" style="834" customWidth="1"/>
    <col min="15293" max="15364" width="9.140625" style="834" customWidth="1"/>
    <col min="15365" max="15365" width="19.7109375" style="834" customWidth="1"/>
    <col min="15366" max="15366" width="11.5703125" style="834" customWidth="1"/>
    <col min="15367" max="15368" width="11.28515625" style="834" customWidth="1"/>
    <col min="15369" max="15547" width="9.140625" style="834"/>
    <col min="15548" max="15548" width="35.5703125" style="834" customWidth="1"/>
    <col min="15549" max="15620" width="9.140625" style="834" customWidth="1"/>
    <col min="15621" max="15621" width="19.7109375" style="834" customWidth="1"/>
    <col min="15622" max="15622" width="11.5703125" style="834" customWidth="1"/>
    <col min="15623" max="15624" width="11.28515625" style="834" customWidth="1"/>
    <col min="15625" max="15803" width="9.140625" style="834"/>
    <col min="15804" max="15804" width="35.5703125" style="834" customWidth="1"/>
    <col min="15805" max="15876" width="9.140625" style="834" customWidth="1"/>
    <col min="15877" max="15877" width="19.7109375" style="834" customWidth="1"/>
    <col min="15878" max="15878" width="11.5703125" style="834" customWidth="1"/>
    <col min="15879" max="15880" width="11.28515625" style="834" customWidth="1"/>
    <col min="15881" max="16059" width="9.140625" style="834"/>
    <col min="16060" max="16060" width="35.5703125" style="834" customWidth="1"/>
    <col min="16061" max="16132" width="9.140625" style="834" customWidth="1"/>
    <col min="16133" max="16133" width="19.7109375" style="834" customWidth="1"/>
    <col min="16134" max="16134" width="11.5703125" style="834" customWidth="1"/>
    <col min="16135" max="16136" width="11.28515625" style="834" customWidth="1"/>
    <col min="16137" max="16384" width="9.140625" style="834"/>
  </cols>
  <sheetData>
    <row r="1" spans="1:94">
      <c r="B1" s="834"/>
      <c r="C1" s="835"/>
      <c r="D1" s="835"/>
      <c r="E1" s="835"/>
      <c r="H1" s="835"/>
      <c r="I1" s="835"/>
      <c r="L1" s="835"/>
      <c r="M1" s="835"/>
    </row>
    <row r="2" spans="1:94">
      <c r="A2" s="1212" t="str">
        <f>'[19]NFM WPB'!A24</f>
        <v>1.1.4</v>
      </c>
      <c r="B2" s="836" t="str">
        <f>'[19]NFM WPB'!B24</f>
        <v>Xpert MTB/RIF instruments (4-module)</v>
      </c>
      <c r="C2" s="835"/>
      <c r="D2" s="835"/>
      <c r="E2" s="835"/>
      <c r="H2" s="835"/>
      <c r="I2" s="835"/>
      <c r="L2" s="835"/>
      <c r="M2" s="835"/>
    </row>
    <row r="3" spans="1:94">
      <c r="A3" s="1212" t="str">
        <f>'[19]NFM WPB'!A28</f>
        <v>1.1.5</v>
      </c>
      <c r="B3" s="836" t="str">
        <f>'[19]NFM WPB'!B28</f>
        <v>Xpert MTB/RIF instruments (2-module)</v>
      </c>
      <c r="C3" s="835"/>
      <c r="D3" s="835"/>
      <c r="E3" s="835"/>
      <c r="H3" s="835"/>
      <c r="I3" s="835"/>
      <c r="L3" s="835"/>
      <c r="M3" s="835"/>
    </row>
    <row r="4" spans="1:94">
      <c r="A4" s="1212" t="str">
        <f>'[19]NFM WPB'!A36</f>
        <v>1.1.7</v>
      </c>
      <c r="B4" s="836" t="str">
        <f>'[19]NFM WPB'!B36</f>
        <v>Cartridges for Xpert MTB/RIF tests</v>
      </c>
      <c r="C4" s="835"/>
      <c r="D4" s="835"/>
      <c r="E4" s="835"/>
      <c r="H4" s="835"/>
      <c r="I4" s="835"/>
      <c r="L4" s="835"/>
      <c r="M4" s="835"/>
    </row>
    <row r="5" spans="1:94">
      <c r="B5" s="834"/>
      <c r="C5" s="835"/>
      <c r="D5" s="835"/>
      <c r="E5" s="835"/>
      <c r="H5" s="835"/>
      <c r="I5" s="835"/>
      <c r="L5" s="835"/>
      <c r="M5" s="835"/>
    </row>
    <row r="6" spans="1:94" ht="12.4" customHeight="1">
      <c r="B6" s="837" t="s">
        <v>1263</v>
      </c>
      <c r="C6" s="838"/>
      <c r="D6" s="1842"/>
      <c r="E6" s="1842"/>
      <c r="H6" s="1842"/>
      <c r="I6" s="1842"/>
      <c r="L6" s="1842"/>
      <c r="M6" s="1842"/>
    </row>
    <row r="7" spans="1:94" ht="12.4" customHeight="1">
      <c r="B7" s="838"/>
      <c r="C7" s="838"/>
      <c r="D7" s="1842"/>
      <c r="E7" s="1842"/>
      <c r="H7" s="1842"/>
      <c r="I7" s="1842"/>
      <c r="L7" s="1842"/>
      <c r="M7" s="1842"/>
    </row>
    <row r="8" spans="1:94" ht="12.4" customHeight="1">
      <c r="B8" s="837" t="s">
        <v>1330</v>
      </c>
      <c r="C8" s="838"/>
      <c r="D8" s="1842"/>
      <c r="E8" s="1842"/>
      <c r="H8" s="1842"/>
      <c r="I8" s="1842"/>
      <c r="L8" s="1842"/>
      <c r="M8" s="1842"/>
    </row>
    <row r="9" spans="1:94" ht="16.899999999999999" customHeight="1">
      <c r="B9" s="838" t="s">
        <v>1708</v>
      </c>
      <c r="C9" s="839">
        <f>C75</f>
        <v>54</v>
      </c>
      <c r="D9" s="1842"/>
      <c r="E9" s="1842"/>
      <c r="H9" s="1842"/>
      <c r="I9" s="1842"/>
      <c r="L9" s="1842"/>
      <c r="M9" s="1842"/>
      <c r="Q9" s="539"/>
      <c r="AD9" s="539"/>
      <c r="AQ9" s="539"/>
    </row>
    <row r="10" spans="1:94" ht="16.899999999999999" customHeight="1">
      <c r="B10" s="838" t="s">
        <v>1331</v>
      </c>
      <c r="C10" s="839">
        <f>E75</f>
        <v>37</v>
      </c>
      <c r="D10" s="1842"/>
      <c r="E10" s="1842"/>
      <c r="H10" s="1842"/>
      <c r="I10" s="1842"/>
      <c r="L10" s="1842"/>
      <c r="M10" s="1842"/>
      <c r="Q10" s="539"/>
      <c r="AD10" s="539"/>
      <c r="AQ10" s="539"/>
    </row>
    <row r="11" spans="1:94">
      <c r="B11" s="840"/>
      <c r="C11" s="841"/>
      <c r="D11" s="1842"/>
      <c r="E11" s="1842"/>
      <c r="H11" s="1842"/>
      <c r="I11" s="1842"/>
      <c r="L11" s="1842"/>
      <c r="M11" s="1842"/>
    </row>
    <row r="12" spans="1:94" ht="30.6" customHeight="1">
      <c r="A12" s="1841" t="s">
        <v>243</v>
      </c>
      <c r="B12" s="1841" t="s">
        <v>1338</v>
      </c>
      <c r="C12" s="1839" t="s">
        <v>1266</v>
      </c>
      <c r="D12" s="1836" t="s">
        <v>1349</v>
      </c>
      <c r="E12" s="1837"/>
      <c r="F12" s="1837"/>
      <c r="G12" s="1838"/>
      <c r="H12" s="1836" t="s">
        <v>1350</v>
      </c>
      <c r="I12" s="1837"/>
      <c r="J12" s="1837"/>
      <c r="K12" s="1838"/>
      <c r="L12" s="1836" t="s">
        <v>1351</v>
      </c>
      <c r="M12" s="1837"/>
      <c r="N12" s="1837"/>
      <c r="O12" s="1838"/>
      <c r="P12" s="1836" t="s">
        <v>1342</v>
      </c>
      <c r="Q12" s="1837"/>
      <c r="R12" s="1837"/>
      <c r="S12" s="1837"/>
      <c r="T12" s="1837"/>
      <c r="U12" s="1837"/>
      <c r="V12" s="1837"/>
      <c r="W12" s="1837"/>
      <c r="X12" s="1837"/>
      <c r="Y12" s="1837"/>
      <c r="Z12" s="1837"/>
      <c r="AA12" s="1837"/>
      <c r="AB12" s="1838"/>
      <c r="AC12" s="1836" t="s">
        <v>1343</v>
      </c>
      <c r="AD12" s="1837"/>
      <c r="AE12" s="1837"/>
      <c r="AF12" s="1837"/>
      <c r="AG12" s="1837"/>
      <c r="AH12" s="1837"/>
      <c r="AI12" s="1837"/>
      <c r="AJ12" s="1837"/>
      <c r="AK12" s="1837"/>
      <c r="AL12" s="1837"/>
      <c r="AM12" s="1837"/>
      <c r="AN12" s="1837"/>
      <c r="AO12" s="1838"/>
      <c r="AP12" s="1836" t="s">
        <v>1344</v>
      </c>
      <c r="AQ12" s="1837"/>
      <c r="AR12" s="1837"/>
      <c r="AS12" s="1837"/>
      <c r="AT12" s="1837"/>
      <c r="AU12" s="1837"/>
      <c r="AV12" s="1837"/>
      <c r="AW12" s="1837"/>
      <c r="AX12" s="1837"/>
      <c r="AY12" s="1837"/>
      <c r="AZ12" s="1837"/>
      <c r="BA12" s="1837"/>
      <c r="BB12" s="1838"/>
      <c r="BC12" s="1836" t="s">
        <v>1345</v>
      </c>
      <c r="BD12" s="1837"/>
      <c r="BE12" s="1837"/>
      <c r="BF12" s="1837"/>
      <c r="BG12" s="1837"/>
      <c r="BH12" s="1837"/>
      <c r="BI12" s="1837"/>
      <c r="BJ12" s="1837"/>
      <c r="BK12" s="1837"/>
      <c r="BL12" s="1837"/>
      <c r="BM12" s="1837"/>
      <c r="BN12" s="1837"/>
      <c r="BO12" s="1838"/>
      <c r="BP12" s="1836" t="s">
        <v>1346</v>
      </c>
      <c r="BQ12" s="1837"/>
      <c r="BR12" s="1837"/>
      <c r="BS12" s="1837"/>
      <c r="BT12" s="1837"/>
      <c r="BU12" s="1837"/>
      <c r="BV12" s="1837"/>
      <c r="BW12" s="1837"/>
      <c r="BX12" s="1837"/>
      <c r="BY12" s="1837"/>
      <c r="BZ12" s="1837"/>
      <c r="CA12" s="1837"/>
      <c r="CB12" s="1838"/>
      <c r="CC12" s="1836" t="s">
        <v>1347</v>
      </c>
      <c r="CD12" s="1837"/>
      <c r="CE12" s="1837"/>
      <c r="CF12" s="1837"/>
      <c r="CG12" s="1837"/>
      <c r="CH12" s="1837"/>
      <c r="CI12" s="1837"/>
      <c r="CJ12" s="1837"/>
      <c r="CK12" s="1837"/>
      <c r="CL12" s="1837"/>
      <c r="CM12" s="1837"/>
      <c r="CN12" s="1837"/>
      <c r="CO12" s="1838"/>
      <c r="CP12" s="1843" t="s">
        <v>1348</v>
      </c>
    </row>
    <row r="13" spans="1:94" ht="48">
      <c r="A13" s="1841"/>
      <c r="B13" s="1841"/>
      <c r="C13" s="1840"/>
      <c r="D13" s="842" t="s">
        <v>1267</v>
      </c>
      <c r="E13" s="842" t="s">
        <v>1268</v>
      </c>
      <c r="F13" s="842" t="s">
        <v>1340</v>
      </c>
      <c r="G13" s="842" t="s">
        <v>1341</v>
      </c>
      <c r="H13" s="842" t="s">
        <v>1267</v>
      </c>
      <c r="I13" s="842" t="s">
        <v>1268</v>
      </c>
      <c r="J13" s="842" t="s">
        <v>1340</v>
      </c>
      <c r="K13" s="842" t="s">
        <v>1341</v>
      </c>
      <c r="L13" s="842" t="s">
        <v>1267</v>
      </c>
      <c r="M13" s="842" t="s">
        <v>1268</v>
      </c>
      <c r="N13" s="842" t="s">
        <v>1340</v>
      </c>
      <c r="O13" s="842" t="s">
        <v>1341</v>
      </c>
      <c r="P13" s="843">
        <v>42370</v>
      </c>
      <c r="Q13" s="843">
        <v>42401</v>
      </c>
      <c r="R13" s="843">
        <v>42430</v>
      </c>
      <c r="S13" s="843">
        <v>42461</v>
      </c>
      <c r="T13" s="843">
        <v>42491</v>
      </c>
      <c r="U13" s="843">
        <v>42522</v>
      </c>
      <c r="V13" s="843">
        <v>42552</v>
      </c>
      <c r="W13" s="843">
        <v>42583</v>
      </c>
      <c r="X13" s="843">
        <v>42614</v>
      </c>
      <c r="Y13" s="843">
        <v>42644</v>
      </c>
      <c r="Z13" s="843">
        <v>42675</v>
      </c>
      <c r="AA13" s="843">
        <v>42705</v>
      </c>
      <c r="AB13" s="844" t="s">
        <v>1269</v>
      </c>
      <c r="AC13" s="843">
        <v>42736</v>
      </c>
      <c r="AD13" s="843">
        <v>42767</v>
      </c>
      <c r="AE13" s="843">
        <v>42795</v>
      </c>
      <c r="AF13" s="843">
        <v>42826</v>
      </c>
      <c r="AG13" s="843">
        <v>42856</v>
      </c>
      <c r="AH13" s="843">
        <v>42887</v>
      </c>
      <c r="AI13" s="843">
        <v>42917</v>
      </c>
      <c r="AJ13" s="843">
        <v>42948</v>
      </c>
      <c r="AK13" s="843">
        <v>42979</v>
      </c>
      <c r="AL13" s="843">
        <v>43009</v>
      </c>
      <c r="AM13" s="843">
        <v>43040</v>
      </c>
      <c r="AN13" s="843">
        <v>43070</v>
      </c>
      <c r="AO13" s="844" t="s">
        <v>1270</v>
      </c>
      <c r="AP13" s="843">
        <v>43101</v>
      </c>
      <c r="AQ13" s="843">
        <v>43132</v>
      </c>
      <c r="AR13" s="843">
        <v>43160</v>
      </c>
      <c r="AS13" s="843">
        <v>43191</v>
      </c>
      <c r="AT13" s="843">
        <v>43221</v>
      </c>
      <c r="AU13" s="843">
        <v>43252</v>
      </c>
      <c r="AV13" s="843">
        <v>43282</v>
      </c>
      <c r="AW13" s="843">
        <v>43313</v>
      </c>
      <c r="AX13" s="843">
        <v>43344</v>
      </c>
      <c r="AY13" s="843">
        <v>43374</v>
      </c>
      <c r="AZ13" s="843">
        <v>43405</v>
      </c>
      <c r="BA13" s="843">
        <v>43435</v>
      </c>
      <c r="BB13" s="844" t="s">
        <v>1271</v>
      </c>
      <c r="BC13" s="843">
        <v>42370</v>
      </c>
      <c r="BD13" s="843">
        <v>42401</v>
      </c>
      <c r="BE13" s="843">
        <v>42430</v>
      </c>
      <c r="BF13" s="843">
        <v>42461</v>
      </c>
      <c r="BG13" s="843">
        <v>42491</v>
      </c>
      <c r="BH13" s="843">
        <v>42522</v>
      </c>
      <c r="BI13" s="843">
        <v>42552</v>
      </c>
      <c r="BJ13" s="843">
        <v>42583</v>
      </c>
      <c r="BK13" s="843">
        <v>42614</v>
      </c>
      <c r="BL13" s="843">
        <v>42644</v>
      </c>
      <c r="BM13" s="843">
        <v>42675</v>
      </c>
      <c r="BN13" s="843">
        <v>42705</v>
      </c>
      <c r="BO13" s="844" t="s">
        <v>1269</v>
      </c>
      <c r="BP13" s="843">
        <v>42736</v>
      </c>
      <c r="BQ13" s="843">
        <v>42767</v>
      </c>
      <c r="BR13" s="843">
        <v>42795</v>
      </c>
      <c r="BS13" s="843">
        <v>42826</v>
      </c>
      <c r="BT13" s="843">
        <v>42856</v>
      </c>
      <c r="BU13" s="843">
        <v>42887</v>
      </c>
      <c r="BV13" s="843">
        <v>42917</v>
      </c>
      <c r="BW13" s="843">
        <v>42948</v>
      </c>
      <c r="BX13" s="843">
        <v>42979</v>
      </c>
      <c r="BY13" s="843">
        <v>43009</v>
      </c>
      <c r="BZ13" s="843">
        <v>43040</v>
      </c>
      <c r="CA13" s="843">
        <v>43070</v>
      </c>
      <c r="CB13" s="844" t="s">
        <v>1270</v>
      </c>
      <c r="CC13" s="843">
        <v>43101</v>
      </c>
      <c r="CD13" s="843">
        <v>43132</v>
      </c>
      <c r="CE13" s="843">
        <v>43160</v>
      </c>
      <c r="CF13" s="843">
        <v>43191</v>
      </c>
      <c r="CG13" s="843">
        <v>43221</v>
      </c>
      <c r="CH13" s="843">
        <v>43252</v>
      </c>
      <c r="CI13" s="843">
        <v>43282</v>
      </c>
      <c r="CJ13" s="843">
        <v>43313</v>
      </c>
      <c r="CK13" s="843">
        <v>43344</v>
      </c>
      <c r="CL13" s="843">
        <v>43374</v>
      </c>
      <c r="CM13" s="843">
        <v>43405</v>
      </c>
      <c r="CN13" s="843">
        <v>43435</v>
      </c>
      <c r="CO13" s="844" t="s">
        <v>1271</v>
      </c>
      <c r="CP13" s="1844"/>
    </row>
    <row r="14" spans="1:94">
      <c r="A14" s="845">
        <v>1</v>
      </c>
      <c r="B14" s="846" t="s">
        <v>879</v>
      </c>
      <c r="C14" s="847">
        <v>2</v>
      </c>
      <c r="D14" s="847">
        <f>'Xpert needs'!AA8</f>
        <v>518.4</v>
      </c>
      <c r="E14" s="847">
        <f>D14/12</f>
        <v>43.199999999999996</v>
      </c>
      <c r="F14" s="848">
        <f>D14/230</f>
        <v>2.2539130434782608</v>
      </c>
      <c r="G14" s="849">
        <f>F14/C14</f>
        <v>1.1269565217391304</v>
      </c>
      <c r="H14" s="847">
        <f>D14</f>
        <v>518.4</v>
      </c>
      <c r="I14" s="847">
        <f>H14/12</f>
        <v>43.199999999999996</v>
      </c>
      <c r="J14" s="848">
        <f>H14/230</f>
        <v>2.2539130434782608</v>
      </c>
      <c r="K14" s="849">
        <f>J14/C14</f>
        <v>1.1269565217391304</v>
      </c>
      <c r="L14" s="847">
        <f>H14</f>
        <v>518.4</v>
      </c>
      <c r="M14" s="847">
        <f>L14/12</f>
        <v>43.199999999999996</v>
      </c>
      <c r="N14" s="848">
        <f>L14/230</f>
        <v>2.2539130434782608</v>
      </c>
      <c r="O14" s="849">
        <f>N14/C14</f>
        <v>1.1269565217391304</v>
      </c>
      <c r="P14" s="850"/>
      <c r="Q14" s="850"/>
      <c r="R14" s="850"/>
      <c r="S14" s="850"/>
      <c r="T14" s="850"/>
      <c r="U14" s="850"/>
      <c r="V14" s="850"/>
      <c r="W14" s="850"/>
      <c r="X14" s="850"/>
      <c r="Y14" s="850"/>
      <c r="Z14" s="850"/>
      <c r="AA14" s="850"/>
      <c r="AB14" s="851">
        <f>BO14/$D14</f>
        <v>0</v>
      </c>
      <c r="AC14" s="850"/>
      <c r="AD14" s="850"/>
      <c r="AE14" s="850"/>
      <c r="AF14" s="850"/>
      <c r="AG14" s="850"/>
      <c r="AH14" s="850"/>
      <c r="AI14" s="852">
        <v>0.1</v>
      </c>
      <c r="AJ14" s="850">
        <v>0.2</v>
      </c>
      <c r="AK14" s="850">
        <v>0.3</v>
      </c>
      <c r="AL14" s="850">
        <v>0.4</v>
      </c>
      <c r="AM14" s="850">
        <v>0.5</v>
      </c>
      <c r="AN14" s="850">
        <v>0.6</v>
      </c>
      <c r="AO14" s="851">
        <f>CB14/$H14</f>
        <v>0.17499999999999999</v>
      </c>
      <c r="AP14" s="850">
        <v>0.7</v>
      </c>
      <c r="AQ14" s="850">
        <v>0.8</v>
      </c>
      <c r="AR14" s="850">
        <v>0.9</v>
      </c>
      <c r="AS14" s="850">
        <v>1</v>
      </c>
      <c r="AT14" s="850">
        <v>1</v>
      </c>
      <c r="AU14" s="850">
        <v>1</v>
      </c>
      <c r="AV14" s="850">
        <v>1</v>
      </c>
      <c r="AW14" s="850">
        <v>1</v>
      </c>
      <c r="AX14" s="850">
        <v>1</v>
      </c>
      <c r="AY14" s="850">
        <v>1</v>
      </c>
      <c r="AZ14" s="850">
        <v>1</v>
      </c>
      <c r="BA14" s="850">
        <v>1</v>
      </c>
      <c r="BB14" s="851">
        <f>CO14/$L14</f>
        <v>0.94999999999999984</v>
      </c>
      <c r="BC14" s="853">
        <f>$E14*P14</f>
        <v>0</v>
      </c>
      <c r="BD14" s="853">
        <f t="shared" ref="BD14:BN37" si="0">$E14*Q14</f>
        <v>0</v>
      </c>
      <c r="BE14" s="853">
        <f t="shared" si="0"/>
        <v>0</v>
      </c>
      <c r="BF14" s="853">
        <f t="shared" si="0"/>
        <v>0</v>
      </c>
      <c r="BG14" s="853">
        <f t="shared" si="0"/>
        <v>0</v>
      </c>
      <c r="BH14" s="853">
        <f t="shared" si="0"/>
        <v>0</v>
      </c>
      <c r="BI14" s="853">
        <f t="shared" si="0"/>
        <v>0</v>
      </c>
      <c r="BJ14" s="853">
        <f t="shared" si="0"/>
        <v>0</v>
      </c>
      <c r="BK14" s="853">
        <f t="shared" si="0"/>
        <v>0</v>
      </c>
      <c r="BL14" s="853">
        <f t="shared" si="0"/>
        <v>0</v>
      </c>
      <c r="BM14" s="853">
        <f t="shared" si="0"/>
        <v>0</v>
      </c>
      <c r="BN14" s="853">
        <f t="shared" si="0"/>
        <v>0</v>
      </c>
      <c r="BO14" s="854">
        <f>SUM(BC14:BN14)</f>
        <v>0</v>
      </c>
      <c r="BP14" s="853">
        <f>$I14*AC14</f>
        <v>0</v>
      </c>
      <c r="BQ14" s="853">
        <f t="shared" ref="BQ14:CA37" si="1">$I14*AD14</f>
        <v>0</v>
      </c>
      <c r="BR14" s="853">
        <f t="shared" si="1"/>
        <v>0</v>
      </c>
      <c r="BS14" s="853">
        <f t="shared" si="1"/>
        <v>0</v>
      </c>
      <c r="BT14" s="853">
        <f t="shared" si="1"/>
        <v>0</v>
      </c>
      <c r="BU14" s="853">
        <f t="shared" si="1"/>
        <v>0</v>
      </c>
      <c r="BV14" s="853">
        <f t="shared" si="1"/>
        <v>4.3199999999999994</v>
      </c>
      <c r="BW14" s="853">
        <f t="shared" si="1"/>
        <v>8.6399999999999988</v>
      </c>
      <c r="BX14" s="853">
        <f t="shared" si="1"/>
        <v>12.959999999999999</v>
      </c>
      <c r="BY14" s="853">
        <f t="shared" si="1"/>
        <v>17.279999999999998</v>
      </c>
      <c r="BZ14" s="853">
        <f t="shared" si="1"/>
        <v>21.599999999999998</v>
      </c>
      <c r="CA14" s="853">
        <f t="shared" si="1"/>
        <v>25.919999999999998</v>
      </c>
      <c r="CB14" s="854">
        <f>SUM(BP14:CA14)</f>
        <v>90.719999999999985</v>
      </c>
      <c r="CC14" s="853">
        <f>$M14*AP14</f>
        <v>30.239999999999995</v>
      </c>
      <c r="CD14" s="853">
        <f t="shared" ref="CD14:CN37" si="2">$M14*AQ14</f>
        <v>34.559999999999995</v>
      </c>
      <c r="CE14" s="853">
        <f t="shared" si="2"/>
        <v>38.879999999999995</v>
      </c>
      <c r="CF14" s="853">
        <f t="shared" si="2"/>
        <v>43.199999999999996</v>
      </c>
      <c r="CG14" s="853">
        <f t="shared" si="2"/>
        <v>43.199999999999996</v>
      </c>
      <c r="CH14" s="853">
        <f t="shared" si="2"/>
        <v>43.199999999999996</v>
      </c>
      <c r="CI14" s="853">
        <f t="shared" si="2"/>
        <v>43.199999999999996</v>
      </c>
      <c r="CJ14" s="853">
        <f t="shared" si="2"/>
        <v>43.199999999999996</v>
      </c>
      <c r="CK14" s="853">
        <f t="shared" si="2"/>
        <v>43.199999999999996</v>
      </c>
      <c r="CL14" s="853">
        <f t="shared" si="2"/>
        <v>43.199999999999996</v>
      </c>
      <c r="CM14" s="853">
        <f t="shared" si="2"/>
        <v>43.199999999999996</v>
      </c>
      <c r="CN14" s="853">
        <f t="shared" si="2"/>
        <v>43.199999999999996</v>
      </c>
      <c r="CO14" s="854">
        <f>SUM(CC14:CN14)</f>
        <v>492.4799999999999</v>
      </c>
      <c r="CP14" s="855">
        <f>SUM(BO14,CB14,CO14)</f>
        <v>583.19999999999993</v>
      </c>
    </row>
    <row r="15" spans="1:94">
      <c r="A15" s="845">
        <v>2</v>
      </c>
      <c r="B15" s="846" t="s">
        <v>881</v>
      </c>
      <c r="C15" s="847">
        <v>2</v>
      </c>
      <c r="D15" s="847">
        <f>'Xpert needs'!AA9</f>
        <v>252</v>
      </c>
      <c r="E15" s="847">
        <f t="shared" ref="E15:E69" si="3">D15/12</f>
        <v>21</v>
      </c>
      <c r="F15" s="848">
        <f t="shared" ref="F15:F70" si="4">D15/230</f>
        <v>1.0956521739130434</v>
      </c>
      <c r="G15" s="849">
        <f t="shared" ref="G15:G70" si="5">F15/C15</f>
        <v>0.54782608695652169</v>
      </c>
      <c r="H15" s="847">
        <f t="shared" ref="H15:H69" si="6">D15</f>
        <v>252</v>
      </c>
      <c r="I15" s="847">
        <f t="shared" ref="I15:I60" si="7">H15/12</f>
        <v>21</v>
      </c>
      <c r="J15" s="848">
        <f t="shared" ref="J15:J70" si="8">H15/230</f>
        <v>1.0956521739130434</v>
      </c>
      <c r="K15" s="849">
        <f t="shared" ref="K15:K69" si="9">J15/C15</f>
        <v>0.54782608695652169</v>
      </c>
      <c r="L15" s="847">
        <f t="shared" ref="L15:L69" si="10">H15</f>
        <v>252</v>
      </c>
      <c r="M15" s="847">
        <f t="shared" ref="M15:M60" si="11">L15/12</f>
        <v>21</v>
      </c>
      <c r="N15" s="848">
        <f t="shared" ref="N15:N70" si="12">L15/230</f>
        <v>1.0956521739130434</v>
      </c>
      <c r="O15" s="849">
        <f t="shared" ref="O15:O60" si="13">N15/C15</f>
        <v>0.54782608695652169</v>
      </c>
      <c r="P15" s="850"/>
      <c r="Q15" s="850"/>
      <c r="R15" s="850"/>
      <c r="S15" s="850"/>
      <c r="T15" s="850"/>
      <c r="U15" s="850"/>
      <c r="V15" s="850"/>
      <c r="W15" s="850"/>
      <c r="X15" s="850"/>
      <c r="Y15" s="850"/>
      <c r="Z15" s="850"/>
      <c r="AA15" s="850"/>
      <c r="AB15" s="851">
        <f t="shared" ref="AB15:AB70" si="14">BO15/$D15</f>
        <v>0</v>
      </c>
      <c r="AC15" s="850"/>
      <c r="AD15" s="850"/>
      <c r="AE15" s="850"/>
      <c r="AF15" s="850"/>
      <c r="AG15" s="850"/>
      <c r="AH15" s="850"/>
      <c r="AI15" s="852">
        <v>0.1</v>
      </c>
      <c r="AJ15" s="850">
        <v>0.2</v>
      </c>
      <c r="AK15" s="850">
        <v>0.3</v>
      </c>
      <c r="AL15" s="850">
        <v>0.4</v>
      </c>
      <c r="AM15" s="850">
        <v>0.5</v>
      </c>
      <c r="AN15" s="850">
        <v>0.6</v>
      </c>
      <c r="AO15" s="851">
        <f t="shared" ref="AO15:AO60" si="15">CB15/$H15</f>
        <v>0.17500000000000002</v>
      </c>
      <c r="AP15" s="850">
        <v>0.7</v>
      </c>
      <c r="AQ15" s="850">
        <v>0.8</v>
      </c>
      <c r="AR15" s="850">
        <v>0.9</v>
      </c>
      <c r="AS15" s="850">
        <v>1</v>
      </c>
      <c r="AT15" s="850">
        <v>1</v>
      </c>
      <c r="AU15" s="850">
        <v>1</v>
      </c>
      <c r="AV15" s="850">
        <v>1</v>
      </c>
      <c r="AW15" s="850">
        <v>1</v>
      </c>
      <c r="AX15" s="850">
        <v>1</v>
      </c>
      <c r="AY15" s="850">
        <v>1</v>
      </c>
      <c r="AZ15" s="850">
        <v>1</v>
      </c>
      <c r="BA15" s="850">
        <v>1</v>
      </c>
      <c r="BB15" s="851">
        <f t="shared" ref="BB15:BB60" si="16">CO15/$L15</f>
        <v>0.95000000000000007</v>
      </c>
      <c r="BC15" s="853">
        <f t="shared" ref="BC15:BE60" si="17">$E15*P15</f>
        <v>0</v>
      </c>
      <c r="BD15" s="853">
        <f t="shared" si="0"/>
        <v>0</v>
      </c>
      <c r="BE15" s="853">
        <f t="shared" si="0"/>
        <v>0</v>
      </c>
      <c r="BF15" s="853">
        <f t="shared" si="0"/>
        <v>0</v>
      </c>
      <c r="BG15" s="853">
        <f t="shared" si="0"/>
        <v>0</v>
      </c>
      <c r="BH15" s="853">
        <f t="shared" si="0"/>
        <v>0</v>
      </c>
      <c r="BI15" s="853">
        <f t="shared" si="0"/>
        <v>0</v>
      </c>
      <c r="BJ15" s="853">
        <f t="shared" si="0"/>
        <v>0</v>
      </c>
      <c r="BK15" s="853">
        <f t="shared" si="0"/>
        <v>0</v>
      </c>
      <c r="BL15" s="853">
        <f t="shared" si="0"/>
        <v>0</v>
      </c>
      <c r="BM15" s="853">
        <f t="shared" si="0"/>
        <v>0</v>
      </c>
      <c r="BN15" s="853">
        <f t="shared" si="0"/>
        <v>0</v>
      </c>
      <c r="BO15" s="854">
        <f t="shared" ref="BO15:BO70" si="18">SUM(BC15:BN15)</f>
        <v>0</v>
      </c>
      <c r="BP15" s="853">
        <f t="shared" ref="BP15:BR60" si="19">$I15*AC15</f>
        <v>0</v>
      </c>
      <c r="BQ15" s="853">
        <f t="shared" si="1"/>
        <v>0</v>
      </c>
      <c r="BR15" s="853">
        <f t="shared" si="1"/>
        <v>0</v>
      </c>
      <c r="BS15" s="853">
        <f t="shared" si="1"/>
        <v>0</v>
      </c>
      <c r="BT15" s="853">
        <f t="shared" si="1"/>
        <v>0</v>
      </c>
      <c r="BU15" s="853">
        <f t="shared" si="1"/>
        <v>0</v>
      </c>
      <c r="BV15" s="853">
        <f t="shared" si="1"/>
        <v>2.1</v>
      </c>
      <c r="BW15" s="853">
        <f t="shared" si="1"/>
        <v>4.2</v>
      </c>
      <c r="BX15" s="853">
        <f t="shared" si="1"/>
        <v>6.3</v>
      </c>
      <c r="BY15" s="853">
        <f t="shared" si="1"/>
        <v>8.4</v>
      </c>
      <c r="BZ15" s="853">
        <f t="shared" si="1"/>
        <v>10.5</v>
      </c>
      <c r="CA15" s="853">
        <f t="shared" si="1"/>
        <v>12.6</v>
      </c>
      <c r="CB15" s="854">
        <f t="shared" ref="CB15:CB70" si="20">SUM(BP15:CA15)</f>
        <v>44.1</v>
      </c>
      <c r="CC15" s="853">
        <f t="shared" ref="CC15:CE60" si="21">$M15*AP15</f>
        <v>14.7</v>
      </c>
      <c r="CD15" s="853">
        <f t="shared" si="2"/>
        <v>16.8</v>
      </c>
      <c r="CE15" s="853">
        <f t="shared" si="2"/>
        <v>18.900000000000002</v>
      </c>
      <c r="CF15" s="853">
        <f t="shared" si="2"/>
        <v>21</v>
      </c>
      <c r="CG15" s="853">
        <f t="shared" si="2"/>
        <v>21</v>
      </c>
      <c r="CH15" s="853">
        <f t="shared" si="2"/>
        <v>21</v>
      </c>
      <c r="CI15" s="853">
        <f t="shared" si="2"/>
        <v>21</v>
      </c>
      <c r="CJ15" s="853">
        <f t="shared" si="2"/>
        <v>21</v>
      </c>
      <c r="CK15" s="853">
        <f t="shared" si="2"/>
        <v>21</v>
      </c>
      <c r="CL15" s="853">
        <f t="shared" si="2"/>
        <v>21</v>
      </c>
      <c r="CM15" s="853">
        <f t="shared" si="2"/>
        <v>21</v>
      </c>
      <c r="CN15" s="853">
        <f t="shared" si="2"/>
        <v>21</v>
      </c>
      <c r="CO15" s="854">
        <f t="shared" ref="CO15:CO70" si="22">SUM(CC15:CN15)</f>
        <v>239.4</v>
      </c>
      <c r="CP15" s="855">
        <f t="shared" ref="CP15:CP70" si="23">SUM(BO15,CB15,CO15)</f>
        <v>283.5</v>
      </c>
    </row>
    <row r="16" spans="1:94">
      <c r="A16" s="845">
        <v>3</v>
      </c>
      <c r="B16" s="846" t="s">
        <v>887</v>
      </c>
      <c r="C16" s="847">
        <v>2</v>
      </c>
      <c r="D16" s="847">
        <f>'Xpert needs'!AA14</f>
        <v>504</v>
      </c>
      <c r="E16" s="847">
        <f t="shared" si="3"/>
        <v>42</v>
      </c>
      <c r="F16" s="848">
        <f t="shared" si="4"/>
        <v>2.1913043478260867</v>
      </c>
      <c r="G16" s="849">
        <f t="shared" si="5"/>
        <v>1.0956521739130434</v>
      </c>
      <c r="H16" s="847">
        <f t="shared" si="6"/>
        <v>504</v>
      </c>
      <c r="I16" s="847">
        <f t="shared" si="7"/>
        <v>42</v>
      </c>
      <c r="J16" s="848">
        <f t="shared" si="8"/>
        <v>2.1913043478260867</v>
      </c>
      <c r="K16" s="849">
        <f t="shared" si="9"/>
        <v>1.0956521739130434</v>
      </c>
      <c r="L16" s="847">
        <f t="shared" si="10"/>
        <v>504</v>
      </c>
      <c r="M16" s="847">
        <f t="shared" si="11"/>
        <v>42</v>
      </c>
      <c r="N16" s="848">
        <f t="shared" si="12"/>
        <v>2.1913043478260867</v>
      </c>
      <c r="O16" s="849">
        <f t="shared" si="13"/>
        <v>1.0956521739130434</v>
      </c>
      <c r="P16" s="850"/>
      <c r="Q16" s="850"/>
      <c r="R16" s="850"/>
      <c r="S16" s="850"/>
      <c r="T16" s="850"/>
      <c r="U16" s="850"/>
      <c r="V16" s="850"/>
      <c r="W16" s="850"/>
      <c r="X16" s="850"/>
      <c r="Y16" s="850"/>
      <c r="Z16" s="850"/>
      <c r="AA16" s="850"/>
      <c r="AB16" s="851">
        <f t="shared" si="14"/>
        <v>0</v>
      </c>
      <c r="AC16" s="852">
        <v>0.1</v>
      </c>
      <c r="AD16" s="850">
        <v>0.3</v>
      </c>
      <c r="AE16" s="850">
        <v>0.5</v>
      </c>
      <c r="AF16" s="850">
        <v>0.7</v>
      </c>
      <c r="AG16" s="850">
        <v>0.8</v>
      </c>
      <c r="AH16" s="850">
        <v>0.9</v>
      </c>
      <c r="AI16" s="850">
        <v>1</v>
      </c>
      <c r="AJ16" s="850">
        <v>1</v>
      </c>
      <c r="AK16" s="850">
        <v>1</v>
      </c>
      <c r="AL16" s="850">
        <v>1</v>
      </c>
      <c r="AM16" s="850">
        <v>1</v>
      </c>
      <c r="AN16" s="850">
        <v>1</v>
      </c>
      <c r="AO16" s="851">
        <f t="shared" si="15"/>
        <v>0.77500000000000002</v>
      </c>
      <c r="AP16" s="850">
        <v>1</v>
      </c>
      <c r="AQ16" s="850">
        <v>1</v>
      </c>
      <c r="AR16" s="850">
        <v>1</v>
      </c>
      <c r="AS16" s="850">
        <v>1</v>
      </c>
      <c r="AT16" s="850">
        <v>1</v>
      </c>
      <c r="AU16" s="850">
        <v>1</v>
      </c>
      <c r="AV16" s="850">
        <v>1</v>
      </c>
      <c r="AW16" s="850">
        <v>1</v>
      </c>
      <c r="AX16" s="850">
        <v>1</v>
      </c>
      <c r="AY16" s="850">
        <v>1</v>
      </c>
      <c r="AZ16" s="850">
        <v>1</v>
      </c>
      <c r="BA16" s="850">
        <v>1</v>
      </c>
      <c r="BB16" s="851">
        <f t="shared" si="16"/>
        <v>1</v>
      </c>
      <c r="BC16" s="853">
        <f t="shared" si="17"/>
        <v>0</v>
      </c>
      <c r="BD16" s="853">
        <f t="shared" si="0"/>
        <v>0</v>
      </c>
      <c r="BE16" s="853">
        <f t="shared" si="0"/>
        <v>0</v>
      </c>
      <c r="BF16" s="853">
        <f t="shared" si="0"/>
        <v>0</v>
      </c>
      <c r="BG16" s="853">
        <f t="shared" si="0"/>
        <v>0</v>
      </c>
      <c r="BH16" s="853">
        <f t="shared" si="0"/>
        <v>0</v>
      </c>
      <c r="BI16" s="853">
        <f t="shared" si="0"/>
        <v>0</v>
      </c>
      <c r="BJ16" s="853">
        <f t="shared" si="0"/>
        <v>0</v>
      </c>
      <c r="BK16" s="853">
        <f t="shared" si="0"/>
        <v>0</v>
      </c>
      <c r="BL16" s="853">
        <f t="shared" si="0"/>
        <v>0</v>
      </c>
      <c r="BM16" s="853">
        <f t="shared" si="0"/>
        <v>0</v>
      </c>
      <c r="BN16" s="853">
        <f t="shared" si="0"/>
        <v>0</v>
      </c>
      <c r="BO16" s="854">
        <f t="shared" si="18"/>
        <v>0</v>
      </c>
      <c r="BP16" s="853">
        <f t="shared" si="19"/>
        <v>4.2</v>
      </c>
      <c r="BQ16" s="853">
        <f t="shared" si="1"/>
        <v>12.6</v>
      </c>
      <c r="BR16" s="853">
        <f t="shared" si="1"/>
        <v>21</v>
      </c>
      <c r="BS16" s="853">
        <f t="shared" si="1"/>
        <v>29.4</v>
      </c>
      <c r="BT16" s="853">
        <f t="shared" si="1"/>
        <v>33.6</v>
      </c>
      <c r="BU16" s="853">
        <f t="shared" si="1"/>
        <v>37.800000000000004</v>
      </c>
      <c r="BV16" s="853">
        <f t="shared" si="1"/>
        <v>42</v>
      </c>
      <c r="BW16" s="853">
        <f t="shared" si="1"/>
        <v>42</v>
      </c>
      <c r="BX16" s="853">
        <f t="shared" si="1"/>
        <v>42</v>
      </c>
      <c r="BY16" s="853">
        <f t="shared" si="1"/>
        <v>42</v>
      </c>
      <c r="BZ16" s="853">
        <f t="shared" si="1"/>
        <v>42</v>
      </c>
      <c r="CA16" s="853">
        <f t="shared" si="1"/>
        <v>42</v>
      </c>
      <c r="CB16" s="854">
        <f t="shared" si="20"/>
        <v>390.6</v>
      </c>
      <c r="CC16" s="853">
        <f t="shared" si="21"/>
        <v>42</v>
      </c>
      <c r="CD16" s="853">
        <f t="shared" si="2"/>
        <v>42</v>
      </c>
      <c r="CE16" s="853">
        <f t="shared" si="2"/>
        <v>42</v>
      </c>
      <c r="CF16" s="853">
        <f t="shared" si="2"/>
        <v>42</v>
      </c>
      <c r="CG16" s="853">
        <f t="shared" si="2"/>
        <v>42</v>
      </c>
      <c r="CH16" s="853">
        <f t="shared" si="2"/>
        <v>42</v>
      </c>
      <c r="CI16" s="853">
        <f t="shared" si="2"/>
        <v>42</v>
      </c>
      <c r="CJ16" s="853">
        <f t="shared" si="2"/>
        <v>42</v>
      </c>
      <c r="CK16" s="853">
        <f t="shared" si="2"/>
        <v>42</v>
      </c>
      <c r="CL16" s="853">
        <f t="shared" si="2"/>
        <v>42</v>
      </c>
      <c r="CM16" s="853">
        <f t="shared" si="2"/>
        <v>42</v>
      </c>
      <c r="CN16" s="853">
        <f t="shared" si="2"/>
        <v>42</v>
      </c>
      <c r="CO16" s="854">
        <f t="shared" si="22"/>
        <v>504</v>
      </c>
      <c r="CP16" s="855">
        <f t="shared" si="23"/>
        <v>894.6</v>
      </c>
    </row>
    <row r="17" spans="1:94">
      <c r="A17" s="845">
        <v>4</v>
      </c>
      <c r="B17" s="846" t="s">
        <v>888</v>
      </c>
      <c r="C17" s="847">
        <v>2</v>
      </c>
      <c r="D17" s="847">
        <f>'Xpert needs'!AA15</f>
        <v>281</v>
      </c>
      <c r="E17" s="847">
        <f t="shared" si="3"/>
        <v>23.416666666666668</v>
      </c>
      <c r="F17" s="848">
        <f t="shared" si="4"/>
        <v>1.2217391304347827</v>
      </c>
      <c r="G17" s="849">
        <f t="shared" si="5"/>
        <v>0.61086956521739133</v>
      </c>
      <c r="H17" s="847">
        <f t="shared" si="6"/>
        <v>281</v>
      </c>
      <c r="I17" s="847">
        <f t="shared" si="7"/>
        <v>23.416666666666668</v>
      </c>
      <c r="J17" s="848">
        <f t="shared" si="8"/>
        <v>1.2217391304347827</v>
      </c>
      <c r="K17" s="849">
        <f t="shared" si="9"/>
        <v>0.61086956521739133</v>
      </c>
      <c r="L17" s="847">
        <f t="shared" si="10"/>
        <v>281</v>
      </c>
      <c r="M17" s="847">
        <f t="shared" si="11"/>
        <v>23.416666666666668</v>
      </c>
      <c r="N17" s="848">
        <f t="shared" si="12"/>
        <v>1.2217391304347827</v>
      </c>
      <c r="O17" s="849">
        <f t="shared" si="13"/>
        <v>0.61086956521739133</v>
      </c>
      <c r="P17" s="850"/>
      <c r="Q17" s="850"/>
      <c r="R17" s="850"/>
      <c r="S17" s="850"/>
      <c r="T17" s="850"/>
      <c r="U17" s="850"/>
      <c r="V17" s="850"/>
      <c r="W17" s="850"/>
      <c r="X17" s="850"/>
      <c r="Y17" s="850"/>
      <c r="Z17" s="850"/>
      <c r="AA17" s="850"/>
      <c r="AB17" s="851">
        <f t="shared" si="14"/>
        <v>0</v>
      </c>
      <c r="AC17" s="852">
        <v>0.1</v>
      </c>
      <c r="AD17" s="850">
        <v>0.3</v>
      </c>
      <c r="AE17" s="850">
        <v>0.5</v>
      </c>
      <c r="AF17" s="850">
        <v>0.7</v>
      </c>
      <c r="AG17" s="850">
        <v>0.8</v>
      </c>
      <c r="AH17" s="850">
        <v>0.9</v>
      </c>
      <c r="AI17" s="850">
        <v>1</v>
      </c>
      <c r="AJ17" s="850">
        <v>1</v>
      </c>
      <c r="AK17" s="850">
        <v>1</v>
      </c>
      <c r="AL17" s="850">
        <v>1</v>
      </c>
      <c r="AM17" s="850">
        <v>1</v>
      </c>
      <c r="AN17" s="850">
        <v>1</v>
      </c>
      <c r="AO17" s="851">
        <f t="shared" si="15"/>
        <v>0.77499999999999991</v>
      </c>
      <c r="AP17" s="850">
        <v>1</v>
      </c>
      <c r="AQ17" s="850">
        <v>1</v>
      </c>
      <c r="AR17" s="850">
        <v>1</v>
      </c>
      <c r="AS17" s="850">
        <v>1</v>
      </c>
      <c r="AT17" s="850">
        <v>1</v>
      </c>
      <c r="AU17" s="850">
        <v>1</v>
      </c>
      <c r="AV17" s="850">
        <v>1</v>
      </c>
      <c r="AW17" s="850">
        <v>1</v>
      </c>
      <c r="AX17" s="850">
        <v>1</v>
      </c>
      <c r="AY17" s="850">
        <v>1</v>
      </c>
      <c r="AZ17" s="850">
        <v>1</v>
      </c>
      <c r="BA17" s="850">
        <v>1</v>
      </c>
      <c r="BB17" s="851">
        <f t="shared" si="16"/>
        <v>1</v>
      </c>
      <c r="BC17" s="853">
        <f t="shared" si="17"/>
        <v>0</v>
      </c>
      <c r="BD17" s="853">
        <f t="shared" si="0"/>
        <v>0</v>
      </c>
      <c r="BE17" s="853">
        <f t="shared" si="0"/>
        <v>0</v>
      </c>
      <c r="BF17" s="853">
        <f t="shared" si="0"/>
        <v>0</v>
      </c>
      <c r="BG17" s="853">
        <f t="shared" si="0"/>
        <v>0</v>
      </c>
      <c r="BH17" s="853">
        <f t="shared" si="0"/>
        <v>0</v>
      </c>
      <c r="BI17" s="853">
        <f t="shared" si="0"/>
        <v>0</v>
      </c>
      <c r="BJ17" s="853">
        <f t="shared" si="0"/>
        <v>0</v>
      </c>
      <c r="BK17" s="853">
        <f t="shared" si="0"/>
        <v>0</v>
      </c>
      <c r="BL17" s="853">
        <f t="shared" si="0"/>
        <v>0</v>
      </c>
      <c r="BM17" s="853">
        <f t="shared" si="0"/>
        <v>0</v>
      </c>
      <c r="BN17" s="853">
        <f t="shared" si="0"/>
        <v>0</v>
      </c>
      <c r="BO17" s="854">
        <f t="shared" si="18"/>
        <v>0</v>
      </c>
      <c r="BP17" s="853">
        <f t="shared" si="19"/>
        <v>2.3416666666666668</v>
      </c>
      <c r="BQ17" s="853">
        <f t="shared" si="1"/>
        <v>7.0250000000000004</v>
      </c>
      <c r="BR17" s="853">
        <f t="shared" si="1"/>
        <v>11.708333333333334</v>
      </c>
      <c r="BS17" s="853">
        <f t="shared" si="1"/>
        <v>16.391666666666666</v>
      </c>
      <c r="BT17" s="853">
        <f t="shared" si="1"/>
        <v>18.733333333333334</v>
      </c>
      <c r="BU17" s="853">
        <f t="shared" si="1"/>
        <v>21.075000000000003</v>
      </c>
      <c r="BV17" s="853">
        <f t="shared" si="1"/>
        <v>23.416666666666668</v>
      </c>
      <c r="BW17" s="853">
        <f t="shared" si="1"/>
        <v>23.416666666666668</v>
      </c>
      <c r="BX17" s="853">
        <f t="shared" si="1"/>
        <v>23.416666666666668</v>
      </c>
      <c r="BY17" s="853">
        <f t="shared" si="1"/>
        <v>23.416666666666668</v>
      </c>
      <c r="BZ17" s="853">
        <f t="shared" si="1"/>
        <v>23.416666666666668</v>
      </c>
      <c r="CA17" s="853">
        <f t="shared" si="1"/>
        <v>23.416666666666668</v>
      </c>
      <c r="CB17" s="854">
        <f t="shared" si="20"/>
        <v>217.77499999999998</v>
      </c>
      <c r="CC17" s="853">
        <f t="shared" si="21"/>
        <v>23.416666666666668</v>
      </c>
      <c r="CD17" s="853">
        <f t="shared" si="2"/>
        <v>23.416666666666668</v>
      </c>
      <c r="CE17" s="853">
        <f t="shared" si="2"/>
        <v>23.416666666666668</v>
      </c>
      <c r="CF17" s="853">
        <f t="shared" si="2"/>
        <v>23.416666666666668</v>
      </c>
      <c r="CG17" s="853">
        <f t="shared" si="2"/>
        <v>23.416666666666668</v>
      </c>
      <c r="CH17" s="853">
        <f t="shared" si="2"/>
        <v>23.416666666666668</v>
      </c>
      <c r="CI17" s="853">
        <f t="shared" si="2"/>
        <v>23.416666666666668</v>
      </c>
      <c r="CJ17" s="853">
        <f t="shared" si="2"/>
        <v>23.416666666666668</v>
      </c>
      <c r="CK17" s="853">
        <f t="shared" si="2"/>
        <v>23.416666666666668</v>
      </c>
      <c r="CL17" s="853">
        <f t="shared" si="2"/>
        <v>23.416666666666668</v>
      </c>
      <c r="CM17" s="853">
        <f t="shared" si="2"/>
        <v>23.416666666666668</v>
      </c>
      <c r="CN17" s="853">
        <f t="shared" si="2"/>
        <v>23.416666666666668</v>
      </c>
      <c r="CO17" s="854">
        <f t="shared" si="22"/>
        <v>281</v>
      </c>
      <c r="CP17" s="855">
        <f t="shared" si="23"/>
        <v>498.77499999999998</v>
      </c>
    </row>
    <row r="18" spans="1:94">
      <c r="A18" s="856">
        <v>5</v>
      </c>
      <c r="B18" s="846" t="s">
        <v>1691</v>
      </c>
      <c r="C18" s="847">
        <v>4</v>
      </c>
      <c r="D18" s="847">
        <f>'Xpert needs'!AA16</f>
        <v>550.79999999999995</v>
      </c>
      <c r="E18" s="847">
        <f t="shared" si="3"/>
        <v>45.9</v>
      </c>
      <c r="F18" s="848">
        <f t="shared" si="4"/>
        <v>2.3947826086956518</v>
      </c>
      <c r="G18" s="849">
        <f t="shared" si="5"/>
        <v>0.59869565217391296</v>
      </c>
      <c r="H18" s="847">
        <f t="shared" si="6"/>
        <v>550.79999999999995</v>
      </c>
      <c r="I18" s="847">
        <f t="shared" si="7"/>
        <v>45.9</v>
      </c>
      <c r="J18" s="848">
        <f t="shared" si="8"/>
        <v>2.3947826086956518</v>
      </c>
      <c r="K18" s="849">
        <f t="shared" si="9"/>
        <v>0.59869565217391296</v>
      </c>
      <c r="L18" s="847">
        <f t="shared" si="10"/>
        <v>550.79999999999995</v>
      </c>
      <c r="M18" s="847">
        <f t="shared" si="11"/>
        <v>45.9</v>
      </c>
      <c r="N18" s="848">
        <f t="shared" si="12"/>
        <v>2.3947826086956518</v>
      </c>
      <c r="O18" s="849">
        <f t="shared" si="13"/>
        <v>0.59869565217391296</v>
      </c>
      <c r="P18" s="857">
        <v>1</v>
      </c>
      <c r="Q18" s="850">
        <v>1.1000000000000001</v>
      </c>
      <c r="R18" s="850">
        <v>1.2</v>
      </c>
      <c r="S18" s="850">
        <v>1.3</v>
      </c>
      <c r="T18" s="850">
        <v>1.4</v>
      </c>
      <c r="U18" s="850">
        <v>1.45</v>
      </c>
      <c r="V18" s="850">
        <v>1.5</v>
      </c>
      <c r="W18" s="850">
        <v>1.5</v>
      </c>
      <c r="X18" s="850">
        <v>1.5</v>
      </c>
      <c r="Y18" s="850">
        <v>1.5</v>
      </c>
      <c r="Z18" s="850">
        <v>1.5</v>
      </c>
      <c r="AA18" s="850">
        <v>1.5</v>
      </c>
      <c r="AB18" s="851">
        <f t="shared" si="14"/>
        <v>1.3708333333333336</v>
      </c>
      <c r="AC18" s="850">
        <v>1.4</v>
      </c>
      <c r="AD18" s="850">
        <v>1.3</v>
      </c>
      <c r="AE18" s="850">
        <v>1.2</v>
      </c>
      <c r="AF18" s="850">
        <v>1</v>
      </c>
      <c r="AG18" s="850">
        <v>1</v>
      </c>
      <c r="AH18" s="850">
        <v>1</v>
      </c>
      <c r="AI18" s="850">
        <v>1</v>
      </c>
      <c r="AJ18" s="850">
        <v>1</v>
      </c>
      <c r="AK18" s="850">
        <v>1</v>
      </c>
      <c r="AL18" s="850">
        <v>1</v>
      </c>
      <c r="AM18" s="850">
        <v>1</v>
      </c>
      <c r="AN18" s="850">
        <v>1</v>
      </c>
      <c r="AO18" s="851">
        <f t="shared" si="15"/>
        <v>1.075</v>
      </c>
      <c r="AP18" s="850">
        <v>1</v>
      </c>
      <c r="AQ18" s="850">
        <v>1</v>
      </c>
      <c r="AR18" s="850">
        <v>1</v>
      </c>
      <c r="AS18" s="850">
        <v>1</v>
      </c>
      <c r="AT18" s="850">
        <v>1</v>
      </c>
      <c r="AU18" s="850">
        <v>1</v>
      </c>
      <c r="AV18" s="850">
        <v>1</v>
      </c>
      <c r="AW18" s="850">
        <v>1</v>
      </c>
      <c r="AX18" s="850">
        <v>1</v>
      </c>
      <c r="AY18" s="850">
        <v>1</v>
      </c>
      <c r="AZ18" s="850">
        <v>1</v>
      </c>
      <c r="BA18" s="850">
        <v>1</v>
      </c>
      <c r="BB18" s="851">
        <f t="shared" si="16"/>
        <v>0.99999999999999978</v>
      </c>
      <c r="BC18" s="853">
        <f t="shared" si="17"/>
        <v>45.9</v>
      </c>
      <c r="BD18" s="853">
        <f t="shared" si="0"/>
        <v>50.49</v>
      </c>
      <c r="BE18" s="853">
        <f t="shared" si="0"/>
        <v>55.08</v>
      </c>
      <c r="BF18" s="853">
        <f t="shared" si="0"/>
        <v>59.67</v>
      </c>
      <c r="BG18" s="853">
        <f t="shared" si="0"/>
        <v>64.259999999999991</v>
      </c>
      <c r="BH18" s="853">
        <f t="shared" si="0"/>
        <v>66.554999999999993</v>
      </c>
      <c r="BI18" s="853">
        <f t="shared" si="0"/>
        <v>68.849999999999994</v>
      </c>
      <c r="BJ18" s="853">
        <f t="shared" si="0"/>
        <v>68.849999999999994</v>
      </c>
      <c r="BK18" s="853">
        <f t="shared" si="0"/>
        <v>68.849999999999994</v>
      </c>
      <c r="BL18" s="853">
        <f t="shared" si="0"/>
        <v>68.849999999999994</v>
      </c>
      <c r="BM18" s="853">
        <f t="shared" si="0"/>
        <v>68.849999999999994</v>
      </c>
      <c r="BN18" s="853">
        <f t="shared" si="0"/>
        <v>68.849999999999994</v>
      </c>
      <c r="BO18" s="854">
        <f t="shared" si="18"/>
        <v>755.05500000000006</v>
      </c>
      <c r="BP18" s="853">
        <f t="shared" si="19"/>
        <v>64.259999999999991</v>
      </c>
      <c r="BQ18" s="853">
        <f t="shared" si="1"/>
        <v>59.67</v>
      </c>
      <c r="BR18" s="853">
        <f t="shared" si="1"/>
        <v>55.08</v>
      </c>
      <c r="BS18" s="853">
        <f t="shared" si="1"/>
        <v>45.9</v>
      </c>
      <c r="BT18" s="853">
        <f t="shared" si="1"/>
        <v>45.9</v>
      </c>
      <c r="BU18" s="853">
        <f t="shared" si="1"/>
        <v>45.9</v>
      </c>
      <c r="BV18" s="853">
        <f t="shared" si="1"/>
        <v>45.9</v>
      </c>
      <c r="BW18" s="853">
        <f t="shared" si="1"/>
        <v>45.9</v>
      </c>
      <c r="BX18" s="853">
        <f t="shared" si="1"/>
        <v>45.9</v>
      </c>
      <c r="BY18" s="853">
        <f t="shared" si="1"/>
        <v>45.9</v>
      </c>
      <c r="BZ18" s="853">
        <f t="shared" si="1"/>
        <v>45.9</v>
      </c>
      <c r="CA18" s="853">
        <f t="shared" si="1"/>
        <v>45.9</v>
      </c>
      <c r="CB18" s="854">
        <f t="shared" si="20"/>
        <v>592.1099999999999</v>
      </c>
      <c r="CC18" s="853">
        <f t="shared" si="21"/>
        <v>45.9</v>
      </c>
      <c r="CD18" s="853">
        <f t="shared" si="2"/>
        <v>45.9</v>
      </c>
      <c r="CE18" s="853">
        <f t="shared" si="2"/>
        <v>45.9</v>
      </c>
      <c r="CF18" s="853">
        <f t="shared" si="2"/>
        <v>45.9</v>
      </c>
      <c r="CG18" s="853">
        <f t="shared" si="2"/>
        <v>45.9</v>
      </c>
      <c r="CH18" s="853">
        <f t="shared" si="2"/>
        <v>45.9</v>
      </c>
      <c r="CI18" s="853">
        <f t="shared" si="2"/>
        <v>45.9</v>
      </c>
      <c r="CJ18" s="853">
        <f t="shared" si="2"/>
        <v>45.9</v>
      </c>
      <c r="CK18" s="853">
        <f t="shared" si="2"/>
        <v>45.9</v>
      </c>
      <c r="CL18" s="853">
        <f t="shared" si="2"/>
        <v>45.9</v>
      </c>
      <c r="CM18" s="853">
        <f t="shared" si="2"/>
        <v>45.9</v>
      </c>
      <c r="CN18" s="853">
        <f t="shared" si="2"/>
        <v>45.9</v>
      </c>
      <c r="CO18" s="854">
        <f t="shared" si="22"/>
        <v>550.79999999999984</v>
      </c>
      <c r="CP18" s="855">
        <f t="shared" si="23"/>
        <v>1897.9649999999997</v>
      </c>
    </row>
    <row r="19" spans="1:94">
      <c r="A19" s="845">
        <v>6</v>
      </c>
      <c r="B19" s="846" t="s">
        <v>890</v>
      </c>
      <c r="C19" s="847">
        <v>2</v>
      </c>
      <c r="D19" s="847">
        <f>'Xpert needs'!AA17</f>
        <v>393.59999999999997</v>
      </c>
      <c r="E19" s="847">
        <f t="shared" si="3"/>
        <v>32.799999999999997</v>
      </c>
      <c r="F19" s="848">
        <f t="shared" si="4"/>
        <v>1.7113043478260868</v>
      </c>
      <c r="G19" s="849">
        <f t="shared" si="5"/>
        <v>0.85565217391304338</v>
      </c>
      <c r="H19" s="847">
        <f t="shared" si="6"/>
        <v>393.59999999999997</v>
      </c>
      <c r="I19" s="847">
        <f t="shared" si="7"/>
        <v>32.799999999999997</v>
      </c>
      <c r="J19" s="848">
        <f t="shared" si="8"/>
        <v>1.7113043478260868</v>
      </c>
      <c r="K19" s="849">
        <f t="shared" si="9"/>
        <v>0.85565217391304338</v>
      </c>
      <c r="L19" s="847">
        <f t="shared" si="10"/>
        <v>393.59999999999997</v>
      </c>
      <c r="M19" s="847">
        <f t="shared" si="11"/>
        <v>32.799999999999997</v>
      </c>
      <c r="N19" s="848">
        <f t="shared" si="12"/>
        <v>1.7113043478260868</v>
      </c>
      <c r="O19" s="849">
        <f t="shared" si="13"/>
        <v>0.85565217391304338</v>
      </c>
      <c r="P19" s="850"/>
      <c r="Q19" s="850"/>
      <c r="R19" s="850"/>
      <c r="S19" s="850"/>
      <c r="T19" s="850"/>
      <c r="U19" s="850"/>
      <c r="V19" s="850"/>
      <c r="W19" s="850"/>
      <c r="X19" s="850"/>
      <c r="Y19" s="850"/>
      <c r="Z19" s="850"/>
      <c r="AA19" s="850"/>
      <c r="AB19" s="851">
        <f t="shared" si="14"/>
        <v>0</v>
      </c>
      <c r="AC19" s="852">
        <v>0.1</v>
      </c>
      <c r="AD19" s="850">
        <v>0.3</v>
      </c>
      <c r="AE19" s="850">
        <v>0.5</v>
      </c>
      <c r="AF19" s="850">
        <v>0.7</v>
      </c>
      <c r="AG19" s="850">
        <v>0.8</v>
      </c>
      <c r="AH19" s="850">
        <v>0.9</v>
      </c>
      <c r="AI19" s="850">
        <v>1</v>
      </c>
      <c r="AJ19" s="850">
        <v>1</v>
      </c>
      <c r="AK19" s="850">
        <v>1</v>
      </c>
      <c r="AL19" s="850">
        <v>1</v>
      </c>
      <c r="AM19" s="850">
        <v>1</v>
      </c>
      <c r="AN19" s="850">
        <v>1</v>
      </c>
      <c r="AO19" s="851">
        <f t="shared" si="15"/>
        <v>0.77500000000000013</v>
      </c>
      <c r="AP19" s="850">
        <v>1</v>
      </c>
      <c r="AQ19" s="850">
        <v>1</v>
      </c>
      <c r="AR19" s="850">
        <v>1</v>
      </c>
      <c r="AS19" s="850">
        <v>1</v>
      </c>
      <c r="AT19" s="850">
        <v>1</v>
      </c>
      <c r="AU19" s="850">
        <v>1</v>
      </c>
      <c r="AV19" s="850">
        <v>1</v>
      </c>
      <c r="AW19" s="850">
        <v>1</v>
      </c>
      <c r="AX19" s="850">
        <v>1</v>
      </c>
      <c r="AY19" s="850">
        <v>1</v>
      </c>
      <c r="AZ19" s="850">
        <v>1</v>
      </c>
      <c r="BA19" s="850">
        <v>1</v>
      </c>
      <c r="BB19" s="851">
        <f t="shared" si="16"/>
        <v>1.0000000000000002</v>
      </c>
      <c r="BC19" s="853">
        <f t="shared" si="17"/>
        <v>0</v>
      </c>
      <c r="BD19" s="853">
        <f t="shared" si="0"/>
        <v>0</v>
      </c>
      <c r="BE19" s="853">
        <f t="shared" si="0"/>
        <v>0</v>
      </c>
      <c r="BF19" s="853">
        <f t="shared" si="0"/>
        <v>0</v>
      </c>
      <c r="BG19" s="853">
        <f t="shared" si="0"/>
        <v>0</v>
      </c>
      <c r="BH19" s="853">
        <f t="shared" si="0"/>
        <v>0</v>
      </c>
      <c r="BI19" s="853">
        <f t="shared" si="0"/>
        <v>0</v>
      </c>
      <c r="BJ19" s="853">
        <f t="shared" si="0"/>
        <v>0</v>
      </c>
      <c r="BK19" s="853">
        <f t="shared" si="0"/>
        <v>0</v>
      </c>
      <c r="BL19" s="853">
        <f t="shared" si="0"/>
        <v>0</v>
      </c>
      <c r="BM19" s="853">
        <f t="shared" si="0"/>
        <v>0</v>
      </c>
      <c r="BN19" s="853">
        <f t="shared" si="0"/>
        <v>0</v>
      </c>
      <c r="BO19" s="854">
        <f t="shared" si="18"/>
        <v>0</v>
      </c>
      <c r="BP19" s="853">
        <f t="shared" si="19"/>
        <v>3.28</v>
      </c>
      <c r="BQ19" s="853">
        <f t="shared" si="1"/>
        <v>9.8399999999999981</v>
      </c>
      <c r="BR19" s="853">
        <f t="shared" si="1"/>
        <v>16.399999999999999</v>
      </c>
      <c r="BS19" s="853">
        <f t="shared" si="1"/>
        <v>22.959999999999997</v>
      </c>
      <c r="BT19" s="853">
        <f t="shared" si="1"/>
        <v>26.24</v>
      </c>
      <c r="BU19" s="853">
        <f t="shared" si="1"/>
        <v>29.52</v>
      </c>
      <c r="BV19" s="853">
        <f t="shared" si="1"/>
        <v>32.799999999999997</v>
      </c>
      <c r="BW19" s="853">
        <f t="shared" si="1"/>
        <v>32.799999999999997</v>
      </c>
      <c r="BX19" s="853">
        <f t="shared" si="1"/>
        <v>32.799999999999997</v>
      </c>
      <c r="BY19" s="853">
        <f t="shared" si="1"/>
        <v>32.799999999999997</v>
      </c>
      <c r="BZ19" s="853">
        <f t="shared" si="1"/>
        <v>32.799999999999997</v>
      </c>
      <c r="CA19" s="853">
        <f t="shared" si="1"/>
        <v>32.799999999999997</v>
      </c>
      <c r="CB19" s="854">
        <f t="shared" si="20"/>
        <v>305.04000000000002</v>
      </c>
      <c r="CC19" s="853">
        <f t="shared" si="21"/>
        <v>32.799999999999997</v>
      </c>
      <c r="CD19" s="853">
        <f t="shared" si="2"/>
        <v>32.799999999999997</v>
      </c>
      <c r="CE19" s="853">
        <f t="shared" si="2"/>
        <v>32.799999999999997</v>
      </c>
      <c r="CF19" s="853">
        <f t="shared" si="2"/>
        <v>32.799999999999997</v>
      </c>
      <c r="CG19" s="853">
        <f t="shared" si="2"/>
        <v>32.799999999999997</v>
      </c>
      <c r="CH19" s="853">
        <f t="shared" si="2"/>
        <v>32.799999999999997</v>
      </c>
      <c r="CI19" s="853">
        <f t="shared" si="2"/>
        <v>32.799999999999997</v>
      </c>
      <c r="CJ19" s="853">
        <f t="shared" si="2"/>
        <v>32.799999999999997</v>
      </c>
      <c r="CK19" s="853">
        <f t="shared" si="2"/>
        <v>32.799999999999997</v>
      </c>
      <c r="CL19" s="853">
        <f t="shared" si="2"/>
        <v>32.799999999999997</v>
      </c>
      <c r="CM19" s="853">
        <f t="shared" si="2"/>
        <v>32.799999999999997</v>
      </c>
      <c r="CN19" s="853">
        <f t="shared" si="2"/>
        <v>32.799999999999997</v>
      </c>
      <c r="CO19" s="854">
        <f t="shared" si="22"/>
        <v>393.60000000000008</v>
      </c>
      <c r="CP19" s="855">
        <f t="shared" si="23"/>
        <v>698.6400000000001</v>
      </c>
    </row>
    <row r="20" spans="1:94">
      <c r="A20" s="845">
        <v>7</v>
      </c>
      <c r="B20" s="846" t="s">
        <v>891</v>
      </c>
      <c r="C20" s="847">
        <v>2</v>
      </c>
      <c r="D20" s="847">
        <f>'Xpert needs'!AA18</f>
        <v>313.2</v>
      </c>
      <c r="E20" s="847">
        <f t="shared" si="3"/>
        <v>26.099999999999998</v>
      </c>
      <c r="F20" s="848">
        <f t="shared" si="4"/>
        <v>1.3617391304347826</v>
      </c>
      <c r="G20" s="849">
        <f t="shared" si="5"/>
        <v>0.68086956521739128</v>
      </c>
      <c r="H20" s="847">
        <f t="shared" si="6"/>
        <v>313.2</v>
      </c>
      <c r="I20" s="847">
        <f t="shared" si="7"/>
        <v>26.099999999999998</v>
      </c>
      <c r="J20" s="848">
        <f t="shared" si="8"/>
        <v>1.3617391304347826</v>
      </c>
      <c r="K20" s="849">
        <f t="shared" si="9"/>
        <v>0.68086956521739128</v>
      </c>
      <c r="L20" s="847">
        <f t="shared" si="10"/>
        <v>313.2</v>
      </c>
      <c r="M20" s="847">
        <f t="shared" si="11"/>
        <v>26.099999999999998</v>
      </c>
      <c r="N20" s="848">
        <f t="shared" si="12"/>
        <v>1.3617391304347826</v>
      </c>
      <c r="O20" s="849">
        <f t="shared" si="13"/>
        <v>0.68086956521739128</v>
      </c>
      <c r="P20" s="850"/>
      <c r="Q20" s="850"/>
      <c r="R20" s="850"/>
      <c r="S20" s="850"/>
      <c r="T20" s="850"/>
      <c r="U20" s="850"/>
      <c r="V20" s="850"/>
      <c r="W20" s="850"/>
      <c r="X20" s="850"/>
      <c r="Y20" s="850"/>
      <c r="Z20" s="850"/>
      <c r="AA20" s="850"/>
      <c r="AB20" s="851">
        <f t="shared" si="14"/>
        <v>0</v>
      </c>
      <c r="AC20" s="852">
        <v>0.1</v>
      </c>
      <c r="AD20" s="850">
        <v>0.3</v>
      </c>
      <c r="AE20" s="850">
        <v>0.5</v>
      </c>
      <c r="AF20" s="850">
        <v>0.7</v>
      </c>
      <c r="AG20" s="850">
        <v>0.8</v>
      </c>
      <c r="AH20" s="850">
        <v>0.9</v>
      </c>
      <c r="AI20" s="850">
        <v>1</v>
      </c>
      <c r="AJ20" s="850">
        <v>1</v>
      </c>
      <c r="AK20" s="850">
        <v>1</v>
      </c>
      <c r="AL20" s="850">
        <v>1</v>
      </c>
      <c r="AM20" s="850">
        <v>1</v>
      </c>
      <c r="AN20" s="850">
        <v>1</v>
      </c>
      <c r="AO20" s="851">
        <f t="shared" si="15"/>
        <v>0.77499999999999991</v>
      </c>
      <c r="AP20" s="850">
        <v>1</v>
      </c>
      <c r="AQ20" s="850">
        <v>1</v>
      </c>
      <c r="AR20" s="850">
        <v>1</v>
      </c>
      <c r="AS20" s="850">
        <v>1</v>
      </c>
      <c r="AT20" s="850">
        <v>1</v>
      </c>
      <c r="AU20" s="850">
        <v>1</v>
      </c>
      <c r="AV20" s="850">
        <v>1</v>
      </c>
      <c r="AW20" s="850">
        <v>1</v>
      </c>
      <c r="AX20" s="850">
        <v>1</v>
      </c>
      <c r="AY20" s="850">
        <v>1</v>
      </c>
      <c r="AZ20" s="850">
        <v>1</v>
      </c>
      <c r="BA20" s="850">
        <v>1</v>
      </c>
      <c r="BB20" s="851">
        <f t="shared" si="16"/>
        <v>1.0000000000000002</v>
      </c>
      <c r="BC20" s="853">
        <f t="shared" si="17"/>
        <v>0</v>
      </c>
      <c r="BD20" s="853">
        <f t="shared" si="0"/>
        <v>0</v>
      </c>
      <c r="BE20" s="853">
        <f t="shared" si="0"/>
        <v>0</v>
      </c>
      <c r="BF20" s="853">
        <f t="shared" si="0"/>
        <v>0</v>
      </c>
      <c r="BG20" s="853">
        <f t="shared" si="0"/>
        <v>0</v>
      </c>
      <c r="BH20" s="853">
        <f t="shared" si="0"/>
        <v>0</v>
      </c>
      <c r="BI20" s="853">
        <f t="shared" si="0"/>
        <v>0</v>
      </c>
      <c r="BJ20" s="853">
        <f t="shared" si="0"/>
        <v>0</v>
      </c>
      <c r="BK20" s="853">
        <f t="shared" si="0"/>
        <v>0</v>
      </c>
      <c r="BL20" s="853">
        <f t="shared" si="0"/>
        <v>0</v>
      </c>
      <c r="BM20" s="853">
        <f t="shared" si="0"/>
        <v>0</v>
      </c>
      <c r="BN20" s="853">
        <f t="shared" si="0"/>
        <v>0</v>
      </c>
      <c r="BO20" s="854">
        <f t="shared" si="18"/>
        <v>0</v>
      </c>
      <c r="BP20" s="853">
        <f t="shared" si="19"/>
        <v>2.61</v>
      </c>
      <c r="BQ20" s="853">
        <f t="shared" si="1"/>
        <v>7.8299999999999992</v>
      </c>
      <c r="BR20" s="853">
        <f t="shared" si="1"/>
        <v>13.049999999999999</v>
      </c>
      <c r="BS20" s="853">
        <f t="shared" si="1"/>
        <v>18.269999999999996</v>
      </c>
      <c r="BT20" s="853">
        <f t="shared" si="1"/>
        <v>20.88</v>
      </c>
      <c r="BU20" s="853">
        <f t="shared" si="1"/>
        <v>23.49</v>
      </c>
      <c r="BV20" s="853">
        <f t="shared" si="1"/>
        <v>26.099999999999998</v>
      </c>
      <c r="BW20" s="853">
        <f t="shared" si="1"/>
        <v>26.099999999999998</v>
      </c>
      <c r="BX20" s="853">
        <f t="shared" si="1"/>
        <v>26.099999999999998</v>
      </c>
      <c r="BY20" s="853">
        <f t="shared" si="1"/>
        <v>26.099999999999998</v>
      </c>
      <c r="BZ20" s="853">
        <f t="shared" si="1"/>
        <v>26.099999999999998</v>
      </c>
      <c r="CA20" s="853">
        <f t="shared" si="1"/>
        <v>26.099999999999998</v>
      </c>
      <c r="CB20" s="854">
        <f t="shared" si="20"/>
        <v>242.72999999999996</v>
      </c>
      <c r="CC20" s="853">
        <f t="shared" si="21"/>
        <v>26.099999999999998</v>
      </c>
      <c r="CD20" s="853">
        <f t="shared" si="2"/>
        <v>26.099999999999998</v>
      </c>
      <c r="CE20" s="853">
        <f t="shared" si="2"/>
        <v>26.099999999999998</v>
      </c>
      <c r="CF20" s="853">
        <f t="shared" si="2"/>
        <v>26.099999999999998</v>
      </c>
      <c r="CG20" s="853">
        <f t="shared" si="2"/>
        <v>26.099999999999998</v>
      </c>
      <c r="CH20" s="853">
        <f t="shared" si="2"/>
        <v>26.099999999999998</v>
      </c>
      <c r="CI20" s="853">
        <f t="shared" si="2"/>
        <v>26.099999999999998</v>
      </c>
      <c r="CJ20" s="853">
        <f t="shared" si="2"/>
        <v>26.099999999999998</v>
      </c>
      <c r="CK20" s="853">
        <f t="shared" si="2"/>
        <v>26.099999999999998</v>
      </c>
      <c r="CL20" s="853">
        <f t="shared" si="2"/>
        <v>26.099999999999998</v>
      </c>
      <c r="CM20" s="853">
        <f t="shared" si="2"/>
        <v>26.099999999999998</v>
      </c>
      <c r="CN20" s="853">
        <f t="shared" si="2"/>
        <v>26.099999999999998</v>
      </c>
      <c r="CO20" s="854">
        <f t="shared" si="22"/>
        <v>313.20000000000005</v>
      </c>
      <c r="CP20" s="855">
        <f t="shared" si="23"/>
        <v>555.93000000000006</v>
      </c>
    </row>
    <row r="21" spans="1:94">
      <c r="A21" s="845">
        <v>8</v>
      </c>
      <c r="B21" s="846" t="s">
        <v>892</v>
      </c>
      <c r="C21" s="847">
        <v>2</v>
      </c>
      <c r="D21" s="847">
        <f>'Xpert needs'!AA19</f>
        <v>269</v>
      </c>
      <c r="E21" s="847">
        <f t="shared" si="3"/>
        <v>22.416666666666668</v>
      </c>
      <c r="F21" s="848">
        <f t="shared" si="4"/>
        <v>1.1695652173913043</v>
      </c>
      <c r="G21" s="849">
        <f t="shared" si="5"/>
        <v>0.58478260869565213</v>
      </c>
      <c r="H21" s="847">
        <f t="shared" si="6"/>
        <v>269</v>
      </c>
      <c r="I21" s="847">
        <f t="shared" si="7"/>
        <v>22.416666666666668</v>
      </c>
      <c r="J21" s="848">
        <f t="shared" si="8"/>
        <v>1.1695652173913043</v>
      </c>
      <c r="K21" s="849">
        <f t="shared" si="9"/>
        <v>0.58478260869565213</v>
      </c>
      <c r="L21" s="847">
        <f t="shared" si="10"/>
        <v>269</v>
      </c>
      <c r="M21" s="847">
        <f t="shared" si="11"/>
        <v>22.416666666666668</v>
      </c>
      <c r="N21" s="848">
        <f t="shared" si="12"/>
        <v>1.1695652173913043</v>
      </c>
      <c r="O21" s="849">
        <f t="shared" si="13"/>
        <v>0.58478260869565213</v>
      </c>
      <c r="P21" s="850"/>
      <c r="Q21" s="850"/>
      <c r="R21" s="850"/>
      <c r="S21" s="850"/>
      <c r="T21" s="850"/>
      <c r="U21" s="850"/>
      <c r="V21" s="850"/>
      <c r="W21" s="850"/>
      <c r="X21" s="850"/>
      <c r="Y21" s="850"/>
      <c r="Z21" s="850"/>
      <c r="AA21" s="850"/>
      <c r="AB21" s="851">
        <f t="shared" si="14"/>
        <v>0</v>
      </c>
      <c r="AC21" s="852">
        <v>0.1</v>
      </c>
      <c r="AD21" s="850">
        <v>0.3</v>
      </c>
      <c r="AE21" s="850">
        <v>0.5</v>
      </c>
      <c r="AF21" s="850">
        <v>0.7</v>
      </c>
      <c r="AG21" s="850">
        <v>0.8</v>
      </c>
      <c r="AH21" s="850">
        <v>0.9</v>
      </c>
      <c r="AI21" s="850">
        <v>1</v>
      </c>
      <c r="AJ21" s="850">
        <v>1</v>
      </c>
      <c r="AK21" s="850">
        <v>1</v>
      </c>
      <c r="AL21" s="850">
        <v>1</v>
      </c>
      <c r="AM21" s="850">
        <v>1</v>
      </c>
      <c r="AN21" s="850">
        <v>1</v>
      </c>
      <c r="AO21" s="851">
        <f t="shared" si="15"/>
        <v>0.77499999999999991</v>
      </c>
      <c r="AP21" s="850">
        <v>1</v>
      </c>
      <c r="AQ21" s="850">
        <v>1</v>
      </c>
      <c r="AR21" s="850">
        <v>1</v>
      </c>
      <c r="AS21" s="850">
        <v>1</v>
      </c>
      <c r="AT21" s="850">
        <v>1</v>
      </c>
      <c r="AU21" s="850">
        <v>1</v>
      </c>
      <c r="AV21" s="850">
        <v>1</v>
      </c>
      <c r="AW21" s="850">
        <v>1</v>
      </c>
      <c r="AX21" s="850">
        <v>1</v>
      </c>
      <c r="AY21" s="850">
        <v>1</v>
      </c>
      <c r="AZ21" s="850">
        <v>1</v>
      </c>
      <c r="BA21" s="850">
        <v>1</v>
      </c>
      <c r="BB21" s="851">
        <f t="shared" si="16"/>
        <v>0.99999999999999978</v>
      </c>
      <c r="BC21" s="853">
        <f t="shared" si="17"/>
        <v>0</v>
      </c>
      <c r="BD21" s="853">
        <f t="shared" si="0"/>
        <v>0</v>
      </c>
      <c r="BE21" s="853">
        <f t="shared" si="0"/>
        <v>0</v>
      </c>
      <c r="BF21" s="853">
        <f t="shared" si="0"/>
        <v>0</v>
      </c>
      <c r="BG21" s="853">
        <f t="shared" si="0"/>
        <v>0</v>
      </c>
      <c r="BH21" s="853">
        <f t="shared" si="0"/>
        <v>0</v>
      </c>
      <c r="BI21" s="853">
        <f t="shared" si="0"/>
        <v>0</v>
      </c>
      <c r="BJ21" s="853">
        <f t="shared" si="0"/>
        <v>0</v>
      </c>
      <c r="BK21" s="853">
        <f t="shared" si="0"/>
        <v>0</v>
      </c>
      <c r="BL21" s="853">
        <f t="shared" si="0"/>
        <v>0</v>
      </c>
      <c r="BM21" s="853">
        <f t="shared" si="0"/>
        <v>0</v>
      </c>
      <c r="BN21" s="853">
        <f t="shared" si="0"/>
        <v>0</v>
      </c>
      <c r="BO21" s="854">
        <f t="shared" si="18"/>
        <v>0</v>
      </c>
      <c r="BP21" s="853">
        <f t="shared" si="19"/>
        <v>2.2416666666666667</v>
      </c>
      <c r="BQ21" s="853">
        <f t="shared" si="1"/>
        <v>6.7250000000000005</v>
      </c>
      <c r="BR21" s="853">
        <f t="shared" si="1"/>
        <v>11.208333333333334</v>
      </c>
      <c r="BS21" s="853">
        <f t="shared" si="1"/>
        <v>15.691666666666666</v>
      </c>
      <c r="BT21" s="853">
        <f t="shared" si="1"/>
        <v>17.933333333333334</v>
      </c>
      <c r="BU21" s="853">
        <f t="shared" si="1"/>
        <v>20.175000000000001</v>
      </c>
      <c r="BV21" s="853">
        <f t="shared" si="1"/>
        <v>22.416666666666668</v>
      </c>
      <c r="BW21" s="853">
        <f t="shared" si="1"/>
        <v>22.416666666666668</v>
      </c>
      <c r="BX21" s="853">
        <f t="shared" si="1"/>
        <v>22.416666666666668</v>
      </c>
      <c r="BY21" s="853">
        <f t="shared" si="1"/>
        <v>22.416666666666668</v>
      </c>
      <c r="BZ21" s="853">
        <f t="shared" si="1"/>
        <v>22.416666666666668</v>
      </c>
      <c r="CA21" s="853">
        <f t="shared" si="1"/>
        <v>22.416666666666668</v>
      </c>
      <c r="CB21" s="854">
        <f t="shared" si="20"/>
        <v>208.47499999999997</v>
      </c>
      <c r="CC21" s="853">
        <f t="shared" si="21"/>
        <v>22.416666666666668</v>
      </c>
      <c r="CD21" s="853">
        <f t="shared" si="2"/>
        <v>22.416666666666668</v>
      </c>
      <c r="CE21" s="853">
        <f t="shared" si="2"/>
        <v>22.416666666666668</v>
      </c>
      <c r="CF21" s="853">
        <f t="shared" si="2"/>
        <v>22.416666666666668</v>
      </c>
      <c r="CG21" s="853">
        <f t="shared" si="2"/>
        <v>22.416666666666668</v>
      </c>
      <c r="CH21" s="853">
        <f t="shared" si="2"/>
        <v>22.416666666666668</v>
      </c>
      <c r="CI21" s="853">
        <f t="shared" si="2"/>
        <v>22.416666666666668</v>
      </c>
      <c r="CJ21" s="853">
        <f t="shared" si="2"/>
        <v>22.416666666666668</v>
      </c>
      <c r="CK21" s="853">
        <f t="shared" si="2"/>
        <v>22.416666666666668</v>
      </c>
      <c r="CL21" s="853">
        <f t="shared" si="2"/>
        <v>22.416666666666668</v>
      </c>
      <c r="CM21" s="853">
        <f t="shared" si="2"/>
        <v>22.416666666666668</v>
      </c>
      <c r="CN21" s="853">
        <f t="shared" si="2"/>
        <v>22.416666666666668</v>
      </c>
      <c r="CO21" s="854">
        <f t="shared" si="22"/>
        <v>268.99999999999994</v>
      </c>
      <c r="CP21" s="855">
        <f t="shared" si="23"/>
        <v>477.47499999999991</v>
      </c>
    </row>
    <row r="22" spans="1:94">
      <c r="A22" s="845">
        <v>9</v>
      </c>
      <c r="B22" s="846" t="s">
        <v>893</v>
      </c>
      <c r="C22" s="847">
        <v>2</v>
      </c>
      <c r="D22" s="847">
        <f>'Xpert needs'!AA20</f>
        <v>256.2</v>
      </c>
      <c r="E22" s="847">
        <f t="shared" si="3"/>
        <v>21.349999999999998</v>
      </c>
      <c r="F22" s="848">
        <f t="shared" si="4"/>
        <v>1.1139130434782609</v>
      </c>
      <c r="G22" s="849">
        <f t="shared" si="5"/>
        <v>0.55695652173913046</v>
      </c>
      <c r="H22" s="847">
        <f t="shared" si="6"/>
        <v>256.2</v>
      </c>
      <c r="I22" s="847">
        <f t="shared" si="7"/>
        <v>21.349999999999998</v>
      </c>
      <c r="J22" s="848">
        <f t="shared" si="8"/>
        <v>1.1139130434782609</v>
      </c>
      <c r="K22" s="849">
        <f t="shared" si="9"/>
        <v>0.55695652173913046</v>
      </c>
      <c r="L22" s="847">
        <f t="shared" si="10"/>
        <v>256.2</v>
      </c>
      <c r="M22" s="847">
        <f t="shared" si="11"/>
        <v>21.349999999999998</v>
      </c>
      <c r="N22" s="848">
        <f t="shared" si="12"/>
        <v>1.1139130434782609</v>
      </c>
      <c r="O22" s="849">
        <f t="shared" si="13"/>
        <v>0.55695652173913046</v>
      </c>
      <c r="P22" s="850"/>
      <c r="Q22" s="850"/>
      <c r="R22" s="850"/>
      <c r="S22" s="850"/>
      <c r="T22" s="850"/>
      <c r="U22" s="850"/>
      <c r="V22" s="850"/>
      <c r="W22" s="850"/>
      <c r="X22" s="850"/>
      <c r="Y22" s="850"/>
      <c r="Z22" s="850"/>
      <c r="AA22" s="850"/>
      <c r="AB22" s="851">
        <f t="shared" si="14"/>
        <v>0</v>
      </c>
      <c r="AC22" s="852">
        <v>0.1</v>
      </c>
      <c r="AD22" s="850">
        <v>0.3</v>
      </c>
      <c r="AE22" s="850">
        <v>0.5</v>
      </c>
      <c r="AF22" s="850">
        <v>0.7</v>
      </c>
      <c r="AG22" s="850">
        <v>0.8</v>
      </c>
      <c r="AH22" s="850">
        <v>0.9</v>
      </c>
      <c r="AI22" s="850">
        <v>1</v>
      </c>
      <c r="AJ22" s="850">
        <v>1</v>
      </c>
      <c r="AK22" s="850">
        <v>1</v>
      </c>
      <c r="AL22" s="850">
        <v>1</v>
      </c>
      <c r="AM22" s="850">
        <v>1</v>
      </c>
      <c r="AN22" s="850">
        <v>1</v>
      </c>
      <c r="AO22" s="851">
        <f t="shared" si="15"/>
        <v>0.77499999999999991</v>
      </c>
      <c r="AP22" s="850">
        <v>1</v>
      </c>
      <c r="AQ22" s="850">
        <v>1</v>
      </c>
      <c r="AR22" s="850">
        <v>1</v>
      </c>
      <c r="AS22" s="850">
        <v>1</v>
      </c>
      <c r="AT22" s="850">
        <v>1</v>
      </c>
      <c r="AU22" s="850">
        <v>1</v>
      </c>
      <c r="AV22" s="850">
        <v>1</v>
      </c>
      <c r="AW22" s="850">
        <v>1</v>
      </c>
      <c r="AX22" s="850">
        <v>1</v>
      </c>
      <c r="AY22" s="850">
        <v>1</v>
      </c>
      <c r="AZ22" s="850">
        <v>1</v>
      </c>
      <c r="BA22" s="850">
        <v>1</v>
      </c>
      <c r="BB22" s="851">
        <f t="shared" si="16"/>
        <v>1</v>
      </c>
      <c r="BC22" s="853">
        <f t="shared" si="17"/>
        <v>0</v>
      </c>
      <c r="BD22" s="853">
        <f t="shared" si="0"/>
        <v>0</v>
      </c>
      <c r="BE22" s="853">
        <f t="shared" si="0"/>
        <v>0</v>
      </c>
      <c r="BF22" s="853">
        <f t="shared" si="0"/>
        <v>0</v>
      </c>
      <c r="BG22" s="853">
        <f t="shared" si="0"/>
        <v>0</v>
      </c>
      <c r="BH22" s="853">
        <f t="shared" si="0"/>
        <v>0</v>
      </c>
      <c r="BI22" s="853">
        <f t="shared" si="0"/>
        <v>0</v>
      </c>
      <c r="BJ22" s="853">
        <f t="shared" si="0"/>
        <v>0</v>
      </c>
      <c r="BK22" s="853">
        <f t="shared" si="0"/>
        <v>0</v>
      </c>
      <c r="BL22" s="853">
        <f t="shared" si="0"/>
        <v>0</v>
      </c>
      <c r="BM22" s="853">
        <f t="shared" si="0"/>
        <v>0</v>
      </c>
      <c r="BN22" s="853">
        <f t="shared" si="0"/>
        <v>0</v>
      </c>
      <c r="BO22" s="854">
        <f t="shared" si="18"/>
        <v>0</v>
      </c>
      <c r="BP22" s="853">
        <f t="shared" si="19"/>
        <v>2.1349999999999998</v>
      </c>
      <c r="BQ22" s="853">
        <f t="shared" si="1"/>
        <v>6.4049999999999994</v>
      </c>
      <c r="BR22" s="853">
        <f t="shared" si="1"/>
        <v>10.674999999999999</v>
      </c>
      <c r="BS22" s="853">
        <f t="shared" si="1"/>
        <v>14.944999999999997</v>
      </c>
      <c r="BT22" s="853">
        <f t="shared" si="1"/>
        <v>17.079999999999998</v>
      </c>
      <c r="BU22" s="853">
        <f t="shared" si="1"/>
        <v>19.215</v>
      </c>
      <c r="BV22" s="853">
        <f t="shared" si="1"/>
        <v>21.349999999999998</v>
      </c>
      <c r="BW22" s="853">
        <f t="shared" si="1"/>
        <v>21.349999999999998</v>
      </c>
      <c r="BX22" s="853">
        <f t="shared" si="1"/>
        <v>21.349999999999998</v>
      </c>
      <c r="BY22" s="853">
        <f t="shared" si="1"/>
        <v>21.349999999999998</v>
      </c>
      <c r="BZ22" s="853">
        <f t="shared" si="1"/>
        <v>21.349999999999998</v>
      </c>
      <c r="CA22" s="853">
        <f t="shared" si="1"/>
        <v>21.349999999999998</v>
      </c>
      <c r="CB22" s="854">
        <f t="shared" si="20"/>
        <v>198.55499999999998</v>
      </c>
      <c r="CC22" s="853">
        <f t="shared" si="21"/>
        <v>21.349999999999998</v>
      </c>
      <c r="CD22" s="853">
        <f t="shared" si="2"/>
        <v>21.349999999999998</v>
      </c>
      <c r="CE22" s="853">
        <f t="shared" si="2"/>
        <v>21.349999999999998</v>
      </c>
      <c r="CF22" s="853">
        <f t="shared" si="2"/>
        <v>21.349999999999998</v>
      </c>
      <c r="CG22" s="853">
        <f t="shared" si="2"/>
        <v>21.349999999999998</v>
      </c>
      <c r="CH22" s="853">
        <f t="shared" si="2"/>
        <v>21.349999999999998</v>
      </c>
      <c r="CI22" s="853">
        <f t="shared" si="2"/>
        <v>21.349999999999998</v>
      </c>
      <c r="CJ22" s="853">
        <f t="shared" si="2"/>
        <v>21.349999999999998</v>
      </c>
      <c r="CK22" s="853">
        <f t="shared" si="2"/>
        <v>21.349999999999998</v>
      </c>
      <c r="CL22" s="853">
        <f t="shared" si="2"/>
        <v>21.349999999999998</v>
      </c>
      <c r="CM22" s="853">
        <f t="shared" si="2"/>
        <v>21.349999999999998</v>
      </c>
      <c r="CN22" s="853">
        <f t="shared" si="2"/>
        <v>21.349999999999998</v>
      </c>
      <c r="CO22" s="854">
        <f t="shared" si="22"/>
        <v>256.2</v>
      </c>
      <c r="CP22" s="855">
        <f t="shared" si="23"/>
        <v>454.755</v>
      </c>
    </row>
    <row r="23" spans="1:94">
      <c r="A23" s="845">
        <v>10</v>
      </c>
      <c r="B23" s="846" t="s">
        <v>894</v>
      </c>
      <c r="C23" s="847">
        <v>2</v>
      </c>
      <c r="D23" s="847">
        <f>'Xpert needs'!AA21</f>
        <v>249.2</v>
      </c>
      <c r="E23" s="847">
        <f t="shared" si="3"/>
        <v>20.766666666666666</v>
      </c>
      <c r="F23" s="848">
        <f t="shared" si="4"/>
        <v>1.0834782608695652</v>
      </c>
      <c r="G23" s="849">
        <f t="shared" si="5"/>
        <v>0.54173913043478261</v>
      </c>
      <c r="H23" s="847">
        <f t="shared" si="6"/>
        <v>249.2</v>
      </c>
      <c r="I23" s="847">
        <f t="shared" si="7"/>
        <v>20.766666666666666</v>
      </c>
      <c r="J23" s="848">
        <f t="shared" si="8"/>
        <v>1.0834782608695652</v>
      </c>
      <c r="K23" s="849">
        <f t="shared" si="9"/>
        <v>0.54173913043478261</v>
      </c>
      <c r="L23" s="847">
        <f t="shared" si="10"/>
        <v>249.2</v>
      </c>
      <c r="M23" s="847">
        <f t="shared" si="11"/>
        <v>20.766666666666666</v>
      </c>
      <c r="N23" s="848">
        <f t="shared" si="12"/>
        <v>1.0834782608695652</v>
      </c>
      <c r="O23" s="849">
        <f t="shared" si="13"/>
        <v>0.54173913043478261</v>
      </c>
      <c r="P23" s="850"/>
      <c r="Q23" s="850"/>
      <c r="R23" s="850"/>
      <c r="S23" s="850"/>
      <c r="T23" s="850"/>
      <c r="U23" s="850"/>
      <c r="V23" s="850"/>
      <c r="W23" s="850"/>
      <c r="X23" s="850"/>
      <c r="Y23" s="850"/>
      <c r="Z23" s="850"/>
      <c r="AA23" s="850"/>
      <c r="AB23" s="851">
        <f t="shared" si="14"/>
        <v>0</v>
      </c>
      <c r="AC23" s="852">
        <v>0.1</v>
      </c>
      <c r="AD23" s="850">
        <v>0.3</v>
      </c>
      <c r="AE23" s="850">
        <v>0.5</v>
      </c>
      <c r="AF23" s="850">
        <v>0.7</v>
      </c>
      <c r="AG23" s="850">
        <v>0.8</v>
      </c>
      <c r="AH23" s="850">
        <v>0.9</v>
      </c>
      <c r="AI23" s="850">
        <v>1</v>
      </c>
      <c r="AJ23" s="850">
        <v>1</v>
      </c>
      <c r="AK23" s="850">
        <v>1</v>
      </c>
      <c r="AL23" s="850">
        <v>1</v>
      </c>
      <c r="AM23" s="850">
        <v>1</v>
      </c>
      <c r="AN23" s="850">
        <v>1</v>
      </c>
      <c r="AO23" s="851">
        <f t="shared" si="15"/>
        <v>0.7749999999999998</v>
      </c>
      <c r="AP23" s="850">
        <v>1</v>
      </c>
      <c r="AQ23" s="850">
        <v>1</v>
      </c>
      <c r="AR23" s="850">
        <v>1</v>
      </c>
      <c r="AS23" s="850">
        <v>1</v>
      </c>
      <c r="AT23" s="850">
        <v>1</v>
      </c>
      <c r="AU23" s="850">
        <v>1</v>
      </c>
      <c r="AV23" s="850">
        <v>1</v>
      </c>
      <c r="AW23" s="850">
        <v>1</v>
      </c>
      <c r="AX23" s="850">
        <v>1</v>
      </c>
      <c r="AY23" s="850">
        <v>1</v>
      </c>
      <c r="AZ23" s="850">
        <v>1</v>
      </c>
      <c r="BA23" s="850">
        <v>1</v>
      </c>
      <c r="BB23" s="851">
        <f t="shared" si="16"/>
        <v>0.99999999999999978</v>
      </c>
      <c r="BC23" s="853">
        <f t="shared" si="17"/>
        <v>0</v>
      </c>
      <c r="BD23" s="853">
        <f t="shared" si="0"/>
        <v>0</v>
      </c>
      <c r="BE23" s="853">
        <f t="shared" si="0"/>
        <v>0</v>
      </c>
      <c r="BF23" s="853">
        <f t="shared" si="0"/>
        <v>0</v>
      </c>
      <c r="BG23" s="853">
        <f t="shared" si="0"/>
        <v>0</v>
      </c>
      <c r="BH23" s="853">
        <f t="shared" si="0"/>
        <v>0</v>
      </c>
      <c r="BI23" s="853">
        <f t="shared" si="0"/>
        <v>0</v>
      </c>
      <c r="BJ23" s="853">
        <f t="shared" si="0"/>
        <v>0</v>
      </c>
      <c r="BK23" s="853">
        <f t="shared" si="0"/>
        <v>0</v>
      </c>
      <c r="BL23" s="853">
        <f t="shared" si="0"/>
        <v>0</v>
      </c>
      <c r="BM23" s="853">
        <f t="shared" si="0"/>
        <v>0</v>
      </c>
      <c r="BN23" s="853">
        <f t="shared" si="0"/>
        <v>0</v>
      </c>
      <c r="BO23" s="854">
        <f t="shared" si="18"/>
        <v>0</v>
      </c>
      <c r="BP23" s="853">
        <f t="shared" si="19"/>
        <v>2.0766666666666667</v>
      </c>
      <c r="BQ23" s="853">
        <f t="shared" si="1"/>
        <v>6.2299999999999995</v>
      </c>
      <c r="BR23" s="853">
        <f t="shared" si="1"/>
        <v>10.383333333333333</v>
      </c>
      <c r="BS23" s="853">
        <f t="shared" si="1"/>
        <v>14.536666666666665</v>
      </c>
      <c r="BT23" s="853">
        <f t="shared" si="1"/>
        <v>16.613333333333333</v>
      </c>
      <c r="BU23" s="853">
        <f t="shared" si="1"/>
        <v>18.690000000000001</v>
      </c>
      <c r="BV23" s="853">
        <f t="shared" si="1"/>
        <v>20.766666666666666</v>
      </c>
      <c r="BW23" s="853">
        <f t="shared" si="1"/>
        <v>20.766666666666666</v>
      </c>
      <c r="BX23" s="853">
        <f t="shared" si="1"/>
        <v>20.766666666666666</v>
      </c>
      <c r="BY23" s="853">
        <f t="shared" si="1"/>
        <v>20.766666666666666</v>
      </c>
      <c r="BZ23" s="853">
        <f t="shared" si="1"/>
        <v>20.766666666666666</v>
      </c>
      <c r="CA23" s="853">
        <f t="shared" si="1"/>
        <v>20.766666666666666</v>
      </c>
      <c r="CB23" s="854">
        <f t="shared" si="20"/>
        <v>193.12999999999994</v>
      </c>
      <c r="CC23" s="853">
        <f t="shared" si="21"/>
        <v>20.766666666666666</v>
      </c>
      <c r="CD23" s="853">
        <f t="shared" si="2"/>
        <v>20.766666666666666</v>
      </c>
      <c r="CE23" s="853">
        <f t="shared" si="2"/>
        <v>20.766666666666666</v>
      </c>
      <c r="CF23" s="853">
        <f t="shared" si="2"/>
        <v>20.766666666666666</v>
      </c>
      <c r="CG23" s="853">
        <f t="shared" si="2"/>
        <v>20.766666666666666</v>
      </c>
      <c r="CH23" s="853">
        <f t="shared" si="2"/>
        <v>20.766666666666666</v>
      </c>
      <c r="CI23" s="853">
        <f t="shared" si="2"/>
        <v>20.766666666666666</v>
      </c>
      <c r="CJ23" s="853">
        <f t="shared" si="2"/>
        <v>20.766666666666666</v>
      </c>
      <c r="CK23" s="853">
        <f t="shared" si="2"/>
        <v>20.766666666666666</v>
      </c>
      <c r="CL23" s="853">
        <f t="shared" si="2"/>
        <v>20.766666666666666</v>
      </c>
      <c r="CM23" s="853">
        <f t="shared" si="2"/>
        <v>20.766666666666666</v>
      </c>
      <c r="CN23" s="853">
        <f t="shared" si="2"/>
        <v>20.766666666666666</v>
      </c>
      <c r="CO23" s="854">
        <f t="shared" si="22"/>
        <v>249.19999999999993</v>
      </c>
      <c r="CP23" s="855">
        <f t="shared" si="23"/>
        <v>442.32999999999987</v>
      </c>
    </row>
    <row r="24" spans="1:94">
      <c r="A24" s="856">
        <v>11</v>
      </c>
      <c r="B24" s="846" t="s">
        <v>1692</v>
      </c>
      <c r="C24" s="847">
        <v>4</v>
      </c>
      <c r="D24" s="847">
        <f>'Xpert needs'!AA23</f>
        <v>1099</v>
      </c>
      <c r="E24" s="847">
        <f t="shared" si="3"/>
        <v>91.583333333333329</v>
      </c>
      <c r="F24" s="848">
        <f t="shared" si="4"/>
        <v>4.7782608695652176</v>
      </c>
      <c r="G24" s="849">
        <f t="shared" si="5"/>
        <v>1.1945652173913044</v>
      </c>
      <c r="H24" s="847">
        <f t="shared" si="6"/>
        <v>1099</v>
      </c>
      <c r="I24" s="847">
        <f t="shared" si="7"/>
        <v>91.583333333333329</v>
      </c>
      <c r="J24" s="848">
        <f t="shared" si="8"/>
        <v>4.7782608695652176</v>
      </c>
      <c r="K24" s="849">
        <f t="shared" si="9"/>
        <v>1.1945652173913044</v>
      </c>
      <c r="L24" s="858">
        <f>H24*90%</f>
        <v>989.1</v>
      </c>
      <c r="M24" s="847">
        <f t="shared" si="11"/>
        <v>82.424999999999997</v>
      </c>
      <c r="N24" s="848">
        <f t="shared" si="12"/>
        <v>4.3004347826086962</v>
      </c>
      <c r="O24" s="849">
        <f t="shared" si="13"/>
        <v>1.075108695652174</v>
      </c>
      <c r="P24" s="857">
        <v>1.2</v>
      </c>
      <c r="Q24" s="850">
        <v>1.3</v>
      </c>
      <c r="R24" s="850">
        <v>1.4</v>
      </c>
      <c r="S24" s="850">
        <v>1.5</v>
      </c>
      <c r="T24" s="850">
        <v>1.5</v>
      </c>
      <c r="U24" s="850">
        <v>1.5</v>
      </c>
      <c r="V24" s="850">
        <v>1.5</v>
      </c>
      <c r="W24" s="850">
        <v>1.5</v>
      </c>
      <c r="X24" s="850">
        <v>1.5</v>
      </c>
      <c r="Y24" s="850">
        <v>1.5</v>
      </c>
      <c r="Z24" s="850">
        <v>1.5</v>
      </c>
      <c r="AA24" s="850">
        <v>1.5</v>
      </c>
      <c r="AB24" s="851">
        <f t="shared" si="14"/>
        <v>1.45</v>
      </c>
      <c r="AC24" s="850">
        <v>1.5</v>
      </c>
      <c r="AD24" s="850">
        <v>1.5</v>
      </c>
      <c r="AE24" s="850">
        <v>1.5</v>
      </c>
      <c r="AF24" s="850">
        <v>1.3</v>
      </c>
      <c r="AG24" s="850">
        <v>1.2</v>
      </c>
      <c r="AH24" s="850">
        <v>1.1000000000000001</v>
      </c>
      <c r="AI24" s="850">
        <v>1</v>
      </c>
      <c r="AJ24" s="850">
        <v>1</v>
      </c>
      <c r="AK24" s="850">
        <v>1</v>
      </c>
      <c r="AL24" s="850">
        <v>1</v>
      </c>
      <c r="AM24" s="850">
        <v>1</v>
      </c>
      <c r="AN24" s="850">
        <v>1</v>
      </c>
      <c r="AO24" s="851">
        <f t="shared" si="15"/>
        <v>1.175</v>
      </c>
      <c r="AP24" s="850">
        <v>1</v>
      </c>
      <c r="AQ24" s="850">
        <v>1</v>
      </c>
      <c r="AR24" s="850">
        <v>1</v>
      </c>
      <c r="AS24" s="850">
        <v>1</v>
      </c>
      <c r="AT24" s="850">
        <v>1</v>
      </c>
      <c r="AU24" s="850">
        <v>1</v>
      </c>
      <c r="AV24" s="850">
        <v>1</v>
      </c>
      <c r="AW24" s="850">
        <v>1</v>
      </c>
      <c r="AX24" s="850">
        <v>1</v>
      </c>
      <c r="AY24" s="850">
        <v>1</v>
      </c>
      <c r="AZ24" s="850">
        <v>1</v>
      </c>
      <c r="BA24" s="850">
        <v>1</v>
      </c>
      <c r="BB24" s="851">
        <f t="shared" si="16"/>
        <v>0.99999999999999978</v>
      </c>
      <c r="BC24" s="853">
        <f t="shared" si="17"/>
        <v>109.89999999999999</v>
      </c>
      <c r="BD24" s="853">
        <f t="shared" si="0"/>
        <v>119.05833333333334</v>
      </c>
      <c r="BE24" s="853">
        <f t="shared" si="0"/>
        <v>128.21666666666664</v>
      </c>
      <c r="BF24" s="853">
        <f t="shared" si="0"/>
        <v>137.375</v>
      </c>
      <c r="BG24" s="853">
        <f t="shared" si="0"/>
        <v>137.375</v>
      </c>
      <c r="BH24" s="853">
        <f t="shared" si="0"/>
        <v>137.375</v>
      </c>
      <c r="BI24" s="853">
        <f t="shared" si="0"/>
        <v>137.375</v>
      </c>
      <c r="BJ24" s="853">
        <f t="shared" si="0"/>
        <v>137.375</v>
      </c>
      <c r="BK24" s="853">
        <f t="shared" si="0"/>
        <v>137.375</v>
      </c>
      <c r="BL24" s="853">
        <f t="shared" si="0"/>
        <v>137.375</v>
      </c>
      <c r="BM24" s="853">
        <f t="shared" si="0"/>
        <v>137.375</v>
      </c>
      <c r="BN24" s="853">
        <f t="shared" si="0"/>
        <v>137.375</v>
      </c>
      <c r="BO24" s="854">
        <f t="shared" si="18"/>
        <v>1593.55</v>
      </c>
      <c r="BP24" s="853">
        <f t="shared" si="19"/>
        <v>137.375</v>
      </c>
      <c r="BQ24" s="853">
        <f t="shared" si="1"/>
        <v>137.375</v>
      </c>
      <c r="BR24" s="853">
        <f t="shared" si="1"/>
        <v>137.375</v>
      </c>
      <c r="BS24" s="853">
        <f t="shared" si="1"/>
        <v>119.05833333333334</v>
      </c>
      <c r="BT24" s="853">
        <f t="shared" si="1"/>
        <v>109.89999999999999</v>
      </c>
      <c r="BU24" s="853">
        <f t="shared" si="1"/>
        <v>100.74166666666667</v>
      </c>
      <c r="BV24" s="853">
        <f t="shared" si="1"/>
        <v>91.583333333333329</v>
      </c>
      <c r="BW24" s="853">
        <f t="shared" si="1"/>
        <v>91.583333333333329</v>
      </c>
      <c r="BX24" s="853">
        <f t="shared" si="1"/>
        <v>91.583333333333329</v>
      </c>
      <c r="BY24" s="853">
        <f t="shared" si="1"/>
        <v>91.583333333333329</v>
      </c>
      <c r="BZ24" s="853">
        <f t="shared" si="1"/>
        <v>91.583333333333329</v>
      </c>
      <c r="CA24" s="853">
        <f t="shared" si="1"/>
        <v>91.583333333333329</v>
      </c>
      <c r="CB24" s="854">
        <f t="shared" si="20"/>
        <v>1291.325</v>
      </c>
      <c r="CC24" s="853">
        <f t="shared" si="21"/>
        <v>82.424999999999997</v>
      </c>
      <c r="CD24" s="853">
        <f t="shared" si="2"/>
        <v>82.424999999999997</v>
      </c>
      <c r="CE24" s="853">
        <f t="shared" si="2"/>
        <v>82.424999999999997</v>
      </c>
      <c r="CF24" s="853">
        <f t="shared" si="2"/>
        <v>82.424999999999997</v>
      </c>
      <c r="CG24" s="853">
        <f t="shared" si="2"/>
        <v>82.424999999999997</v>
      </c>
      <c r="CH24" s="853">
        <f t="shared" si="2"/>
        <v>82.424999999999997</v>
      </c>
      <c r="CI24" s="853">
        <f t="shared" si="2"/>
        <v>82.424999999999997</v>
      </c>
      <c r="CJ24" s="853">
        <f t="shared" si="2"/>
        <v>82.424999999999997</v>
      </c>
      <c r="CK24" s="853">
        <f t="shared" si="2"/>
        <v>82.424999999999997</v>
      </c>
      <c r="CL24" s="853">
        <f t="shared" si="2"/>
        <v>82.424999999999997</v>
      </c>
      <c r="CM24" s="853">
        <f t="shared" si="2"/>
        <v>82.424999999999997</v>
      </c>
      <c r="CN24" s="853">
        <f t="shared" si="2"/>
        <v>82.424999999999997</v>
      </c>
      <c r="CO24" s="854">
        <f t="shared" si="22"/>
        <v>989.0999999999998</v>
      </c>
      <c r="CP24" s="855">
        <f t="shared" si="23"/>
        <v>3873.9749999999999</v>
      </c>
    </row>
    <row r="25" spans="1:94">
      <c r="A25" s="845">
        <v>12</v>
      </c>
      <c r="B25" s="846" t="s">
        <v>897</v>
      </c>
      <c r="C25" s="847">
        <v>2</v>
      </c>
      <c r="D25" s="847">
        <f>'Xpert needs'!AA24</f>
        <v>426</v>
      </c>
      <c r="E25" s="847">
        <f t="shared" si="3"/>
        <v>35.5</v>
      </c>
      <c r="F25" s="848">
        <f t="shared" si="4"/>
        <v>1.8521739130434782</v>
      </c>
      <c r="G25" s="849">
        <f t="shared" si="5"/>
        <v>0.92608695652173911</v>
      </c>
      <c r="H25" s="847">
        <f t="shared" si="6"/>
        <v>426</v>
      </c>
      <c r="I25" s="847">
        <f t="shared" si="7"/>
        <v>35.5</v>
      </c>
      <c r="J25" s="848">
        <f t="shared" si="8"/>
        <v>1.8521739130434782</v>
      </c>
      <c r="K25" s="849">
        <f t="shared" si="9"/>
        <v>0.92608695652173911</v>
      </c>
      <c r="L25" s="847">
        <f t="shared" si="10"/>
        <v>426</v>
      </c>
      <c r="M25" s="847">
        <f t="shared" si="11"/>
        <v>35.5</v>
      </c>
      <c r="N25" s="848">
        <f t="shared" si="12"/>
        <v>1.8521739130434782</v>
      </c>
      <c r="O25" s="849">
        <f t="shared" si="13"/>
        <v>0.92608695652173911</v>
      </c>
      <c r="P25" s="850"/>
      <c r="Q25" s="850"/>
      <c r="R25" s="850"/>
      <c r="S25" s="850"/>
      <c r="T25" s="850"/>
      <c r="U25" s="850"/>
      <c r="V25" s="850"/>
      <c r="W25" s="850"/>
      <c r="X25" s="850"/>
      <c r="Y25" s="850"/>
      <c r="Z25" s="850"/>
      <c r="AA25" s="850"/>
      <c r="AB25" s="851">
        <f t="shared" si="14"/>
        <v>0</v>
      </c>
      <c r="AC25" s="850"/>
      <c r="AD25" s="850"/>
      <c r="AE25" s="850"/>
      <c r="AF25" s="852">
        <v>0.1</v>
      </c>
      <c r="AG25" s="850">
        <v>0.2</v>
      </c>
      <c r="AH25" s="850">
        <v>0.3</v>
      </c>
      <c r="AI25" s="850">
        <v>0.4</v>
      </c>
      <c r="AJ25" s="850">
        <v>0.5</v>
      </c>
      <c r="AK25" s="850">
        <v>0.6</v>
      </c>
      <c r="AL25" s="850">
        <v>0.7</v>
      </c>
      <c r="AM25" s="850">
        <v>0.8</v>
      </c>
      <c r="AN25" s="850">
        <v>0.9</v>
      </c>
      <c r="AO25" s="851">
        <f t="shared" si="15"/>
        <v>0.375</v>
      </c>
      <c r="AP25" s="850">
        <v>1</v>
      </c>
      <c r="AQ25" s="850">
        <v>1</v>
      </c>
      <c r="AR25" s="850">
        <v>1</v>
      </c>
      <c r="AS25" s="850">
        <v>1</v>
      </c>
      <c r="AT25" s="850">
        <v>1</v>
      </c>
      <c r="AU25" s="850">
        <v>1</v>
      </c>
      <c r="AV25" s="850">
        <v>1</v>
      </c>
      <c r="AW25" s="850">
        <v>1</v>
      </c>
      <c r="AX25" s="850">
        <v>1</v>
      </c>
      <c r="AY25" s="850">
        <v>1</v>
      </c>
      <c r="AZ25" s="850">
        <v>1</v>
      </c>
      <c r="BA25" s="850">
        <v>1</v>
      </c>
      <c r="BB25" s="851">
        <f t="shared" si="16"/>
        <v>1</v>
      </c>
      <c r="BC25" s="853">
        <f t="shared" si="17"/>
        <v>0</v>
      </c>
      <c r="BD25" s="853">
        <f t="shared" si="0"/>
        <v>0</v>
      </c>
      <c r="BE25" s="853">
        <f t="shared" si="0"/>
        <v>0</v>
      </c>
      <c r="BF25" s="853">
        <f t="shared" si="0"/>
        <v>0</v>
      </c>
      <c r="BG25" s="853">
        <f t="shared" si="0"/>
        <v>0</v>
      </c>
      <c r="BH25" s="853">
        <f t="shared" si="0"/>
        <v>0</v>
      </c>
      <c r="BI25" s="853">
        <f t="shared" si="0"/>
        <v>0</v>
      </c>
      <c r="BJ25" s="853">
        <f t="shared" si="0"/>
        <v>0</v>
      </c>
      <c r="BK25" s="853">
        <f t="shared" si="0"/>
        <v>0</v>
      </c>
      <c r="BL25" s="853">
        <f t="shared" si="0"/>
        <v>0</v>
      </c>
      <c r="BM25" s="853">
        <f t="shared" si="0"/>
        <v>0</v>
      </c>
      <c r="BN25" s="853">
        <f t="shared" si="0"/>
        <v>0</v>
      </c>
      <c r="BO25" s="854">
        <f t="shared" si="18"/>
        <v>0</v>
      </c>
      <c r="BP25" s="853">
        <f t="shared" si="19"/>
        <v>0</v>
      </c>
      <c r="BQ25" s="853">
        <f t="shared" si="1"/>
        <v>0</v>
      </c>
      <c r="BR25" s="853">
        <f t="shared" si="1"/>
        <v>0</v>
      </c>
      <c r="BS25" s="853">
        <f t="shared" si="1"/>
        <v>3.5500000000000003</v>
      </c>
      <c r="BT25" s="853">
        <f t="shared" si="1"/>
        <v>7.1000000000000005</v>
      </c>
      <c r="BU25" s="853">
        <f t="shared" si="1"/>
        <v>10.65</v>
      </c>
      <c r="BV25" s="853">
        <f t="shared" si="1"/>
        <v>14.200000000000001</v>
      </c>
      <c r="BW25" s="853">
        <f t="shared" si="1"/>
        <v>17.75</v>
      </c>
      <c r="BX25" s="853">
        <f t="shared" si="1"/>
        <v>21.3</v>
      </c>
      <c r="BY25" s="853">
        <f t="shared" si="1"/>
        <v>24.849999999999998</v>
      </c>
      <c r="BZ25" s="853">
        <f t="shared" si="1"/>
        <v>28.400000000000002</v>
      </c>
      <c r="CA25" s="853">
        <f t="shared" si="1"/>
        <v>31.95</v>
      </c>
      <c r="CB25" s="854">
        <f t="shared" si="20"/>
        <v>159.75</v>
      </c>
      <c r="CC25" s="853">
        <f t="shared" si="21"/>
        <v>35.5</v>
      </c>
      <c r="CD25" s="853">
        <f t="shared" si="2"/>
        <v>35.5</v>
      </c>
      <c r="CE25" s="853">
        <f t="shared" si="2"/>
        <v>35.5</v>
      </c>
      <c r="CF25" s="853">
        <f t="shared" si="2"/>
        <v>35.5</v>
      </c>
      <c r="CG25" s="853">
        <f t="shared" si="2"/>
        <v>35.5</v>
      </c>
      <c r="CH25" s="853">
        <f t="shared" si="2"/>
        <v>35.5</v>
      </c>
      <c r="CI25" s="853">
        <f t="shared" si="2"/>
        <v>35.5</v>
      </c>
      <c r="CJ25" s="853">
        <f t="shared" si="2"/>
        <v>35.5</v>
      </c>
      <c r="CK25" s="853">
        <f t="shared" si="2"/>
        <v>35.5</v>
      </c>
      <c r="CL25" s="853">
        <f t="shared" si="2"/>
        <v>35.5</v>
      </c>
      <c r="CM25" s="853">
        <f t="shared" si="2"/>
        <v>35.5</v>
      </c>
      <c r="CN25" s="853">
        <f t="shared" si="2"/>
        <v>35.5</v>
      </c>
      <c r="CO25" s="854">
        <f t="shared" si="22"/>
        <v>426</v>
      </c>
      <c r="CP25" s="855">
        <f t="shared" si="23"/>
        <v>585.75</v>
      </c>
    </row>
    <row r="26" spans="1:94">
      <c r="A26" s="845">
        <v>13</v>
      </c>
      <c r="B26" s="846" t="s">
        <v>898</v>
      </c>
      <c r="C26" s="847">
        <v>2</v>
      </c>
      <c r="D26" s="847">
        <f>'Xpert needs'!AA25</f>
        <v>408</v>
      </c>
      <c r="E26" s="847">
        <f t="shared" si="3"/>
        <v>34</v>
      </c>
      <c r="F26" s="848">
        <f t="shared" si="4"/>
        <v>1.7739130434782608</v>
      </c>
      <c r="G26" s="849">
        <f t="shared" si="5"/>
        <v>0.88695652173913042</v>
      </c>
      <c r="H26" s="847">
        <f t="shared" si="6"/>
        <v>408</v>
      </c>
      <c r="I26" s="847">
        <f t="shared" si="7"/>
        <v>34</v>
      </c>
      <c r="J26" s="848">
        <f t="shared" si="8"/>
        <v>1.7739130434782608</v>
      </c>
      <c r="K26" s="849">
        <f t="shared" si="9"/>
        <v>0.88695652173913042</v>
      </c>
      <c r="L26" s="847">
        <f t="shared" si="10"/>
        <v>408</v>
      </c>
      <c r="M26" s="847">
        <f t="shared" si="11"/>
        <v>34</v>
      </c>
      <c r="N26" s="848">
        <f t="shared" si="12"/>
        <v>1.7739130434782608</v>
      </c>
      <c r="O26" s="849">
        <f t="shared" si="13"/>
        <v>0.88695652173913042</v>
      </c>
      <c r="P26" s="850"/>
      <c r="Q26" s="850"/>
      <c r="R26" s="850"/>
      <c r="S26" s="850"/>
      <c r="T26" s="850"/>
      <c r="U26" s="850"/>
      <c r="V26" s="850"/>
      <c r="W26" s="850"/>
      <c r="X26" s="850"/>
      <c r="Y26" s="850"/>
      <c r="Z26" s="850"/>
      <c r="AA26" s="850"/>
      <c r="AB26" s="851">
        <f t="shared" si="14"/>
        <v>0</v>
      </c>
      <c r="AC26" s="850"/>
      <c r="AD26" s="850"/>
      <c r="AE26" s="850"/>
      <c r="AF26" s="852">
        <v>0.1</v>
      </c>
      <c r="AG26" s="850">
        <v>0.2</v>
      </c>
      <c r="AH26" s="850">
        <v>0.3</v>
      </c>
      <c r="AI26" s="850">
        <v>0.4</v>
      </c>
      <c r="AJ26" s="850">
        <v>0.5</v>
      </c>
      <c r="AK26" s="850">
        <v>0.6</v>
      </c>
      <c r="AL26" s="850">
        <v>0.7</v>
      </c>
      <c r="AM26" s="850">
        <v>0.8</v>
      </c>
      <c r="AN26" s="850">
        <v>0.9</v>
      </c>
      <c r="AO26" s="851">
        <f t="shared" si="15"/>
        <v>0.375</v>
      </c>
      <c r="AP26" s="850">
        <v>1</v>
      </c>
      <c r="AQ26" s="850">
        <v>1</v>
      </c>
      <c r="AR26" s="850">
        <v>1</v>
      </c>
      <c r="AS26" s="850">
        <v>1</v>
      </c>
      <c r="AT26" s="850">
        <v>1</v>
      </c>
      <c r="AU26" s="850">
        <v>1</v>
      </c>
      <c r="AV26" s="850">
        <v>1</v>
      </c>
      <c r="AW26" s="850">
        <v>1</v>
      </c>
      <c r="AX26" s="850">
        <v>1</v>
      </c>
      <c r="AY26" s="850">
        <v>1</v>
      </c>
      <c r="AZ26" s="850">
        <v>1</v>
      </c>
      <c r="BA26" s="850">
        <v>1</v>
      </c>
      <c r="BB26" s="851">
        <f t="shared" si="16"/>
        <v>1</v>
      </c>
      <c r="BC26" s="853">
        <f t="shared" si="17"/>
        <v>0</v>
      </c>
      <c r="BD26" s="853">
        <f t="shared" si="0"/>
        <v>0</v>
      </c>
      <c r="BE26" s="853">
        <f t="shared" si="0"/>
        <v>0</v>
      </c>
      <c r="BF26" s="853">
        <f t="shared" si="0"/>
        <v>0</v>
      </c>
      <c r="BG26" s="853">
        <f t="shared" si="0"/>
        <v>0</v>
      </c>
      <c r="BH26" s="853">
        <f t="shared" si="0"/>
        <v>0</v>
      </c>
      <c r="BI26" s="853">
        <f t="shared" si="0"/>
        <v>0</v>
      </c>
      <c r="BJ26" s="853">
        <f t="shared" si="0"/>
        <v>0</v>
      </c>
      <c r="BK26" s="853">
        <f t="shared" si="0"/>
        <v>0</v>
      </c>
      <c r="BL26" s="853">
        <f t="shared" si="0"/>
        <v>0</v>
      </c>
      <c r="BM26" s="853">
        <f t="shared" si="0"/>
        <v>0</v>
      </c>
      <c r="BN26" s="853">
        <f t="shared" si="0"/>
        <v>0</v>
      </c>
      <c r="BO26" s="854">
        <f t="shared" si="18"/>
        <v>0</v>
      </c>
      <c r="BP26" s="853">
        <f t="shared" si="19"/>
        <v>0</v>
      </c>
      <c r="BQ26" s="853">
        <f t="shared" si="1"/>
        <v>0</v>
      </c>
      <c r="BR26" s="853">
        <f t="shared" si="1"/>
        <v>0</v>
      </c>
      <c r="BS26" s="853">
        <f t="shared" si="1"/>
        <v>3.4000000000000004</v>
      </c>
      <c r="BT26" s="853">
        <f t="shared" si="1"/>
        <v>6.8000000000000007</v>
      </c>
      <c r="BU26" s="853">
        <f t="shared" si="1"/>
        <v>10.199999999999999</v>
      </c>
      <c r="BV26" s="853">
        <f t="shared" si="1"/>
        <v>13.600000000000001</v>
      </c>
      <c r="BW26" s="853">
        <f t="shared" si="1"/>
        <v>17</v>
      </c>
      <c r="BX26" s="853">
        <f t="shared" si="1"/>
        <v>20.399999999999999</v>
      </c>
      <c r="BY26" s="853">
        <f t="shared" si="1"/>
        <v>23.799999999999997</v>
      </c>
      <c r="BZ26" s="853">
        <f t="shared" si="1"/>
        <v>27.200000000000003</v>
      </c>
      <c r="CA26" s="853">
        <f t="shared" si="1"/>
        <v>30.6</v>
      </c>
      <c r="CB26" s="854">
        <f t="shared" si="20"/>
        <v>153</v>
      </c>
      <c r="CC26" s="853">
        <f t="shared" si="21"/>
        <v>34</v>
      </c>
      <c r="CD26" s="853">
        <f t="shared" si="2"/>
        <v>34</v>
      </c>
      <c r="CE26" s="853">
        <f t="shared" si="2"/>
        <v>34</v>
      </c>
      <c r="CF26" s="853">
        <f t="shared" si="2"/>
        <v>34</v>
      </c>
      <c r="CG26" s="853">
        <f t="shared" si="2"/>
        <v>34</v>
      </c>
      <c r="CH26" s="853">
        <f t="shared" si="2"/>
        <v>34</v>
      </c>
      <c r="CI26" s="853">
        <f t="shared" si="2"/>
        <v>34</v>
      </c>
      <c r="CJ26" s="853">
        <f t="shared" si="2"/>
        <v>34</v>
      </c>
      <c r="CK26" s="853">
        <f t="shared" si="2"/>
        <v>34</v>
      </c>
      <c r="CL26" s="853">
        <f t="shared" si="2"/>
        <v>34</v>
      </c>
      <c r="CM26" s="853">
        <f t="shared" si="2"/>
        <v>34</v>
      </c>
      <c r="CN26" s="853">
        <f t="shared" si="2"/>
        <v>34</v>
      </c>
      <c r="CO26" s="854">
        <f t="shared" si="22"/>
        <v>408</v>
      </c>
      <c r="CP26" s="855">
        <f t="shared" si="23"/>
        <v>561</v>
      </c>
    </row>
    <row r="27" spans="1:94">
      <c r="A27" s="845">
        <v>14</v>
      </c>
      <c r="B27" s="846" t="s">
        <v>899</v>
      </c>
      <c r="C27" s="847">
        <v>2</v>
      </c>
      <c r="D27" s="847">
        <f>'Xpert needs'!AA26</f>
        <v>453.59999999999997</v>
      </c>
      <c r="E27" s="847">
        <f t="shared" si="3"/>
        <v>37.799999999999997</v>
      </c>
      <c r="F27" s="848">
        <f t="shared" si="4"/>
        <v>1.9721739130434781</v>
      </c>
      <c r="G27" s="849">
        <f t="shared" si="5"/>
        <v>0.98608695652173906</v>
      </c>
      <c r="H27" s="847">
        <f t="shared" si="6"/>
        <v>453.59999999999997</v>
      </c>
      <c r="I27" s="847">
        <f t="shared" si="7"/>
        <v>37.799999999999997</v>
      </c>
      <c r="J27" s="848">
        <f t="shared" si="8"/>
        <v>1.9721739130434781</v>
      </c>
      <c r="K27" s="849">
        <f t="shared" si="9"/>
        <v>0.98608695652173906</v>
      </c>
      <c r="L27" s="847">
        <f t="shared" si="10"/>
        <v>453.59999999999997</v>
      </c>
      <c r="M27" s="847">
        <f t="shared" si="11"/>
        <v>37.799999999999997</v>
      </c>
      <c r="N27" s="848">
        <f t="shared" si="12"/>
        <v>1.9721739130434781</v>
      </c>
      <c r="O27" s="849">
        <f t="shared" si="13"/>
        <v>0.98608695652173906</v>
      </c>
      <c r="P27" s="850"/>
      <c r="Q27" s="850"/>
      <c r="R27" s="850"/>
      <c r="S27" s="850"/>
      <c r="T27" s="850"/>
      <c r="U27" s="850"/>
      <c r="V27" s="850"/>
      <c r="W27" s="850"/>
      <c r="X27" s="850"/>
      <c r="Y27" s="850"/>
      <c r="Z27" s="850"/>
      <c r="AA27" s="850"/>
      <c r="AB27" s="851">
        <f t="shared" si="14"/>
        <v>0</v>
      </c>
      <c r="AC27" s="850"/>
      <c r="AD27" s="850"/>
      <c r="AE27" s="850"/>
      <c r="AF27" s="852">
        <v>0.1</v>
      </c>
      <c r="AG27" s="850">
        <v>0.2</v>
      </c>
      <c r="AH27" s="850">
        <v>0.3</v>
      </c>
      <c r="AI27" s="850">
        <v>0.4</v>
      </c>
      <c r="AJ27" s="850">
        <v>0.5</v>
      </c>
      <c r="AK27" s="850">
        <v>0.6</v>
      </c>
      <c r="AL27" s="850">
        <v>0.7</v>
      </c>
      <c r="AM27" s="850">
        <v>0.8</v>
      </c>
      <c r="AN27" s="850">
        <v>0.9</v>
      </c>
      <c r="AO27" s="851">
        <f t="shared" si="15"/>
        <v>0.37499999999999994</v>
      </c>
      <c r="AP27" s="850">
        <v>1</v>
      </c>
      <c r="AQ27" s="850">
        <v>1</v>
      </c>
      <c r="AR27" s="850">
        <v>1</v>
      </c>
      <c r="AS27" s="850">
        <v>1</v>
      </c>
      <c r="AT27" s="850">
        <v>1</v>
      </c>
      <c r="AU27" s="850">
        <v>1</v>
      </c>
      <c r="AV27" s="850">
        <v>1</v>
      </c>
      <c r="AW27" s="850">
        <v>1</v>
      </c>
      <c r="AX27" s="850">
        <v>1</v>
      </c>
      <c r="AY27" s="850">
        <v>1</v>
      </c>
      <c r="AZ27" s="850">
        <v>1</v>
      </c>
      <c r="BA27" s="850">
        <v>1</v>
      </c>
      <c r="BB27" s="851">
        <f t="shared" si="16"/>
        <v>1.0000000000000002</v>
      </c>
      <c r="BC27" s="853">
        <f t="shared" si="17"/>
        <v>0</v>
      </c>
      <c r="BD27" s="853">
        <f t="shared" si="0"/>
        <v>0</v>
      </c>
      <c r="BE27" s="853">
        <f t="shared" si="0"/>
        <v>0</v>
      </c>
      <c r="BF27" s="853">
        <f t="shared" si="0"/>
        <v>0</v>
      </c>
      <c r="BG27" s="853">
        <f t="shared" si="0"/>
        <v>0</v>
      </c>
      <c r="BH27" s="853">
        <f t="shared" si="0"/>
        <v>0</v>
      </c>
      <c r="BI27" s="853">
        <f t="shared" si="0"/>
        <v>0</v>
      </c>
      <c r="BJ27" s="853">
        <f t="shared" si="0"/>
        <v>0</v>
      </c>
      <c r="BK27" s="853">
        <f t="shared" si="0"/>
        <v>0</v>
      </c>
      <c r="BL27" s="853">
        <f t="shared" si="0"/>
        <v>0</v>
      </c>
      <c r="BM27" s="853">
        <f t="shared" si="0"/>
        <v>0</v>
      </c>
      <c r="BN27" s="853">
        <f t="shared" si="0"/>
        <v>0</v>
      </c>
      <c r="BO27" s="854">
        <f t="shared" si="18"/>
        <v>0</v>
      </c>
      <c r="BP27" s="853">
        <f t="shared" si="19"/>
        <v>0</v>
      </c>
      <c r="BQ27" s="853">
        <f t="shared" si="1"/>
        <v>0</v>
      </c>
      <c r="BR27" s="853">
        <f t="shared" si="1"/>
        <v>0</v>
      </c>
      <c r="BS27" s="853">
        <f t="shared" si="1"/>
        <v>3.78</v>
      </c>
      <c r="BT27" s="853">
        <f t="shared" si="1"/>
        <v>7.56</v>
      </c>
      <c r="BU27" s="853">
        <f t="shared" si="1"/>
        <v>11.339999999999998</v>
      </c>
      <c r="BV27" s="853">
        <f t="shared" si="1"/>
        <v>15.12</v>
      </c>
      <c r="BW27" s="853">
        <f t="shared" si="1"/>
        <v>18.899999999999999</v>
      </c>
      <c r="BX27" s="853">
        <f t="shared" si="1"/>
        <v>22.679999999999996</v>
      </c>
      <c r="BY27" s="853">
        <f t="shared" si="1"/>
        <v>26.459999999999997</v>
      </c>
      <c r="BZ27" s="853">
        <f t="shared" si="1"/>
        <v>30.24</v>
      </c>
      <c r="CA27" s="853">
        <f t="shared" si="1"/>
        <v>34.019999999999996</v>
      </c>
      <c r="CB27" s="854">
        <f t="shared" si="20"/>
        <v>170.09999999999997</v>
      </c>
      <c r="CC27" s="853">
        <f t="shared" si="21"/>
        <v>37.799999999999997</v>
      </c>
      <c r="CD27" s="853">
        <f t="shared" si="2"/>
        <v>37.799999999999997</v>
      </c>
      <c r="CE27" s="853">
        <f t="shared" si="2"/>
        <v>37.799999999999997</v>
      </c>
      <c r="CF27" s="853">
        <f t="shared" si="2"/>
        <v>37.799999999999997</v>
      </c>
      <c r="CG27" s="853">
        <f t="shared" si="2"/>
        <v>37.799999999999997</v>
      </c>
      <c r="CH27" s="853">
        <f t="shared" si="2"/>
        <v>37.799999999999997</v>
      </c>
      <c r="CI27" s="853">
        <f t="shared" si="2"/>
        <v>37.799999999999997</v>
      </c>
      <c r="CJ27" s="853">
        <f t="shared" si="2"/>
        <v>37.799999999999997</v>
      </c>
      <c r="CK27" s="853">
        <f t="shared" si="2"/>
        <v>37.799999999999997</v>
      </c>
      <c r="CL27" s="853">
        <f t="shared" si="2"/>
        <v>37.799999999999997</v>
      </c>
      <c r="CM27" s="853">
        <f t="shared" si="2"/>
        <v>37.799999999999997</v>
      </c>
      <c r="CN27" s="853">
        <f t="shared" si="2"/>
        <v>37.799999999999997</v>
      </c>
      <c r="CO27" s="854">
        <f t="shared" si="22"/>
        <v>453.60000000000008</v>
      </c>
      <c r="CP27" s="855">
        <f t="shared" si="23"/>
        <v>623.70000000000005</v>
      </c>
    </row>
    <row r="28" spans="1:94">
      <c r="A28" s="845">
        <v>15</v>
      </c>
      <c r="B28" s="846" t="s">
        <v>901</v>
      </c>
      <c r="C28" s="859">
        <v>2</v>
      </c>
      <c r="D28" s="847">
        <f>'Xpert needs'!AA28</f>
        <v>994.40000000000009</v>
      </c>
      <c r="E28" s="847">
        <f t="shared" si="3"/>
        <v>82.866666666666674</v>
      </c>
      <c r="F28" s="848">
        <f t="shared" si="4"/>
        <v>4.3234782608695657</v>
      </c>
      <c r="G28" s="849">
        <f t="shared" si="5"/>
        <v>2.1617391304347828</v>
      </c>
      <c r="H28" s="847">
        <f t="shared" si="6"/>
        <v>994.40000000000009</v>
      </c>
      <c r="I28" s="847">
        <f t="shared" si="7"/>
        <v>82.866666666666674</v>
      </c>
      <c r="J28" s="848">
        <f t="shared" si="8"/>
        <v>4.3234782608695657</v>
      </c>
      <c r="K28" s="849">
        <f t="shared" si="9"/>
        <v>2.1617391304347828</v>
      </c>
      <c r="L28" s="858">
        <f>H28*90%</f>
        <v>894.96000000000015</v>
      </c>
      <c r="M28" s="847">
        <f t="shared" si="11"/>
        <v>74.580000000000013</v>
      </c>
      <c r="N28" s="848">
        <f t="shared" si="12"/>
        <v>3.8911304347826094</v>
      </c>
      <c r="O28" s="849">
        <f t="shared" si="13"/>
        <v>1.9455652173913047</v>
      </c>
      <c r="P28" s="850"/>
      <c r="Q28" s="850"/>
      <c r="R28" s="850"/>
      <c r="S28" s="850"/>
      <c r="T28" s="850"/>
      <c r="U28" s="850"/>
      <c r="V28" s="850"/>
      <c r="W28" s="850"/>
      <c r="X28" s="850"/>
      <c r="Y28" s="850"/>
      <c r="Z28" s="850"/>
      <c r="AA28" s="850"/>
      <c r="AB28" s="851">
        <f t="shared" si="14"/>
        <v>0</v>
      </c>
      <c r="AC28" s="852">
        <v>0.1</v>
      </c>
      <c r="AD28" s="850">
        <v>0.3</v>
      </c>
      <c r="AE28" s="850">
        <v>0.5</v>
      </c>
      <c r="AF28" s="850">
        <v>0.7</v>
      </c>
      <c r="AG28" s="850">
        <v>0.8</v>
      </c>
      <c r="AH28" s="850">
        <v>0.9</v>
      </c>
      <c r="AI28" s="850">
        <v>1</v>
      </c>
      <c r="AJ28" s="850">
        <v>1</v>
      </c>
      <c r="AK28" s="850">
        <v>1</v>
      </c>
      <c r="AL28" s="850">
        <v>1</v>
      </c>
      <c r="AM28" s="850">
        <v>1</v>
      </c>
      <c r="AN28" s="850">
        <v>1</v>
      </c>
      <c r="AO28" s="851">
        <f t="shared" si="15"/>
        <v>0.77500000000000002</v>
      </c>
      <c r="AP28" s="850">
        <v>1</v>
      </c>
      <c r="AQ28" s="850">
        <v>1</v>
      </c>
      <c r="AR28" s="850">
        <v>1</v>
      </c>
      <c r="AS28" s="850">
        <v>1</v>
      </c>
      <c r="AT28" s="850">
        <v>1</v>
      </c>
      <c r="AU28" s="850">
        <v>1</v>
      </c>
      <c r="AV28" s="850">
        <v>1</v>
      </c>
      <c r="AW28" s="850">
        <v>1</v>
      </c>
      <c r="AX28" s="850">
        <v>1</v>
      </c>
      <c r="AY28" s="850">
        <v>1</v>
      </c>
      <c r="AZ28" s="850">
        <v>1</v>
      </c>
      <c r="BA28" s="850">
        <v>1</v>
      </c>
      <c r="BB28" s="851">
        <f t="shared" si="16"/>
        <v>1.0000000000000002</v>
      </c>
      <c r="BC28" s="853">
        <f t="shared" si="17"/>
        <v>0</v>
      </c>
      <c r="BD28" s="853">
        <f t="shared" si="0"/>
        <v>0</v>
      </c>
      <c r="BE28" s="853">
        <f t="shared" si="0"/>
        <v>0</v>
      </c>
      <c r="BF28" s="853">
        <f t="shared" si="0"/>
        <v>0</v>
      </c>
      <c r="BG28" s="853">
        <f t="shared" si="0"/>
        <v>0</v>
      </c>
      <c r="BH28" s="853">
        <f t="shared" si="0"/>
        <v>0</v>
      </c>
      <c r="BI28" s="853">
        <f t="shared" si="0"/>
        <v>0</v>
      </c>
      <c r="BJ28" s="853">
        <f t="shared" si="0"/>
        <v>0</v>
      </c>
      <c r="BK28" s="853">
        <f t="shared" si="0"/>
        <v>0</v>
      </c>
      <c r="BL28" s="853">
        <f t="shared" si="0"/>
        <v>0</v>
      </c>
      <c r="BM28" s="853">
        <f t="shared" si="0"/>
        <v>0</v>
      </c>
      <c r="BN28" s="853">
        <f t="shared" si="0"/>
        <v>0</v>
      </c>
      <c r="BO28" s="854">
        <f t="shared" si="18"/>
        <v>0</v>
      </c>
      <c r="BP28" s="853">
        <f t="shared" si="19"/>
        <v>8.2866666666666671</v>
      </c>
      <c r="BQ28" s="853">
        <f t="shared" si="1"/>
        <v>24.860000000000003</v>
      </c>
      <c r="BR28" s="853">
        <f t="shared" si="1"/>
        <v>41.433333333333337</v>
      </c>
      <c r="BS28" s="853">
        <f t="shared" si="1"/>
        <v>58.006666666666668</v>
      </c>
      <c r="BT28" s="853">
        <f t="shared" si="1"/>
        <v>66.293333333333337</v>
      </c>
      <c r="BU28" s="853">
        <f t="shared" si="1"/>
        <v>74.580000000000013</v>
      </c>
      <c r="BV28" s="853">
        <f t="shared" si="1"/>
        <v>82.866666666666674</v>
      </c>
      <c r="BW28" s="853">
        <f t="shared" si="1"/>
        <v>82.866666666666674</v>
      </c>
      <c r="BX28" s="853">
        <f t="shared" si="1"/>
        <v>82.866666666666674</v>
      </c>
      <c r="BY28" s="853">
        <f t="shared" si="1"/>
        <v>82.866666666666674</v>
      </c>
      <c r="BZ28" s="853">
        <f t="shared" si="1"/>
        <v>82.866666666666674</v>
      </c>
      <c r="CA28" s="853">
        <f t="shared" si="1"/>
        <v>82.866666666666674</v>
      </c>
      <c r="CB28" s="854">
        <f t="shared" si="20"/>
        <v>770.66000000000008</v>
      </c>
      <c r="CC28" s="853">
        <f t="shared" si="21"/>
        <v>74.580000000000013</v>
      </c>
      <c r="CD28" s="853">
        <f t="shared" si="2"/>
        <v>74.580000000000013</v>
      </c>
      <c r="CE28" s="853">
        <f t="shared" si="2"/>
        <v>74.580000000000013</v>
      </c>
      <c r="CF28" s="853">
        <f t="shared" si="2"/>
        <v>74.580000000000013</v>
      </c>
      <c r="CG28" s="853">
        <f t="shared" si="2"/>
        <v>74.580000000000013</v>
      </c>
      <c r="CH28" s="853">
        <f t="shared" si="2"/>
        <v>74.580000000000013</v>
      </c>
      <c r="CI28" s="853">
        <f t="shared" si="2"/>
        <v>74.580000000000013</v>
      </c>
      <c r="CJ28" s="853">
        <f t="shared" si="2"/>
        <v>74.580000000000013</v>
      </c>
      <c r="CK28" s="853">
        <f t="shared" si="2"/>
        <v>74.580000000000013</v>
      </c>
      <c r="CL28" s="853">
        <f t="shared" si="2"/>
        <v>74.580000000000013</v>
      </c>
      <c r="CM28" s="853">
        <f t="shared" si="2"/>
        <v>74.580000000000013</v>
      </c>
      <c r="CN28" s="853">
        <f t="shared" si="2"/>
        <v>74.580000000000013</v>
      </c>
      <c r="CO28" s="854">
        <f t="shared" si="22"/>
        <v>894.96000000000038</v>
      </c>
      <c r="CP28" s="855">
        <f t="shared" si="23"/>
        <v>1665.6200000000003</v>
      </c>
    </row>
    <row r="29" spans="1:94">
      <c r="A29" s="845">
        <v>16</v>
      </c>
      <c r="B29" s="846" t="s">
        <v>904</v>
      </c>
      <c r="C29" s="847">
        <v>2</v>
      </c>
      <c r="D29" s="847">
        <f>'Xpert needs'!AA31</f>
        <v>373.15</v>
      </c>
      <c r="E29" s="847">
        <f t="shared" si="3"/>
        <v>31.095833333333331</v>
      </c>
      <c r="F29" s="848">
        <f t="shared" si="4"/>
        <v>1.622391304347826</v>
      </c>
      <c r="G29" s="849">
        <f t="shared" si="5"/>
        <v>0.81119565217391298</v>
      </c>
      <c r="H29" s="847">
        <f t="shared" si="6"/>
        <v>373.15</v>
      </c>
      <c r="I29" s="847">
        <f t="shared" si="7"/>
        <v>31.095833333333331</v>
      </c>
      <c r="J29" s="848">
        <f t="shared" si="8"/>
        <v>1.622391304347826</v>
      </c>
      <c r="K29" s="849">
        <f t="shared" si="9"/>
        <v>0.81119565217391298</v>
      </c>
      <c r="L29" s="847">
        <f t="shared" si="10"/>
        <v>373.15</v>
      </c>
      <c r="M29" s="847">
        <f t="shared" si="11"/>
        <v>31.095833333333331</v>
      </c>
      <c r="N29" s="848">
        <f t="shared" si="12"/>
        <v>1.622391304347826</v>
      </c>
      <c r="O29" s="849">
        <f t="shared" si="13"/>
        <v>0.81119565217391298</v>
      </c>
      <c r="P29" s="850"/>
      <c r="Q29" s="850"/>
      <c r="R29" s="850"/>
      <c r="S29" s="850"/>
      <c r="T29" s="850"/>
      <c r="U29" s="850"/>
      <c r="V29" s="850"/>
      <c r="W29" s="850"/>
      <c r="X29" s="850"/>
      <c r="Y29" s="850"/>
      <c r="Z29" s="850"/>
      <c r="AA29" s="850"/>
      <c r="AB29" s="851">
        <f t="shared" si="14"/>
        <v>0</v>
      </c>
      <c r="AC29" s="852">
        <v>0.1</v>
      </c>
      <c r="AD29" s="850">
        <v>0.2</v>
      </c>
      <c r="AE29" s="850">
        <v>0.3</v>
      </c>
      <c r="AF29" s="850">
        <v>0.4</v>
      </c>
      <c r="AG29" s="850">
        <v>0.5</v>
      </c>
      <c r="AH29" s="850">
        <v>0.6</v>
      </c>
      <c r="AI29" s="850">
        <v>0.7</v>
      </c>
      <c r="AJ29" s="850">
        <v>0.8</v>
      </c>
      <c r="AK29" s="850">
        <v>0.9</v>
      </c>
      <c r="AL29" s="850">
        <v>1</v>
      </c>
      <c r="AM29" s="850">
        <v>1</v>
      </c>
      <c r="AN29" s="850">
        <v>1</v>
      </c>
      <c r="AO29" s="851">
        <f t="shared" si="15"/>
        <v>0.625</v>
      </c>
      <c r="AP29" s="850">
        <v>1</v>
      </c>
      <c r="AQ29" s="850">
        <v>1</v>
      </c>
      <c r="AR29" s="850">
        <v>1</v>
      </c>
      <c r="AS29" s="850">
        <v>1</v>
      </c>
      <c r="AT29" s="850">
        <v>1</v>
      </c>
      <c r="AU29" s="850">
        <v>1</v>
      </c>
      <c r="AV29" s="850">
        <v>1</v>
      </c>
      <c r="AW29" s="850">
        <v>1</v>
      </c>
      <c r="AX29" s="850">
        <v>1</v>
      </c>
      <c r="AY29" s="850">
        <v>1</v>
      </c>
      <c r="AZ29" s="850">
        <v>1</v>
      </c>
      <c r="BA29" s="850">
        <v>1</v>
      </c>
      <c r="BB29" s="851">
        <f t="shared" si="16"/>
        <v>0.99999999999999967</v>
      </c>
      <c r="BC29" s="853">
        <f t="shared" si="17"/>
        <v>0</v>
      </c>
      <c r="BD29" s="853">
        <f t="shared" si="0"/>
        <v>0</v>
      </c>
      <c r="BE29" s="853">
        <f t="shared" si="0"/>
        <v>0</v>
      </c>
      <c r="BF29" s="853">
        <f t="shared" si="0"/>
        <v>0</v>
      </c>
      <c r="BG29" s="853">
        <f t="shared" si="0"/>
        <v>0</v>
      </c>
      <c r="BH29" s="853">
        <f t="shared" si="0"/>
        <v>0</v>
      </c>
      <c r="BI29" s="853">
        <f t="shared" si="0"/>
        <v>0</v>
      </c>
      <c r="BJ29" s="853">
        <f t="shared" si="0"/>
        <v>0</v>
      </c>
      <c r="BK29" s="853">
        <f t="shared" si="0"/>
        <v>0</v>
      </c>
      <c r="BL29" s="853">
        <f t="shared" si="0"/>
        <v>0</v>
      </c>
      <c r="BM29" s="853">
        <f t="shared" si="0"/>
        <v>0</v>
      </c>
      <c r="BN29" s="853">
        <f t="shared" si="0"/>
        <v>0</v>
      </c>
      <c r="BO29" s="854">
        <f t="shared" si="18"/>
        <v>0</v>
      </c>
      <c r="BP29" s="853">
        <f t="shared" si="19"/>
        <v>3.1095833333333331</v>
      </c>
      <c r="BQ29" s="853">
        <f t="shared" si="1"/>
        <v>6.2191666666666663</v>
      </c>
      <c r="BR29" s="853">
        <f t="shared" si="1"/>
        <v>9.3287499999999994</v>
      </c>
      <c r="BS29" s="853">
        <f t="shared" si="1"/>
        <v>12.438333333333333</v>
      </c>
      <c r="BT29" s="853">
        <f t="shared" si="1"/>
        <v>15.547916666666666</v>
      </c>
      <c r="BU29" s="853">
        <f t="shared" si="1"/>
        <v>18.657499999999999</v>
      </c>
      <c r="BV29" s="853">
        <f t="shared" si="1"/>
        <v>21.767083333333332</v>
      </c>
      <c r="BW29" s="853">
        <f t="shared" si="1"/>
        <v>24.876666666666665</v>
      </c>
      <c r="BX29" s="853">
        <f t="shared" si="1"/>
        <v>27.986249999999998</v>
      </c>
      <c r="BY29" s="853">
        <f t="shared" si="1"/>
        <v>31.095833333333331</v>
      </c>
      <c r="BZ29" s="853">
        <f t="shared" si="1"/>
        <v>31.095833333333331</v>
      </c>
      <c r="CA29" s="853">
        <f t="shared" si="1"/>
        <v>31.095833333333331</v>
      </c>
      <c r="CB29" s="854">
        <f t="shared" si="20"/>
        <v>233.21874999999997</v>
      </c>
      <c r="CC29" s="853">
        <f t="shared" si="21"/>
        <v>31.095833333333331</v>
      </c>
      <c r="CD29" s="853">
        <f t="shared" si="2"/>
        <v>31.095833333333331</v>
      </c>
      <c r="CE29" s="853">
        <f t="shared" si="2"/>
        <v>31.095833333333331</v>
      </c>
      <c r="CF29" s="853">
        <f t="shared" si="2"/>
        <v>31.095833333333331</v>
      </c>
      <c r="CG29" s="853">
        <f t="shared" si="2"/>
        <v>31.095833333333331</v>
      </c>
      <c r="CH29" s="853">
        <f t="shared" si="2"/>
        <v>31.095833333333331</v>
      </c>
      <c r="CI29" s="853">
        <f t="shared" si="2"/>
        <v>31.095833333333331</v>
      </c>
      <c r="CJ29" s="853">
        <f t="shared" si="2"/>
        <v>31.095833333333331</v>
      </c>
      <c r="CK29" s="853">
        <f t="shared" si="2"/>
        <v>31.095833333333331</v>
      </c>
      <c r="CL29" s="853">
        <f t="shared" si="2"/>
        <v>31.095833333333331</v>
      </c>
      <c r="CM29" s="853">
        <f t="shared" si="2"/>
        <v>31.095833333333331</v>
      </c>
      <c r="CN29" s="853">
        <f t="shared" si="2"/>
        <v>31.095833333333331</v>
      </c>
      <c r="CO29" s="854">
        <f t="shared" si="22"/>
        <v>373.14999999999986</v>
      </c>
      <c r="CP29" s="855">
        <f t="shared" si="23"/>
        <v>606.36874999999986</v>
      </c>
    </row>
    <row r="30" spans="1:94">
      <c r="A30" s="845">
        <v>17</v>
      </c>
      <c r="B30" s="846" t="s">
        <v>905</v>
      </c>
      <c r="C30" s="847">
        <v>2</v>
      </c>
      <c r="D30" s="847">
        <f>'Xpert needs'!AA32</f>
        <v>496.4</v>
      </c>
      <c r="E30" s="847">
        <f t="shared" si="3"/>
        <v>41.366666666666667</v>
      </c>
      <c r="F30" s="848">
        <f t="shared" si="4"/>
        <v>2.1582608695652175</v>
      </c>
      <c r="G30" s="849">
        <f t="shared" si="5"/>
        <v>1.0791304347826087</v>
      </c>
      <c r="H30" s="847">
        <f t="shared" si="6"/>
        <v>496.4</v>
      </c>
      <c r="I30" s="847">
        <f t="shared" si="7"/>
        <v>41.366666666666667</v>
      </c>
      <c r="J30" s="848">
        <f t="shared" si="8"/>
        <v>2.1582608695652175</v>
      </c>
      <c r="K30" s="849">
        <f t="shared" si="9"/>
        <v>1.0791304347826087</v>
      </c>
      <c r="L30" s="847">
        <f t="shared" si="10"/>
        <v>496.4</v>
      </c>
      <c r="M30" s="847">
        <f t="shared" si="11"/>
        <v>41.366666666666667</v>
      </c>
      <c r="N30" s="848">
        <f t="shared" si="12"/>
        <v>2.1582608695652175</v>
      </c>
      <c r="O30" s="849">
        <f t="shared" si="13"/>
        <v>1.0791304347826087</v>
      </c>
      <c r="P30" s="850"/>
      <c r="Q30" s="850"/>
      <c r="R30" s="850"/>
      <c r="S30" s="850"/>
      <c r="T30" s="850"/>
      <c r="U30" s="850"/>
      <c r="V30" s="850"/>
      <c r="W30" s="850"/>
      <c r="X30" s="850"/>
      <c r="Y30" s="850"/>
      <c r="Z30" s="850"/>
      <c r="AA30" s="850"/>
      <c r="AB30" s="851">
        <f t="shared" si="14"/>
        <v>0</v>
      </c>
      <c r="AC30" s="852">
        <v>0.1</v>
      </c>
      <c r="AD30" s="850">
        <v>0.2</v>
      </c>
      <c r="AE30" s="850">
        <v>0.3</v>
      </c>
      <c r="AF30" s="850">
        <v>0.4</v>
      </c>
      <c r="AG30" s="850">
        <v>0.5</v>
      </c>
      <c r="AH30" s="850">
        <v>0.6</v>
      </c>
      <c r="AI30" s="850">
        <v>0.7</v>
      </c>
      <c r="AJ30" s="850">
        <v>0.8</v>
      </c>
      <c r="AK30" s="850">
        <v>0.9</v>
      </c>
      <c r="AL30" s="850">
        <v>1</v>
      </c>
      <c r="AM30" s="850">
        <v>1</v>
      </c>
      <c r="AN30" s="850">
        <v>1</v>
      </c>
      <c r="AO30" s="851">
        <f t="shared" si="15"/>
        <v>0.62500000000000011</v>
      </c>
      <c r="AP30" s="850">
        <v>1</v>
      </c>
      <c r="AQ30" s="850">
        <v>1</v>
      </c>
      <c r="AR30" s="850">
        <v>1</v>
      </c>
      <c r="AS30" s="850">
        <v>1</v>
      </c>
      <c r="AT30" s="850">
        <v>1</v>
      </c>
      <c r="AU30" s="850">
        <v>1</v>
      </c>
      <c r="AV30" s="850">
        <v>1</v>
      </c>
      <c r="AW30" s="850">
        <v>1</v>
      </c>
      <c r="AX30" s="850">
        <v>1</v>
      </c>
      <c r="AY30" s="850">
        <v>1</v>
      </c>
      <c r="AZ30" s="850">
        <v>1</v>
      </c>
      <c r="BA30" s="850">
        <v>1</v>
      </c>
      <c r="BB30" s="851">
        <f t="shared" si="16"/>
        <v>1.0000000000000002</v>
      </c>
      <c r="BC30" s="853">
        <f t="shared" si="17"/>
        <v>0</v>
      </c>
      <c r="BD30" s="853">
        <f t="shared" si="0"/>
        <v>0</v>
      </c>
      <c r="BE30" s="853">
        <f t="shared" si="0"/>
        <v>0</v>
      </c>
      <c r="BF30" s="853">
        <f t="shared" si="0"/>
        <v>0</v>
      </c>
      <c r="BG30" s="853">
        <f t="shared" si="0"/>
        <v>0</v>
      </c>
      <c r="BH30" s="853">
        <f t="shared" si="0"/>
        <v>0</v>
      </c>
      <c r="BI30" s="853">
        <f t="shared" si="0"/>
        <v>0</v>
      </c>
      <c r="BJ30" s="853">
        <f t="shared" si="0"/>
        <v>0</v>
      </c>
      <c r="BK30" s="853">
        <f t="shared" si="0"/>
        <v>0</v>
      </c>
      <c r="BL30" s="853">
        <f t="shared" si="0"/>
        <v>0</v>
      </c>
      <c r="BM30" s="853">
        <f t="shared" si="0"/>
        <v>0</v>
      </c>
      <c r="BN30" s="853">
        <f t="shared" si="0"/>
        <v>0</v>
      </c>
      <c r="BO30" s="854">
        <f t="shared" si="18"/>
        <v>0</v>
      </c>
      <c r="BP30" s="853">
        <f t="shared" si="19"/>
        <v>4.1366666666666667</v>
      </c>
      <c r="BQ30" s="853">
        <f t="shared" si="1"/>
        <v>8.2733333333333334</v>
      </c>
      <c r="BR30" s="853">
        <f t="shared" si="1"/>
        <v>12.41</v>
      </c>
      <c r="BS30" s="853">
        <f t="shared" si="1"/>
        <v>16.546666666666667</v>
      </c>
      <c r="BT30" s="853">
        <f t="shared" si="1"/>
        <v>20.683333333333334</v>
      </c>
      <c r="BU30" s="853">
        <f t="shared" si="1"/>
        <v>24.82</v>
      </c>
      <c r="BV30" s="853">
        <f t="shared" si="1"/>
        <v>28.956666666666663</v>
      </c>
      <c r="BW30" s="853">
        <f t="shared" si="1"/>
        <v>33.093333333333334</v>
      </c>
      <c r="BX30" s="853">
        <f t="shared" si="1"/>
        <v>37.230000000000004</v>
      </c>
      <c r="BY30" s="853">
        <f t="shared" si="1"/>
        <v>41.366666666666667</v>
      </c>
      <c r="BZ30" s="853">
        <f t="shared" si="1"/>
        <v>41.366666666666667</v>
      </c>
      <c r="CA30" s="853">
        <f t="shared" si="1"/>
        <v>41.366666666666667</v>
      </c>
      <c r="CB30" s="854">
        <f t="shared" si="20"/>
        <v>310.25000000000006</v>
      </c>
      <c r="CC30" s="853">
        <f t="shared" si="21"/>
        <v>41.366666666666667</v>
      </c>
      <c r="CD30" s="853">
        <f t="shared" si="2"/>
        <v>41.366666666666667</v>
      </c>
      <c r="CE30" s="853">
        <f t="shared" si="2"/>
        <v>41.366666666666667</v>
      </c>
      <c r="CF30" s="853">
        <f t="shared" si="2"/>
        <v>41.366666666666667</v>
      </c>
      <c r="CG30" s="853">
        <f t="shared" si="2"/>
        <v>41.366666666666667</v>
      </c>
      <c r="CH30" s="853">
        <f t="shared" si="2"/>
        <v>41.366666666666667</v>
      </c>
      <c r="CI30" s="853">
        <f t="shared" si="2"/>
        <v>41.366666666666667</v>
      </c>
      <c r="CJ30" s="853">
        <f t="shared" si="2"/>
        <v>41.366666666666667</v>
      </c>
      <c r="CK30" s="853">
        <f t="shared" si="2"/>
        <v>41.366666666666667</v>
      </c>
      <c r="CL30" s="853">
        <f t="shared" si="2"/>
        <v>41.366666666666667</v>
      </c>
      <c r="CM30" s="853">
        <f t="shared" si="2"/>
        <v>41.366666666666667</v>
      </c>
      <c r="CN30" s="853">
        <f t="shared" si="2"/>
        <v>41.366666666666667</v>
      </c>
      <c r="CO30" s="854">
        <f t="shared" si="22"/>
        <v>496.40000000000003</v>
      </c>
      <c r="CP30" s="855">
        <f t="shared" si="23"/>
        <v>806.65000000000009</v>
      </c>
    </row>
    <row r="31" spans="1:94">
      <c r="A31" s="845">
        <v>18</v>
      </c>
      <c r="B31" s="846" t="s">
        <v>907</v>
      </c>
      <c r="C31" s="847">
        <v>2</v>
      </c>
      <c r="D31" s="847">
        <f>'Xpert needs'!AA34</f>
        <v>672.75</v>
      </c>
      <c r="E31" s="847">
        <f t="shared" si="3"/>
        <v>56.0625</v>
      </c>
      <c r="F31" s="848">
        <f t="shared" si="4"/>
        <v>2.9249999999999998</v>
      </c>
      <c r="G31" s="849">
        <f t="shared" si="5"/>
        <v>1.4624999999999999</v>
      </c>
      <c r="H31" s="847">
        <f t="shared" si="6"/>
        <v>672.75</v>
      </c>
      <c r="I31" s="847">
        <f t="shared" si="7"/>
        <v>56.0625</v>
      </c>
      <c r="J31" s="848">
        <f t="shared" si="8"/>
        <v>2.9249999999999998</v>
      </c>
      <c r="K31" s="849">
        <f t="shared" si="9"/>
        <v>1.4624999999999999</v>
      </c>
      <c r="L31" s="858">
        <f>H31*95%</f>
        <v>639.11249999999995</v>
      </c>
      <c r="M31" s="847">
        <f t="shared" si="11"/>
        <v>53.259374999999999</v>
      </c>
      <c r="N31" s="848">
        <f t="shared" si="12"/>
        <v>2.7787499999999996</v>
      </c>
      <c r="O31" s="849">
        <f t="shared" si="13"/>
        <v>1.3893749999999998</v>
      </c>
      <c r="P31" s="850"/>
      <c r="Q31" s="850"/>
      <c r="R31" s="850"/>
      <c r="S31" s="850"/>
      <c r="T31" s="850"/>
      <c r="U31" s="850"/>
      <c r="V31" s="850"/>
      <c r="W31" s="850"/>
      <c r="X31" s="850"/>
      <c r="Y31" s="850"/>
      <c r="Z31" s="850"/>
      <c r="AA31" s="850"/>
      <c r="AB31" s="851">
        <f t="shared" si="14"/>
        <v>0</v>
      </c>
      <c r="AC31" s="852">
        <v>0.1</v>
      </c>
      <c r="AD31" s="850">
        <v>0.2</v>
      </c>
      <c r="AE31" s="850">
        <v>0.3</v>
      </c>
      <c r="AF31" s="850">
        <v>0.4</v>
      </c>
      <c r="AG31" s="850">
        <v>0.5</v>
      </c>
      <c r="AH31" s="850">
        <v>0.6</v>
      </c>
      <c r="AI31" s="850">
        <v>0.7</v>
      </c>
      <c r="AJ31" s="850">
        <v>0.8</v>
      </c>
      <c r="AK31" s="850">
        <v>0.9</v>
      </c>
      <c r="AL31" s="850">
        <v>1</v>
      </c>
      <c r="AM31" s="850">
        <v>1</v>
      </c>
      <c r="AN31" s="850">
        <v>1</v>
      </c>
      <c r="AO31" s="851">
        <f t="shared" si="15"/>
        <v>0.625</v>
      </c>
      <c r="AP31" s="850">
        <v>1</v>
      </c>
      <c r="AQ31" s="850">
        <v>1</v>
      </c>
      <c r="AR31" s="850">
        <v>1</v>
      </c>
      <c r="AS31" s="850">
        <v>1</v>
      </c>
      <c r="AT31" s="850">
        <v>1</v>
      </c>
      <c r="AU31" s="850">
        <v>1</v>
      </c>
      <c r="AV31" s="850">
        <v>1</v>
      </c>
      <c r="AW31" s="850">
        <v>1</v>
      </c>
      <c r="AX31" s="850">
        <v>1</v>
      </c>
      <c r="AY31" s="850">
        <v>1</v>
      </c>
      <c r="AZ31" s="850">
        <v>1</v>
      </c>
      <c r="BA31" s="850">
        <v>1</v>
      </c>
      <c r="BB31" s="851">
        <f t="shared" si="16"/>
        <v>0.99999999999999978</v>
      </c>
      <c r="BC31" s="853">
        <f t="shared" si="17"/>
        <v>0</v>
      </c>
      <c r="BD31" s="853">
        <f t="shared" si="0"/>
        <v>0</v>
      </c>
      <c r="BE31" s="853">
        <f t="shared" si="0"/>
        <v>0</v>
      </c>
      <c r="BF31" s="853">
        <f t="shared" si="0"/>
        <v>0</v>
      </c>
      <c r="BG31" s="853">
        <f t="shared" si="0"/>
        <v>0</v>
      </c>
      <c r="BH31" s="853">
        <f t="shared" si="0"/>
        <v>0</v>
      </c>
      <c r="BI31" s="853">
        <f t="shared" si="0"/>
        <v>0</v>
      </c>
      <c r="BJ31" s="853">
        <f t="shared" si="0"/>
        <v>0</v>
      </c>
      <c r="BK31" s="853">
        <f t="shared" si="0"/>
        <v>0</v>
      </c>
      <c r="BL31" s="853">
        <f t="shared" si="0"/>
        <v>0</v>
      </c>
      <c r="BM31" s="853">
        <f t="shared" si="0"/>
        <v>0</v>
      </c>
      <c r="BN31" s="853">
        <f t="shared" si="0"/>
        <v>0</v>
      </c>
      <c r="BO31" s="854">
        <f t="shared" si="18"/>
        <v>0</v>
      </c>
      <c r="BP31" s="853">
        <f t="shared" si="19"/>
        <v>5.6062500000000002</v>
      </c>
      <c r="BQ31" s="853">
        <f t="shared" si="1"/>
        <v>11.2125</v>
      </c>
      <c r="BR31" s="853">
        <f t="shared" si="1"/>
        <v>16.818749999999998</v>
      </c>
      <c r="BS31" s="853">
        <f t="shared" si="1"/>
        <v>22.425000000000001</v>
      </c>
      <c r="BT31" s="853">
        <f t="shared" si="1"/>
        <v>28.03125</v>
      </c>
      <c r="BU31" s="853">
        <f t="shared" si="1"/>
        <v>33.637499999999996</v>
      </c>
      <c r="BV31" s="853">
        <f t="shared" si="1"/>
        <v>39.243749999999999</v>
      </c>
      <c r="BW31" s="853">
        <f t="shared" si="1"/>
        <v>44.85</v>
      </c>
      <c r="BX31" s="853">
        <f t="shared" si="1"/>
        <v>50.456250000000004</v>
      </c>
      <c r="BY31" s="853">
        <f t="shared" si="1"/>
        <v>56.0625</v>
      </c>
      <c r="BZ31" s="853">
        <f t="shared" si="1"/>
        <v>56.0625</v>
      </c>
      <c r="CA31" s="853">
        <f t="shared" si="1"/>
        <v>56.0625</v>
      </c>
      <c r="CB31" s="854">
        <f t="shared" si="20"/>
        <v>420.46875</v>
      </c>
      <c r="CC31" s="853">
        <f t="shared" si="21"/>
        <v>53.259374999999999</v>
      </c>
      <c r="CD31" s="853">
        <f t="shared" si="2"/>
        <v>53.259374999999999</v>
      </c>
      <c r="CE31" s="853">
        <f t="shared" si="2"/>
        <v>53.259374999999999</v>
      </c>
      <c r="CF31" s="853">
        <f t="shared" si="2"/>
        <v>53.259374999999999</v>
      </c>
      <c r="CG31" s="853">
        <f t="shared" si="2"/>
        <v>53.259374999999999</v>
      </c>
      <c r="CH31" s="853">
        <f t="shared" si="2"/>
        <v>53.259374999999999</v>
      </c>
      <c r="CI31" s="853">
        <f t="shared" si="2"/>
        <v>53.259374999999999</v>
      </c>
      <c r="CJ31" s="853">
        <f t="shared" si="2"/>
        <v>53.259374999999999</v>
      </c>
      <c r="CK31" s="853">
        <f t="shared" si="2"/>
        <v>53.259374999999999</v>
      </c>
      <c r="CL31" s="853">
        <f t="shared" si="2"/>
        <v>53.259374999999999</v>
      </c>
      <c r="CM31" s="853">
        <f t="shared" si="2"/>
        <v>53.259374999999999</v>
      </c>
      <c r="CN31" s="853">
        <f t="shared" si="2"/>
        <v>53.259374999999999</v>
      </c>
      <c r="CO31" s="854">
        <f t="shared" si="22"/>
        <v>639.11249999999984</v>
      </c>
      <c r="CP31" s="855">
        <f t="shared" si="23"/>
        <v>1059.5812499999997</v>
      </c>
    </row>
    <row r="32" spans="1:94">
      <c r="A32" s="856">
        <v>19</v>
      </c>
      <c r="B32" s="846" t="s">
        <v>1693</v>
      </c>
      <c r="C32" s="847">
        <v>4</v>
      </c>
      <c r="D32" s="847">
        <f>'Xpert needs'!AA36*55%</f>
        <v>1293.5725</v>
      </c>
      <c r="E32" s="847">
        <f t="shared" si="3"/>
        <v>107.79770833333333</v>
      </c>
      <c r="F32" s="848">
        <f t="shared" si="4"/>
        <v>5.6242282608695655</v>
      </c>
      <c r="G32" s="849">
        <f t="shared" si="5"/>
        <v>1.4060570652173914</v>
      </c>
      <c r="H32" s="847">
        <f t="shared" si="6"/>
        <v>1293.5725</v>
      </c>
      <c r="I32" s="847">
        <f t="shared" si="7"/>
        <v>107.79770833333333</v>
      </c>
      <c r="J32" s="848">
        <f t="shared" si="8"/>
        <v>5.6242282608695655</v>
      </c>
      <c r="K32" s="849">
        <f t="shared" si="9"/>
        <v>1.4060570652173914</v>
      </c>
      <c r="L32" s="858">
        <f>H32*90%</f>
        <v>1164.21525</v>
      </c>
      <c r="M32" s="847">
        <f t="shared" si="11"/>
        <v>97.017937500000002</v>
      </c>
      <c r="N32" s="848">
        <f t="shared" si="12"/>
        <v>5.0618054347826087</v>
      </c>
      <c r="O32" s="849">
        <f t="shared" si="13"/>
        <v>1.2654513586956522</v>
      </c>
      <c r="P32" s="857">
        <v>1.5</v>
      </c>
      <c r="Q32" s="850">
        <v>1.5</v>
      </c>
      <c r="R32" s="850">
        <v>1.5</v>
      </c>
      <c r="S32" s="850">
        <v>1.5</v>
      </c>
      <c r="T32" s="850">
        <v>1.5</v>
      </c>
      <c r="U32" s="850">
        <v>1.5</v>
      </c>
      <c r="V32" s="850">
        <v>1.5</v>
      </c>
      <c r="W32" s="850">
        <v>1.5</v>
      </c>
      <c r="X32" s="850">
        <v>1.5</v>
      </c>
      <c r="Y32" s="850">
        <v>1.5</v>
      </c>
      <c r="Z32" s="850">
        <v>1.5</v>
      </c>
      <c r="AA32" s="850">
        <v>1.5</v>
      </c>
      <c r="AB32" s="851">
        <f t="shared" si="14"/>
        <v>1.5</v>
      </c>
      <c r="AC32" s="850">
        <v>1.4</v>
      </c>
      <c r="AD32" s="850">
        <v>1.3</v>
      </c>
      <c r="AE32" s="850">
        <v>1.2</v>
      </c>
      <c r="AF32" s="850">
        <v>1.1499999999999999</v>
      </c>
      <c r="AG32" s="850">
        <v>1.1000000000000001</v>
      </c>
      <c r="AH32" s="850">
        <v>1.05</v>
      </c>
      <c r="AI32" s="850">
        <v>1</v>
      </c>
      <c r="AJ32" s="850">
        <v>1</v>
      </c>
      <c r="AK32" s="850">
        <v>1</v>
      </c>
      <c r="AL32" s="850">
        <v>1</v>
      </c>
      <c r="AM32" s="850">
        <v>1</v>
      </c>
      <c r="AN32" s="850">
        <v>1</v>
      </c>
      <c r="AO32" s="851">
        <f t="shared" si="15"/>
        <v>1.0999999999999996</v>
      </c>
      <c r="AP32" s="850">
        <v>1</v>
      </c>
      <c r="AQ32" s="850">
        <v>1</v>
      </c>
      <c r="AR32" s="850">
        <v>1</v>
      </c>
      <c r="AS32" s="850">
        <v>1</v>
      </c>
      <c r="AT32" s="850">
        <v>1</v>
      </c>
      <c r="AU32" s="850">
        <v>1</v>
      </c>
      <c r="AV32" s="850">
        <v>1</v>
      </c>
      <c r="AW32" s="850">
        <v>1</v>
      </c>
      <c r="AX32" s="850">
        <v>1</v>
      </c>
      <c r="AY32" s="850">
        <v>1</v>
      </c>
      <c r="AZ32" s="850">
        <v>1</v>
      </c>
      <c r="BA32" s="850">
        <v>1</v>
      </c>
      <c r="BB32" s="851">
        <f t="shared" si="16"/>
        <v>1</v>
      </c>
      <c r="BC32" s="853">
        <f t="shared" si="17"/>
        <v>161.6965625</v>
      </c>
      <c r="BD32" s="853">
        <f t="shared" si="0"/>
        <v>161.6965625</v>
      </c>
      <c r="BE32" s="853">
        <f t="shared" si="0"/>
        <v>161.6965625</v>
      </c>
      <c r="BF32" s="853">
        <f t="shared" si="0"/>
        <v>161.6965625</v>
      </c>
      <c r="BG32" s="853">
        <f t="shared" si="0"/>
        <v>161.6965625</v>
      </c>
      <c r="BH32" s="853">
        <f t="shared" si="0"/>
        <v>161.6965625</v>
      </c>
      <c r="BI32" s="853">
        <f t="shared" si="0"/>
        <v>161.6965625</v>
      </c>
      <c r="BJ32" s="853">
        <f t="shared" si="0"/>
        <v>161.6965625</v>
      </c>
      <c r="BK32" s="853">
        <f t="shared" si="0"/>
        <v>161.6965625</v>
      </c>
      <c r="BL32" s="853">
        <f t="shared" si="0"/>
        <v>161.6965625</v>
      </c>
      <c r="BM32" s="853">
        <f t="shared" si="0"/>
        <v>161.6965625</v>
      </c>
      <c r="BN32" s="853">
        <f t="shared" si="0"/>
        <v>161.6965625</v>
      </c>
      <c r="BO32" s="854">
        <f t="shared" si="18"/>
        <v>1940.3587500000001</v>
      </c>
      <c r="BP32" s="853">
        <f t="shared" si="19"/>
        <v>150.91679166666665</v>
      </c>
      <c r="BQ32" s="853">
        <f t="shared" si="1"/>
        <v>140.13702083333334</v>
      </c>
      <c r="BR32" s="853">
        <f t="shared" si="1"/>
        <v>129.35724999999999</v>
      </c>
      <c r="BS32" s="853">
        <f t="shared" si="1"/>
        <v>123.96736458333332</v>
      </c>
      <c r="BT32" s="853">
        <f t="shared" si="1"/>
        <v>118.57747916666668</v>
      </c>
      <c r="BU32" s="853">
        <f t="shared" si="1"/>
        <v>113.18759375</v>
      </c>
      <c r="BV32" s="853">
        <f t="shared" si="1"/>
        <v>107.79770833333333</v>
      </c>
      <c r="BW32" s="853">
        <f t="shared" si="1"/>
        <v>107.79770833333333</v>
      </c>
      <c r="BX32" s="853">
        <f t="shared" si="1"/>
        <v>107.79770833333333</v>
      </c>
      <c r="BY32" s="853">
        <f t="shared" si="1"/>
        <v>107.79770833333333</v>
      </c>
      <c r="BZ32" s="853">
        <f t="shared" si="1"/>
        <v>107.79770833333333</v>
      </c>
      <c r="CA32" s="853">
        <f t="shared" si="1"/>
        <v>107.79770833333333</v>
      </c>
      <c r="CB32" s="854">
        <f t="shared" si="20"/>
        <v>1422.9297499999996</v>
      </c>
      <c r="CC32" s="853">
        <f t="shared" si="21"/>
        <v>97.017937500000002</v>
      </c>
      <c r="CD32" s="853">
        <f t="shared" si="2"/>
        <v>97.017937500000002</v>
      </c>
      <c r="CE32" s="853">
        <f t="shared" si="2"/>
        <v>97.017937500000002</v>
      </c>
      <c r="CF32" s="853">
        <f t="shared" si="2"/>
        <v>97.017937500000002</v>
      </c>
      <c r="CG32" s="853">
        <f t="shared" si="2"/>
        <v>97.017937500000002</v>
      </c>
      <c r="CH32" s="853">
        <f t="shared" si="2"/>
        <v>97.017937500000002</v>
      </c>
      <c r="CI32" s="853">
        <f t="shared" si="2"/>
        <v>97.017937500000002</v>
      </c>
      <c r="CJ32" s="853">
        <f t="shared" si="2"/>
        <v>97.017937500000002</v>
      </c>
      <c r="CK32" s="853">
        <f t="shared" si="2"/>
        <v>97.017937500000002</v>
      </c>
      <c r="CL32" s="853">
        <f t="shared" si="2"/>
        <v>97.017937500000002</v>
      </c>
      <c r="CM32" s="853">
        <f t="shared" si="2"/>
        <v>97.017937500000002</v>
      </c>
      <c r="CN32" s="853">
        <f t="shared" si="2"/>
        <v>97.017937500000002</v>
      </c>
      <c r="CO32" s="854">
        <f t="shared" si="22"/>
        <v>1164.21525</v>
      </c>
      <c r="CP32" s="855">
        <f t="shared" si="23"/>
        <v>4527.5037499999999</v>
      </c>
    </row>
    <row r="33" spans="1:94">
      <c r="A33" s="856">
        <v>20</v>
      </c>
      <c r="B33" s="846" t="s">
        <v>1694</v>
      </c>
      <c r="C33" s="847">
        <v>4</v>
      </c>
      <c r="D33" s="847">
        <f>'Xpert needs'!AA36*45%</f>
        <v>1058.3775000000001</v>
      </c>
      <c r="E33" s="847">
        <f t="shared" si="3"/>
        <v>88.198125000000005</v>
      </c>
      <c r="F33" s="848">
        <f t="shared" si="4"/>
        <v>4.6016413043478259</v>
      </c>
      <c r="G33" s="849">
        <f t="shared" si="5"/>
        <v>1.1504103260869565</v>
      </c>
      <c r="H33" s="847">
        <f t="shared" si="6"/>
        <v>1058.3775000000001</v>
      </c>
      <c r="I33" s="847">
        <f t="shared" si="7"/>
        <v>88.198125000000005</v>
      </c>
      <c r="J33" s="848">
        <f t="shared" si="8"/>
        <v>4.6016413043478259</v>
      </c>
      <c r="K33" s="849">
        <f t="shared" si="9"/>
        <v>1.1504103260869565</v>
      </c>
      <c r="L33" s="858">
        <f>H33*90%</f>
        <v>952.53975000000003</v>
      </c>
      <c r="M33" s="847">
        <f t="shared" si="11"/>
        <v>79.378312500000007</v>
      </c>
      <c r="N33" s="848">
        <f t="shared" si="12"/>
        <v>4.1414771739130432</v>
      </c>
      <c r="O33" s="849">
        <f t="shared" si="13"/>
        <v>1.0353692934782608</v>
      </c>
      <c r="P33" s="857">
        <f t="shared" ref="P33:AA33" si="24">P32</f>
        <v>1.5</v>
      </c>
      <c r="Q33" s="850">
        <f t="shared" si="24"/>
        <v>1.5</v>
      </c>
      <c r="R33" s="850">
        <f t="shared" si="24"/>
        <v>1.5</v>
      </c>
      <c r="S33" s="850">
        <f t="shared" si="24"/>
        <v>1.5</v>
      </c>
      <c r="T33" s="850">
        <f t="shared" si="24"/>
        <v>1.5</v>
      </c>
      <c r="U33" s="850">
        <f t="shared" si="24"/>
        <v>1.5</v>
      </c>
      <c r="V33" s="850">
        <f t="shared" si="24"/>
        <v>1.5</v>
      </c>
      <c r="W33" s="850">
        <f t="shared" si="24"/>
        <v>1.5</v>
      </c>
      <c r="X33" s="850">
        <f t="shared" si="24"/>
        <v>1.5</v>
      </c>
      <c r="Y33" s="850">
        <f t="shared" si="24"/>
        <v>1.5</v>
      </c>
      <c r="Z33" s="850">
        <f t="shared" si="24"/>
        <v>1.5</v>
      </c>
      <c r="AA33" s="850">
        <f t="shared" si="24"/>
        <v>1.5</v>
      </c>
      <c r="AB33" s="851">
        <f t="shared" si="14"/>
        <v>1.5000000000000004</v>
      </c>
      <c r="AC33" s="850">
        <f>AC32</f>
        <v>1.4</v>
      </c>
      <c r="AD33" s="850">
        <f t="shared" ref="AD33:AN33" si="25">AD32</f>
        <v>1.3</v>
      </c>
      <c r="AE33" s="850">
        <f t="shared" si="25"/>
        <v>1.2</v>
      </c>
      <c r="AF33" s="850">
        <f t="shared" si="25"/>
        <v>1.1499999999999999</v>
      </c>
      <c r="AG33" s="850">
        <f t="shared" si="25"/>
        <v>1.1000000000000001</v>
      </c>
      <c r="AH33" s="850">
        <f t="shared" si="25"/>
        <v>1.05</v>
      </c>
      <c r="AI33" s="850">
        <f t="shared" si="25"/>
        <v>1</v>
      </c>
      <c r="AJ33" s="850">
        <f t="shared" si="25"/>
        <v>1</v>
      </c>
      <c r="AK33" s="850">
        <f t="shared" si="25"/>
        <v>1</v>
      </c>
      <c r="AL33" s="850">
        <f t="shared" si="25"/>
        <v>1</v>
      </c>
      <c r="AM33" s="850">
        <f t="shared" si="25"/>
        <v>1</v>
      </c>
      <c r="AN33" s="850">
        <f t="shared" si="25"/>
        <v>1</v>
      </c>
      <c r="AO33" s="851">
        <f t="shared" si="15"/>
        <v>1.0999999999999996</v>
      </c>
      <c r="AP33" s="850">
        <v>1</v>
      </c>
      <c r="AQ33" s="850">
        <v>1</v>
      </c>
      <c r="AR33" s="850">
        <v>1</v>
      </c>
      <c r="AS33" s="850">
        <v>1</v>
      </c>
      <c r="AT33" s="850">
        <v>1</v>
      </c>
      <c r="AU33" s="850">
        <v>1</v>
      </c>
      <c r="AV33" s="850">
        <v>1</v>
      </c>
      <c r="AW33" s="850">
        <v>1</v>
      </c>
      <c r="AX33" s="850">
        <v>1</v>
      </c>
      <c r="AY33" s="850">
        <v>1</v>
      </c>
      <c r="AZ33" s="850">
        <v>1</v>
      </c>
      <c r="BA33" s="850">
        <v>1</v>
      </c>
      <c r="BB33" s="851">
        <f t="shared" si="16"/>
        <v>1</v>
      </c>
      <c r="BC33" s="853">
        <f t="shared" si="17"/>
        <v>132.29718750000001</v>
      </c>
      <c r="BD33" s="853">
        <f t="shared" si="0"/>
        <v>132.29718750000001</v>
      </c>
      <c r="BE33" s="853">
        <f t="shared" si="0"/>
        <v>132.29718750000001</v>
      </c>
      <c r="BF33" s="853">
        <f t="shared" si="0"/>
        <v>132.29718750000001</v>
      </c>
      <c r="BG33" s="853">
        <f t="shared" si="0"/>
        <v>132.29718750000001</v>
      </c>
      <c r="BH33" s="853">
        <f t="shared" si="0"/>
        <v>132.29718750000001</v>
      </c>
      <c r="BI33" s="853">
        <f t="shared" si="0"/>
        <v>132.29718750000001</v>
      </c>
      <c r="BJ33" s="853">
        <f t="shared" si="0"/>
        <v>132.29718750000001</v>
      </c>
      <c r="BK33" s="853">
        <f t="shared" si="0"/>
        <v>132.29718750000001</v>
      </c>
      <c r="BL33" s="853">
        <f t="shared" si="0"/>
        <v>132.29718750000001</v>
      </c>
      <c r="BM33" s="853">
        <f t="shared" si="0"/>
        <v>132.29718750000001</v>
      </c>
      <c r="BN33" s="853">
        <f t="shared" si="0"/>
        <v>132.29718750000001</v>
      </c>
      <c r="BO33" s="854">
        <f t="shared" si="18"/>
        <v>1587.5662500000005</v>
      </c>
      <c r="BP33" s="853">
        <f t="shared" si="19"/>
        <v>123.47737499999999</v>
      </c>
      <c r="BQ33" s="853">
        <f t="shared" si="1"/>
        <v>114.65756250000001</v>
      </c>
      <c r="BR33" s="853">
        <f t="shared" si="1"/>
        <v>105.83775</v>
      </c>
      <c r="BS33" s="853">
        <f t="shared" si="1"/>
        <v>101.42784374999999</v>
      </c>
      <c r="BT33" s="853">
        <f t="shared" si="1"/>
        <v>97.017937500000016</v>
      </c>
      <c r="BU33" s="853">
        <f t="shared" si="1"/>
        <v>92.60803125000001</v>
      </c>
      <c r="BV33" s="853">
        <f t="shared" si="1"/>
        <v>88.198125000000005</v>
      </c>
      <c r="BW33" s="853">
        <f t="shared" si="1"/>
        <v>88.198125000000005</v>
      </c>
      <c r="BX33" s="853">
        <f t="shared" si="1"/>
        <v>88.198125000000005</v>
      </c>
      <c r="BY33" s="853">
        <f t="shared" si="1"/>
        <v>88.198125000000005</v>
      </c>
      <c r="BZ33" s="853">
        <f t="shared" si="1"/>
        <v>88.198125000000005</v>
      </c>
      <c r="CA33" s="853">
        <f t="shared" si="1"/>
        <v>88.198125000000005</v>
      </c>
      <c r="CB33" s="854">
        <f t="shared" si="20"/>
        <v>1164.2152499999997</v>
      </c>
      <c r="CC33" s="853">
        <f t="shared" si="21"/>
        <v>79.378312500000007</v>
      </c>
      <c r="CD33" s="853">
        <f t="shared" si="2"/>
        <v>79.378312500000007</v>
      </c>
      <c r="CE33" s="853">
        <f t="shared" si="2"/>
        <v>79.378312500000007</v>
      </c>
      <c r="CF33" s="853">
        <f t="shared" si="2"/>
        <v>79.378312500000007</v>
      </c>
      <c r="CG33" s="853">
        <f t="shared" si="2"/>
        <v>79.378312500000007</v>
      </c>
      <c r="CH33" s="853">
        <f t="shared" si="2"/>
        <v>79.378312500000007</v>
      </c>
      <c r="CI33" s="853">
        <f t="shared" si="2"/>
        <v>79.378312500000007</v>
      </c>
      <c r="CJ33" s="853">
        <f t="shared" si="2"/>
        <v>79.378312500000007</v>
      </c>
      <c r="CK33" s="853">
        <f t="shared" si="2"/>
        <v>79.378312500000007</v>
      </c>
      <c r="CL33" s="853">
        <f t="shared" si="2"/>
        <v>79.378312500000007</v>
      </c>
      <c r="CM33" s="853">
        <f t="shared" si="2"/>
        <v>79.378312500000007</v>
      </c>
      <c r="CN33" s="853">
        <f t="shared" si="2"/>
        <v>79.378312500000007</v>
      </c>
      <c r="CO33" s="854">
        <f t="shared" si="22"/>
        <v>952.53975000000003</v>
      </c>
      <c r="CP33" s="855">
        <f t="shared" si="23"/>
        <v>3704.32125</v>
      </c>
    </row>
    <row r="34" spans="1:94">
      <c r="A34" s="845">
        <v>21</v>
      </c>
      <c r="B34" s="846" t="s">
        <v>914</v>
      </c>
      <c r="C34" s="847">
        <v>2</v>
      </c>
      <c r="D34" s="847">
        <f>'Xpert needs'!AA41</f>
        <v>514.79999999999995</v>
      </c>
      <c r="E34" s="847">
        <f t="shared" si="3"/>
        <v>42.9</v>
      </c>
      <c r="F34" s="848">
        <f t="shared" si="4"/>
        <v>2.2382608695652171</v>
      </c>
      <c r="G34" s="849">
        <f t="shared" si="5"/>
        <v>1.1191304347826085</v>
      </c>
      <c r="H34" s="847">
        <f t="shared" si="6"/>
        <v>514.79999999999995</v>
      </c>
      <c r="I34" s="847">
        <f t="shared" si="7"/>
        <v>42.9</v>
      </c>
      <c r="J34" s="848">
        <f t="shared" si="8"/>
        <v>2.2382608695652171</v>
      </c>
      <c r="K34" s="849">
        <f t="shared" si="9"/>
        <v>1.1191304347826085</v>
      </c>
      <c r="L34" s="847">
        <f t="shared" si="10"/>
        <v>514.79999999999995</v>
      </c>
      <c r="M34" s="847">
        <f t="shared" si="11"/>
        <v>42.9</v>
      </c>
      <c r="N34" s="848">
        <f t="shared" si="12"/>
        <v>2.2382608695652171</v>
      </c>
      <c r="O34" s="849">
        <f t="shared" si="13"/>
        <v>1.1191304347826085</v>
      </c>
      <c r="P34" s="850"/>
      <c r="Q34" s="850"/>
      <c r="R34" s="850"/>
      <c r="S34" s="850"/>
      <c r="T34" s="850"/>
      <c r="U34" s="850"/>
      <c r="V34" s="850"/>
      <c r="W34" s="850"/>
      <c r="X34" s="850"/>
      <c r="Y34" s="850"/>
      <c r="Z34" s="850"/>
      <c r="AA34" s="850"/>
      <c r="AB34" s="851">
        <f t="shared" si="14"/>
        <v>0</v>
      </c>
      <c r="AC34" s="850"/>
      <c r="AD34" s="850"/>
      <c r="AE34" s="850"/>
      <c r="AF34" s="852">
        <v>0.1</v>
      </c>
      <c r="AG34" s="850">
        <v>0.3</v>
      </c>
      <c r="AH34" s="850">
        <v>0.5</v>
      </c>
      <c r="AI34" s="850">
        <v>0.7</v>
      </c>
      <c r="AJ34" s="850">
        <v>0.8</v>
      </c>
      <c r="AK34" s="850">
        <v>0.9</v>
      </c>
      <c r="AL34" s="850">
        <v>1</v>
      </c>
      <c r="AM34" s="850">
        <v>1</v>
      </c>
      <c r="AN34" s="850">
        <v>1</v>
      </c>
      <c r="AO34" s="851">
        <f t="shared" si="15"/>
        <v>0.52500000000000002</v>
      </c>
      <c r="AP34" s="850">
        <v>1</v>
      </c>
      <c r="AQ34" s="850">
        <v>1</v>
      </c>
      <c r="AR34" s="850">
        <v>1</v>
      </c>
      <c r="AS34" s="850">
        <v>1</v>
      </c>
      <c r="AT34" s="850">
        <v>1</v>
      </c>
      <c r="AU34" s="850">
        <v>1</v>
      </c>
      <c r="AV34" s="850">
        <v>1</v>
      </c>
      <c r="AW34" s="850">
        <v>1</v>
      </c>
      <c r="AX34" s="850">
        <v>1</v>
      </c>
      <c r="AY34" s="850">
        <v>1</v>
      </c>
      <c r="AZ34" s="850">
        <v>1</v>
      </c>
      <c r="BA34" s="850">
        <v>1</v>
      </c>
      <c r="BB34" s="851">
        <f t="shared" si="16"/>
        <v>0.99999999999999978</v>
      </c>
      <c r="BC34" s="853">
        <f t="shared" si="17"/>
        <v>0</v>
      </c>
      <c r="BD34" s="853">
        <f t="shared" si="0"/>
        <v>0</v>
      </c>
      <c r="BE34" s="853">
        <f t="shared" si="0"/>
        <v>0</v>
      </c>
      <c r="BF34" s="853">
        <f t="shared" si="0"/>
        <v>0</v>
      </c>
      <c r="BG34" s="853">
        <f t="shared" si="0"/>
        <v>0</v>
      </c>
      <c r="BH34" s="853">
        <f t="shared" si="0"/>
        <v>0</v>
      </c>
      <c r="BI34" s="853">
        <f t="shared" si="0"/>
        <v>0</v>
      </c>
      <c r="BJ34" s="853">
        <f t="shared" si="0"/>
        <v>0</v>
      </c>
      <c r="BK34" s="853">
        <f t="shared" si="0"/>
        <v>0</v>
      </c>
      <c r="BL34" s="853">
        <f t="shared" si="0"/>
        <v>0</v>
      </c>
      <c r="BM34" s="853">
        <f t="shared" si="0"/>
        <v>0</v>
      </c>
      <c r="BN34" s="853">
        <f t="shared" si="0"/>
        <v>0</v>
      </c>
      <c r="BO34" s="854">
        <f t="shared" si="18"/>
        <v>0</v>
      </c>
      <c r="BP34" s="853">
        <f t="shared" si="19"/>
        <v>0</v>
      </c>
      <c r="BQ34" s="853">
        <f t="shared" si="1"/>
        <v>0</v>
      </c>
      <c r="BR34" s="853">
        <f t="shared" si="1"/>
        <v>0</v>
      </c>
      <c r="BS34" s="853">
        <f t="shared" si="1"/>
        <v>4.29</v>
      </c>
      <c r="BT34" s="853">
        <f t="shared" si="1"/>
        <v>12.87</v>
      </c>
      <c r="BU34" s="853">
        <f t="shared" si="1"/>
        <v>21.45</v>
      </c>
      <c r="BV34" s="853">
        <f t="shared" si="1"/>
        <v>30.029999999999998</v>
      </c>
      <c r="BW34" s="853">
        <f t="shared" si="1"/>
        <v>34.32</v>
      </c>
      <c r="BX34" s="853">
        <f t="shared" si="1"/>
        <v>38.61</v>
      </c>
      <c r="BY34" s="853">
        <f t="shared" si="1"/>
        <v>42.9</v>
      </c>
      <c r="BZ34" s="853">
        <f t="shared" si="1"/>
        <v>42.9</v>
      </c>
      <c r="CA34" s="853">
        <f t="shared" si="1"/>
        <v>42.9</v>
      </c>
      <c r="CB34" s="854">
        <f t="shared" si="20"/>
        <v>270.27</v>
      </c>
      <c r="CC34" s="853">
        <f t="shared" si="21"/>
        <v>42.9</v>
      </c>
      <c r="CD34" s="853">
        <f t="shared" si="2"/>
        <v>42.9</v>
      </c>
      <c r="CE34" s="853">
        <f t="shared" si="2"/>
        <v>42.9</v>
      </c>
      <c r="CF34" s="853">
        <f t="shared" si="2"/>
        <v>42.9</v>
      </c>
      <c r="CG34" s="853">
        <f t="shared" si="2"/>
        <v>42.9</v>
      </c>
      <c r="CH34" s="853">
        <f t="shared" si="2"/>
        <v>42.9</v>
      </c>
      <c r="CI34" s="853">
        <f t="shared" si="2"/>
        <v>42.9</v>
      </c>
      <c r="CJ34" s="853">
        <f t="shared" si="2"/>
        <v>42.9</v>
      </c>
      <c r="CK34" s="853">
        <f t="shared" si="2"/>
        <v>42.9</v>
      </c>
      <c r="CL34" s="853">
        <f t="shared" si="2"/>
        <v>42.9</v>
      </c>
      <c r="CM34" s="853">
        <f t="shared" si="2"/>
        <v>42.9</v>
      </c>
      <c r="CN34" s="853">
        <f t="shared" si="2"/>
        <v>42.9</v>
      </c>
      <c r="CO34" s="854">
        <f t="shared" si="22"/>
        <v>514.79999999999984</v>
      </c>
      <c r="CP34" s="855">
        <f t="shared" si="23"/>
        <v>785.06999999999982</v>
      </c>
    </row>
    <row r="35" spans="1:94">
      <c r="A35" s="845">
        <v>22</v>
      </c>
      <c r="B35" s="846" t="s">
        <v>915</v>
      </c>
      <c r="C35" s="847">
        <v>2</v>
      </c>
      <c r="D35" s="847">
        <f>'Xpert needs'!AA42</f>
        <v>350.4</v>
      </c>
      <c r="E35" s="847">
        <f t="shared" si="3"/>
        <v>29.2</v>
      </c>
      <c r="F35" s="848">
        <f t="shared" si="4"/>
        <v>1.5234782608695652</v>
      </c>
      <c r="G35" s="849">
        <f t="shared" si="5"/>
        <v>0.76173913043478259</v>
      </c>
      <c r="H35" s="847">
        <f t="shared" si="6"/>
        <v>350.4</v>
      </c>
      <c r="I35" s="847">
        <f t="shared" si="7"/>
        <v>29.2</v>
      </c>
      <c r="J35" s="848">
        <f t="shared" si="8"/>
        <v>1.5234782608695652</v>
      </c>
      <c r="K35" s="849">
        <f t="shared" si="9"/>
        <v>0.76173913043478259</v>
      </c>
      <c r="L35" s="847">
        <f t="shared" si="10"/>
        <v>350.4</v>
      </c>
      <c r="M35" s="847">
        <f t="shared" si="11"/>
        <v>29.2</v>
      </c>
      <c r="N35" s="848">
        <f t="shared" si="12"/>
        <v>1.5234782608695652</v>
      </c>
      <c r="O35" s="849">
        <f t="shared" si="13"/>
        <v>0.76173913043478259</v>
      </c>
      <c r="P35" s="850"/>
      <c r="Q35" s="850"/>
      <c r="R35" s="850"/>
      <c r="S35" s="850"/>
      <c r="T35" s="850"/>
      <c r="U35" s="850"/>
      <c r="V35" s="850"/>
      <c r="W35" s="850"/>
      <c r="X35" s="850"/>
      <c r="Y35" s="850"/>
      <c r="Z35" s="850"/>
      <c r="AA35" s="850"/>
      <c r="AB35" s="851">
        <f t="shared" si="14"/>
        <v>0</v>
      </c>
      <c r="AC35" s="850"/>
      <c r="AD35" s="850"/>
      <c r="AE35" s="850"/>
      <c r="AF35" s="852">
        <v>0.1</v>
      </c>
      <c r="AG35" s="850">
        <v>0.3</v>
      </c>
      <c r="AH35" s="850">
        <v>0.5</v>
      </c>
      <c r="AI35" s="850">
        <v>0.7</v>
      </c>
      <c r="AJ35" s="850">
        <v>0.8</v>
      </c>
      <c r="AK35" s="850">
        <v>0.9</v>
      </c>
      <c r="AL35" s="850">
        <v>1</v>
      </c>
      <c r="AM35" s="850">
        <v>1</v>
      </c>
      <c r="AN35" s="850">
        <v>1</v>
      </c>
      <c r="AO35" s="851">
        <f t="shared" si="15"/>
        <v>0.52500000000000002</v>
      </c>
      <c r="AP35" s="850">
        <v>1</v>
      </c>
      <c r="AQ35" s="850">
        <v>1</v>
      </c>
      <c r="AR35" s="850">
        <v>1</v>
      </c>
      <c r="AS35" s="850">
        <v>1</v>
      </c>
      <c r="AT35" s="850">
        <v>1</v>
      </c>
      <c r="AU35" s="850">
        <v>1</v>
      </c>
      <c r="AV35" s="850">
        <v>1</v>
      </c>
      <c r="AW35" s="850">
        <v>1</v>
      </c>
      <c r="AX35" s="850">
        <v>1</v>
      </c>
      <c r="AY35" s="850">
        <v>1</v>
      </c>
      <c r="AZ35" s="850">
        <v>1</v>
      </c>
      <c r="BA35" s="850">
        <v>1</v>
      </c>
      <c r="BB35" s="851">
        <f t="shared" si="16"/>
        <v>0.99999999999999989</v>
      </c>
      <c r="BC35" s="853">
        <f t="shared" si="17"/>
        <v>0</v>
      </c>
      <c r="BD35" s="853">
        <f t="shared" si="0"/>
        <v>0</v>
      </c>
      <c r="BE35" s="853">
        <f t="shared" si="0"/>
        <v>0</v>
      </c>
      <c r="BF35" s="853">
        <f t="shared" si="0"/>
        <v>0</v>
      </c>
      <c r="BG35" s="853">
        <f t="shared" si="0"/>
        <v>0</v>
      </c>
      <c r="BH35" s="853">
        <f t="shared" si="0"/>
        <v>0</v>
      </c>
      <c r="BI35" s="853">
        <f t="shared" si="0"/>
        <v>0</v>
      </c>
      <c r="BJ35" s="853">
        <f t="shared" si="0"/>
        <v>0</v>
      </c>
      <c r="BK35" s="853">
        <f t="shared" si="0"/>
        <v>0</v>
      </c>
      <c r="BL35" s="853">
        <f t="shared" si="0"/>
        <v>0</v>
      </c>
      <c r="BM35" s="853">
        <f t="shared" si="0"/>
        <v>0</v>
      </c>
      <c r="BN35" s="853">
        <f t="shared" si="0"/>
        <v>0</v>
      </c>
      <c r="BO35" s="854">
        <f t="shared" si="18"/>
        <v>0</v>
      </c>
      <c r="BP35" s="853">
        <f t="shared" si="19"/>
        <v>0</v>
      </c>
      <c r="BQ35" s="853">
        <f t="shared" si="1"/>
        <v>0</v>
      </c>
      <c r="BR35" s="853">
        <f t="shared" si="1"/>
        <v>0</v>
      </c>
      <c r="BS35" s="853">
        <f t="shared" si="1"/>
        <v>2.92</v>
      </c>
      <c r="BT35" s="853">
        <f t="shared" si="1"/>
        <v>8.76</v>
      </c>
      <c r="BU35" s="853">
        <f t="shared" si="1"/>
        <v>14.6</v>
      </c>
      <c r="BV35" s="853">
        <f t="shared" si="1"/>
        <v>20.439999999999998</v>
      </c>
      <c r="BW35" s="853">
        <f t="shared" si="1"/>
        <v>23.36</v>
      </c>
      <c r="BX35" s="853">
        <f t="shared" si="1"/>
        <v>26.28</v>
      </c>
      <c r="BY35" s="853">
        <f t="shared" si="1"/>
        <v>29.2</v>
      </c>
      <c r="BZ35" s="853">
        <f t="shared" si="1"/>
        <v>29.2</v>
      </c>
      <c r="CA35" s="853">
        <f t="shared" si="1"/>
        <v>29.2</v>
      </c>
      <c r="CB35" s="854">
        <f t="shared" si="20"/>
        <v>183.95999999999998</v>
      </c>
      <c r="CC35" s="853">
        <f t="shared" si="21"/>
        <v>29.2</v>
      </c>
      <c r="CD35" s="853">
        <f t="shared" si="2"/>
        <v>29.2</v>
      </c>
      <c r="CE35" s="853">
        <f t="shared" si="2"/>
        <v>29.2</v>
      </c>
      <c r="CF35" s="853">
        <f t="shared" si="2"/>
        <v>29.2</v>
      </c>
      <c r="CG35" s="853">
        <f t="shared" si="2"/>
        <v>29.2</v>
      </c>
      <c r="CH35" s="853">
        <f t="shared" si="2"/>
        <v>29.2</v>
      </c>
      <c r="CI35" s="853">
        <f t="shared" si="2"/>
        <v>29.2</v>
      </c>
      <c r="CJ35" s="853">
        <f t="shared" si="2"/>
        <v>29.2</v>
      </c>
      <c r="CK35" s="853">
        <f t="shared" si="2"/>
        <v>29.2</v>
      </c>
      <c r="CL35" s="853">
        <f t="shared" si="2"/>
        <v>29.2</v>
      </c>
      <c r="CM35" s="853">
        <f t="shared" si="2"/>
        <v>29.2</v>
      </c>
      <c r="CN35" s="853">
        <f t="shared" si="2"/>
        <v>29.2</v>
      </c>
      <c r="CO35" s="854">
        <f t="shared" si="22"/>
        <v>350.39999999999992</v>
      </c>
      <c r="CP35" s="855">
        <f t="shared" si="23"/>
        <v>534.3599999999999</v>
      </c>
    </row>
    <row r="36" spans="1:94">
      <c r="A36" s="845">
        <v>23</v>
      </c>
      <c r="B36" s="846" t="s">
        <v>917</v>
      </c>
      <c r="C36" s="847">
        <v>2</v>
      </c>
      <c r="D36" s="847">
        <f>'Xpert needs'!AA44</f>
        <v>365.40000000000003</v>
      </c>
      <c r="E36" s="847">
        <f t="shared" si="3"/>
        <v>30.450000000000003</v>
      </c>
      <c r="F36" s="848">
        <f t="shared" si="4"/>
        <v>1.5886956521739133</v>
      </c>
      <c r="G36" s="849">
        <f t="shared" si="5"/>
        <v>0.79434782608695664</v>
      </c>
      <c r="H36" s="847">
        <f t="shared" si="6"/>
        <v>365.40000000000003</v>
      </c>
      <c r="I36" s="847">
        <f t="shared" si="7"/>
        <v>30.450000000000003</v>
      </c>
      <c r="J36" s="848">
        <f t="shared" si="8"/>
        <v>1.5886956521739133</v>
      </c>
      <c r="K36" s="849">
        <f t="shared" si="9"/>
        <v>0.79434782608695664</v>
      </c>
      <c r="L36" s="847">
        <f t="shared" si="10"/>
        <v>365.40000000000003</v>
      </c>
      <c r="M36" s="847">
        <f t="shared" si="11"/>
        <v>30.450000000000003</v>
      </c>
      <c r="N36" s="848">
        <f t="shared" si="12"/>
        <v>1.5886956521739133</v>
      </c>
      <c r="O36" s="849">
        <f t="shared" si="13"/>
        <v>0.79434782608695664</v>
      </c>
      <c r="P36" s="850"/>
      <c r="Q36" s="850"/>
      <c r="R36" s="850"/>
      <c r="S36" s="850"/>
      <c r="T36" s="850"/>
      <c r="U36" s="850"/>
      <c r="V36" s="850"/>
      <c r="W36" s="850"/>
      <c r="X36" s="850"/>
      <c r="Y36" s="850"/>
      <c r="Z36" s="850"/>
      <c r="AA36" s="850"/>
      <c r="AB36" s="851">
        <f t="shared" si="14"/>
        <v>0</v>
      </c>
      <c r="AC36" s="850"/>
      <c r="AD36" s="850"/>
      <c r="AE36" s="850"/>
      <c r="AF36" s="852">
        <v>0.1</v>
      </c>
      <c r="AG36" s="850">
        <v>0.3</v>
      </c>
      <c r="AH36" s="850">
        <v>0.5</v>
      </c>
      <c r="AI36" s="850">
        <v>0.7</v>
      </c>
      <c r="AJ36" s="850">
        <v>0.8</v>
      </c>
      <c r="AK36" s="850">
        <v>0.9</v>
      </c>
      <c r="AL36" s="850">
        <v>1</v>
      </c>
      <c r="AM36" s="850">
        <v>1</v>
      </c>
      <c r="AN36" s="850">
        <v>1</v>
      </c>
      <c r="AO36" s="851">
        <f t="shared" si="15"/>
        <v>0.52499999999999991</v>
      </c>
      <c r="AP36" s="850">
        <v>1</v>
      </c>
      <c r="AQ36" s="850">
        <v>1</v>
      </c>
      <c r="AR36" s="850">
        <v>1</v>
      </c>
      <c r="AS36" s="850">
        <v>1</v>
      </c>
      <c r="AT36" s="850">
        <v>1</v>
      </c>
      <c r="AU36" s="850">
        <v>1</v>
      </c>
      <c r="AV36" s="850">
        <v>1</v>
      </c>
      <c r="AW36" s="850">
        <v>1</v>
      </c>
      <c r="AX36" s="850">
        <v>1</v>
      </c>
      <c r="AY36" s="850">
        <v>1</v>
      </c>
      <c r="AZ36" s="850">
        <v>1</v>
      </c>
      <c r="BA36" s="850">
        <v>1</v>
      </c>
      <c r="BB36" s="851">
        <f t="shared" si="16"/>
        <v>0.99999999999999967</v>
      </c>
      <c r="BC36" s="853">
        <f t="shared" si="17"/>
        <v>0</v>
      </c>
      <c r="BD36" s="853">
        <f t="shared" si="0"/>
        <v>0</v>
      </c>
      <c r="BE36" s="853">
        <f t="shared" si="0"/>
        <v>0</v>
      </c>
      <c r="BF36" s="853">
        <f t="shared" si="0"/>
        <v>0</v>
      </c>
      <c r="BG36" s="853">
        <f t="shared" si="0"/>
        <v>0</v>
      </c>
      <c r="BH36" s="853">
        <f t="shared" si="0"/>
        <v>0</v>
      </c>
      <c r="BI36" s="853">
        <f t="shared" si="0"/>
        <v>0</v>
      </c>
      <c r="BJ36" s="853">
        <f t="shared" si="0"/>
        <v>0</v>
      </c>
      <c r="BK36" s="853">
        <f t="shared" si="0"/>
        <v>0</v>
      </c>
      <c r="BL36" s="853">
        <f t="shared" si="0"/>
        <v>0</v>
      </c>
      <c r="BM36" s="853">
        <f t="shared" si="0"/>
        <v>0</v>
      </c>
      <c r="BN36" s="853">
        <f t="shared" si="0"/>
        <v>0</v>
      </c>
      <c r="BO36" s="854">
        <f t="shared" si="18"/>
        <v>0</v>
      </c>
      <c r="BP36" s="853">
        <f t="shared" si="19"/>
        <v>0</v>
      </c>
      <c r="BQ36" s="853">
        <f t="shared" si="1"/>
        <v>0</v>
      </c>
      <c r="BR36" s="853">
        <f t="shared" si="1"/>
        <v>0</v>
      </c>
      <c r="BS36" s="853">
        <f t="shared" si="1"/>
        <v>3.0450000000000004</v>
      </c>
      <c r="BT36" s="853">
        <f t="shared" si="1"/>
        <v>9.1349999999999998</v>
      </c>
      <c r="BU36" s="853">
        <f t="shared" si="1"/>
        <v>15.225000000000001</v>
      </c>
      <c r="BV36" s="853">
        <f t="shared" si="1"/>
        <v>21.315000000000001</v>
      </c>
      <c r="BW36" s="853">
        <f t="shared" si="1"/>
        <v>24.360000000000003</v>
      </c>
      <c r="BX36" s="853">
        <f t="shared" si="1"/>
        <v>27.405000000000005</v>
      </c>
      <c r="BY36" s="853">
        <f t="shared" si="1"/>
        <v>30.450000000000003</v>
      </c>
      <c r="BZ36" s="853">
        <f t="shared" si="1"/>
        <v>30.450000000000003</v>
      </c>
      <c r="CA36" s="853">
        <f t="shared" si="1"/>
        <v>30.450000000000003</v>
      </c>
      <c r="CB36" s="854">
        <f t="shared" si="20"/>
        <v>191.83499999999998</v>
      </c>
      <c r="CC36" s="853">
        <f t="shared" si="21"/>
        <v>30.450000000000003</v>
      </c>
      <c r="CD36" s="853">
        <f t="shared" si="2"/>
        <v>30.450000000000003</v>
      </c>
      <c r="CE36" s="853">
        <f t="shared" si="2"/>
        <v>30.450000000000003</v>
      </c>
      <c r="CF36" s="853">
        <f t="shared" si="2"/>
        <v>30.450000000000003</v>
      </c>
      <c r="CG36" s="853">
        <f t="shared" si="2"/>
        <v>30.450000000000003</v>
      </c>
      <c r="CH36" s="853">
        <f t="shared" si="2"/>
        <v>30.450000000000003</v>
      </c>
      <c r="CI36" s="853">
        <f t="shared" si="2"/>
        <v>30.450000000000003</v>
      </c>
      <c r="CJ36" s="853">
        <f t="shared" si="2"/>
        <v>30.450000000000003</v>
      </c>
      <c r="CK36" s="853">
        <f t="shared" si="2"/>
        <v>30.450000000000003</v>
      </c>
      <c r="CL36" s="853">
        <f t="shared" si="2"/>
        <v>30.450000000000003</v>
      </c>
      <c r="CM36" s="853">
        <f t="shared" si="2"/>
        <v>30.450000000000003</v>
      </c>
      <c r="CN36" s="853">
        <f t="shared" si="2"/>
        <v>30.450000000000003</v>
      </c>
      <c r="CO36" s="854">
        <f t="shared" si="22"/>
        <v>365.39999999999992</v>
      </c>
      <c r="CP36" s="855">
        <f t="shared" si="23"/>
        <v>557.2349999999999</v>
      </c>
    </row>
    <row r="37" spans="1:94">
      <c r="A37" s="845">
        <v>24</v>
      </c>
      <c r="B37" s="846" t="s">
        <v>919</v>
      </c>
      <c r="C37" s="847">
        <v>2</v>
      </c>
      <c r="D37" s="847">
        <f>'Xpert needs'!AA46</f>
        <v>414</v>
      </c>
      <c r="E37" s="847">
        <f t="shared" si="3"/>
        <v>34.5</v>
      </c>
      <c r="F37" s="848">
        <f t="shared" si="4"/>
        <v>1.8</v>
      </c>
      <c r="G37" s="849">
        <f t="shared" si="5"/>
        <v>0.9</v>
      </c>
      <c r="H37" s="847">
        <f t="shared" si="6"/>
        <v>414</v>
      </c>
      <c r="I37" s="847">
        <f t="shared" si="7"/>
        <v>34.5</v>
      </c>
      <c r="J37" s="848">
        <f t="shared" si="8"/>
        <v>1.8</v>
      </c>
      <c r="K37" s="849">
        <f t="shared" si="9"/>
        <v>0.9</v>
      </c>
      <c r="L37" s="847">
        <f t="shared" si="10"/>
        <v>414</v>
      </c>
      <c r="M37" s="847">
        <f t="shared" si="11"/>
        <v>34.5</v>
      </c>
      <c r="N37" s="848">
        <f t="shared" si="12"/>
        <v>1.8</v>
      </c>
      <c r="O37" s="849">
        <f t="shared" si="13"/>
        <v>0.9</v>
      </c>
      <c r="P37" s="850"/>
      <c r="Q37" s="850"/>
      <c r="R37" s="850"/>
      <c r="S37" s="850"/>
      <c r="T37" s="850"/>
      <c r="U37" s="850"/>
      <c r="V37" s="850"/>
      <c r="W37" s="850"/>
      <c r="X37" s="850"/>
      <c r="Y37" s="850"/>
      <c r="Z37" s="850"/>
      <c r="AA37" s="850"/>
      <c r="AB37" s="851">
        <f t="shared" si="14"/>
        <v>0</v>
      </c>
      <c r="AC37" s="850"/>
      <c r="AD37" s="850"/>
      <c r="AE37" s="850"/>
      <c r="AF37" s="852">
        <v>0.1</v>
      </c>
      <c r="AG37" s="850">
        <v>0.3</v>
      </c>
      <c r="AH37" s="850">
        <v>0.5</v>
      </c>
      <c r="AI37" s="850">
        <v>0.7</v>
      </c>
      <c r="AJ37" s="850">
        <v>0.8</v>
      </c>
      <c r="AK37" s="850">
        <v>0.9</v>
      </c>
      <c r="AL37" s="850">
        <v>1</v>
      </c>
      <c r="AM37" s="850">
        <v>1</v>
      </c>
      <c r="AN37" s="850">
        <v>1</v>
      </c>
      <c r="AO37" s="851">
        <f t="shared" si="15"/>
        <v>0.52500000000000002</v>
      </c>
      <c r="AP37" s="850">
        <v>1</v>
      </c>
      <c r="AQ37" s="850">
        <v>1</v>
      </c>
      <c r="AR37" s="850">
        <v>1</v>
      </c>
      <c r="AS37" s="850">
        <v>1</v>
      </c>
      <c r="AT37" s="850">
        <v>1</v>
      </c>
      <c r="AU37" s="850">
        <v>1</v>
      </c>
      <c r="AV37" s="850">
        <v>1</v>
      </c>
      <c r="AW37" s="850">
        <v>1</v>
      </c>
      <c r="AX37" s="850">
        <v>1</v>
      </c>
      <c r="AY37" s="850">
        <v>1</v>
      </c>
      <c r="AZ37" s="850">
        <v>1</v>
      </c>
      <c r="BA37" s="850">
        <v>1</v>
      </c>
      <c r="BB37" s="851">
        <f t="shared" si="16"/>
        <v>1</v>
      </c>
      <c r="BC37" s="853">
        <f t="shared" si="17"/>
        <v>0</v>
      </c>
      <c r="BD37" s="853">
        <f t="shared" si="0"/>
        <v>0</v>
      </c>
      <c r="BE37" s="853">
        <f t="shared" si="0"/>
        <v>0</v>
      </c>
      <c r="BF37" s="853">
        <f t="shared" ref="BF37:BN60" si="26">$E37*S37</f>
        <v>0</v>
      </c>
      <c r="BG37" s="853">
        <f t="shared" si="26"/>
        <v>0</v>
      </c>
      <c r="BH37" s="853">
        <f t="shared" si="26"/>
        <v>0</v>
      </c>
      <c r="BI37" s="853">
        <f t="shared" si="26"/>
        <v>0</v>
      </c>
      <c r="BJ37" s="853">
        <f t="shared" si="26"/>
        <v>0</v>
      </c>
      <c r="BK37" s="853">
        <f t="shared" si="26"/>
        <v>0</v>
      </c>
      <c r="BL37" s="853">
        <f t="shared" si="26"/>
        <v>0</v>
      </c>
      <c r="BM37" s="853">
        <f t="shared" si="26"/>
        <v>0</v>
      </c>
      <c r="BN37" s="853">
        <f t="shared" si="26"/>
        <v>0</v>
      </c>
      <c r="BO37" s="854">
        <f t="shared" si="18"/>
        <v>0</v>
      </c>
      <c r="BP37" s="853">
        <f t="shared" si="19"/>
        <v>0</v>
      </c>
      <c r="BQ37" s="853">
        <f t="shared" si="1"/>
        <v>0</v>
      </c>
      <c r="BR37" s="853">
        <f t="shared" si="1"/>
        <v>0</v>
      </c>
      <c r="BS37" s="853">
        <f t="shared" ref="BS37:CA60" si="27">$I37*AF37</f>
        <v>3.45</v>
      </c>
      <c r="BT37" s="853">
        <f t="shared" si="27"/>
        <v>10.35</v>
      </c>
      <c r="BU37" s="853">
        <f t="shared" si="27"/>
        <v>17.25</v>
      </c>
      <c r="BV37" s="853">
        <f t="shared" si="27"/>
        <v>24.15</v>
      </c>
      <c r="BW37" s="853">
        <f t="shared" si="27"/>
        <v>27.6</v>
      </c>
      <c r="BX37" s="853">
        <f t="shared" si="27"/>
        <v>31.05</v>
      </c>
      <c r="BY37" s="853">
        <f t="shared" si="27"/>
        <v>34.5</v>
      </c>
      <c r="BZ37" s="853">
        <f t="shared" si="27"/>
        <v>34.5</v>
      </c>
      <c r="CA37" s="853">
        <f t="shared" si="27"/>
        <v>34.5</v>
      </c>
      <c r="CB37" s="854">
        <f t="shared" si="20"/>
        <v>217.35000000000002</v>
      </c>
      <c r="CC37" s="853">
        <f t="shared" si="21"/>
        <v>34.5</v>
      </c>
      <c r="CD37" s="853">
        <f t="shared" si="2"/>
        <v>34.5</v>
      </c>
      <c r="CE37" s="853">
        <f t="shared" si="2"/>
        <v>34.5</v>
      </c>
      <c r="CF37" s="853">
        <f t="shared" ref="CF37:CN60" si="28">$M37*AS37</f>
        <v>34.5</v>
      </c>
      <c r="CG37" s="853">
        <f t="shared" si="28"/>
        <v>34.5</v>
      </c>
      <c r="CH37" s="853">
        <f t="shared" si="28"/>
        <v>34.5</v>
      </c>
      <c r="CI37" s="853">
        <f t="shared" si="28"/>
        <v>34.5</v>
      </c>
      <c r="CJ37" s="853">
        <f t="shared" si="28"/>
        <v>34.5</v>
      </c>
      <c r="CK37" s="853">
        <f t="shared" si="28"/>
        <v>34.5</v>
      </c>
      <c r="CL37" s="853">
        <f t="shared" si="28"/>
        <v>34.5</v>
      </c>
      <c r="CM37" s="853">
        <f t="shared" si="28"/>
        <v>34.5</v>
      </c>
      <c r="CN37" s="853">
        <f t="shared" si="28"/>
        <v>34.5</v>
      </c>
      <c r="CO37" s="854">
        <f t="shared" si="22"/>
        <v>414</v>
      </c>
      <c r="CP37" s="855">
        <f t="shared" si="23"/>
        <v>631.35</v>
      </c>
    </row>
    <row r="38" spans="1:94">
      <c r="A38" s="845">
        <v>25</v>
      </c>
      <c r="B38" s="846" t="s">
        <v>920</v>
      </c>
      <c r="C38" s="847">
        <v>2</v>
      </c>
      <c r="D38" s="847">
        <f>'Xpert needs'!AA47</f>
        <v>423</v>
      </c>
      <c r="E38" s="847">
        <f t="shared" si="3"/>
        <v>35.25</v>
      </c>
      <c r="F38" s="848">
        <f t="shared" si="4"/>
        <v>1.8391304347826087</v>
      </c>
      <c r="G38" s="849">
        <f t="shared" si="5"/>
        <v>0.91956521739130437</v>
      </c>
      <c r="H38" s="847">
        <f t="shared" si="6"/>
        <v>423</v>
      </c>
      <c r="I38" s="847">
        <f t="shared" si="7"/>
        <v>35.25</v>
      </c>
      <c r="J38" s="848">
        <f t="shared" si="8"/>
        <v>1.8391304347826087</v>
      </c>
      <c r="K38" s="849">
        <f t="shared" si="9"/>
        <v>0.91956521739130437</v>
      </c>
      <c r="L38" s="847">
        <f t="shared" si="10"/>
        <v>423</v>
      </c>
      <c r="M38" s="847">
        <f t="shared" si="11"/>
        <v>35.25</v>
      </c>
      <c r="N38" s="848">
        <f t="shared" si="12"/>
        <v>1.8391304347826087</v>
      </c>
      <c r="O38" s="849">
        <f t="shared" si="13"/>
        <v>0.91956521739130437</v>
      </c>
      <c r="P38" s="850"/>
      <c r="Q38" s="850"/>
      <c r="R38" s="850"/>
      <c r="S38" s="850"/>
      <c r="T38" s="850"/>
      <c r="U38" s="850"/>
      <c r="V38" s="850"/>
      <c r="W38" s="850"/>
      <c r="X38" s="850"/>
      <c r="Y38" s="850"/>
      <c r="Z38" s="850"/>
      <c r="AA38" s="850"/>
      <c r="AB38" s="851">
        <f t="shared" si="14"/>
        <v>0</v>
      </c>
      <c r="AC38" s="850"/>
      <c r="AD38" s="850"/>
      <c r="AE38" s="850"/>
      <c r="AF38" s="852">
        <v>0.1</v>
      </c>
      <c r="AG38" s="850">
        <v>0.3</v>
      </c>
      <c r="AH38" s="850">
        <v>0.5</v>
      </c>
      <c r="AI38" s="850">
        <v>0.7</v>
      </c>
      <c r="AJ38" s="850">
        <v>0.8</v>
      </c>
      <c r="AK38" s="850">
        <v>0.9</v>
      </c>
      <c r="AL38" s="850">
        <v>1</v>
      </c>
      <c r="AM38" s="850">
        <v>1</v>
      </c>
      <c r="AN38" s="850">
        <v>1</v>
      </c>
      <c r="AO38" s="851">
        <f t="shared" si="15"/>
        <v>0.52500000000000002</v>
      </c>
      <c r="AP38" s="850">
        <v>1</v>
      </c>
      <c r="AQ38" s="850">
        <v>1</v>
      </c>
      <c r="AR38" s="850">
        <v>1</v>
      </c>
      <c r="AS38" s="850">
        <v>1</v>
      </c>
      <c r="AT38" s="850">
        <v>1</v>
      </c>
      <c r="AU38" s="850">
        <v>1</v>
      </c>
      <c r="AV38" s="850">
        <v>1</v>
      </c>
      <c r="AW38" s="850">
        <v>1</v>
      </c>
      <c r="AX38" s="850">
        <v>1</v>
      </c>
      <c r="AY38" s="850">
        <v>1</v>
      </c>
      <c r="AZ38" s="850">
        <v>1</v>
      </c>
      <c r="BA38" s="850">
        <v>1</v>
      </c>
      <c r="BB38" s="851">
        <f t="shared" si="16"/>
        <v>1</v>
      </c>
      <c r="BC38" s="853">
        <f t="shared" si="17"/>
        <v>0</v>
      </c>
      <c r="BD38" s="853">
        <f t="shared" si="17"/>
        <v>0</v>
      </c>
      <c r="BE38" s="853">
        <f t="shared" si="17"/>
        <v>0</v>
      </c>
      <c r="BF38" s="853">
        <f t="shared" si="26"/>
        <v>0</v>
      </c>
      <c r="BG38" s="853">
        <f t="shared" si="26"/>
        <v>0</v>
      </c>
      <c r="BH38" s="853">
        <f t="shared" si="26"/>
        <v>0</v>
      </c>
      <c r="BI38" s="853">
        <f t="shared" si="26"/>
        <v>0</v>
      </c>
      <c r="BJ38" s="853">
        <f t="shared" si="26"/>
        <v>0</v>
      </c>
      <c r="BK38" s="853">
        <f t="shared" si="26"/>
        <v>0</v>
      </c>
      <c r="BL38" s="853">
        <f t="shared" si="26"/>
        <v>0</v>
      </c>
      <c r="BM38" s="853">
        <f t="shared" si="26"/>
        <v>0</v>
      </c>
      <c r="BN38" s="853">
        <f t="shared" si="26"/>
        <v>0</v>
      </c>
      <c r="BO38" s="854">
        <f t="shared" si="18"/>
        <v>0</v>
      </c>
      <c r="BP38" s="853">
        <f t="shared" si="19"/>
        <v>0</v>
      </c>
      <c r="BQ38" s="853">
        <f t="shared" si="19"/>
        <v>0</v>
      </c>
      <c r="BR38" s="853">
        <f t="shared" si="19"/>
        <v>0</v>
      </c>
      <c r="BS38" s="853">
        <f t="shared" si="27"/>
        <v>3.5250000000000004</v>
      </c>
      <c r="BT38" s="853">
        <f t="shared" si="27"/>
        <v>10.574999999999999</v>
      </c>
      <c r="BU38" s="853">
        <f t="shared" si="27"/>
        <v>17.625</v>
      </c>
      <c r="BV38" s="853">
        <f t="shared" si="27"/>
        <v>24.674999999999997</v>
      </c>
      <c r="BW38" s="853">
        <f t="shared" si="27"/>
        <v>28.200000000000003</v>
      </c>
      <c r="BX38" s="853">
        <f t="shared" si="27"/>
        <v>31.725000000000001</v>
      </c>
      <c r="BY38" s="853">
        <f t="shared" si="27"/>
        <v>35.25</v>
      </c>
      <c r="BZ38" s="853">
        <f t="shared" si="27"/>
        <v>35.25</v>
      </c>
      <c r="CA38" s="853">
        <f t="shared" si="27"/>
        <v>35.25</v>
      </c>
      <c r="CB38" s="854">
        <f t="shared" si="20"/>
        <v>222.07499999999999</v>
      </c>
      <c r="CC38" s="853">
        <f t="shared" si="21"/>
        <v>35.25</v>
      </c>
      <c r="CD38" s="853">
        <f t="shared" si="21"/>
        <v>35.25</v>
      </c>
      <c r="CE38" s="853">
        <f t="shared" si="21"/>
        <v>35.25</v>
      </c>
      <c r="CF38" s="853">
        <f t="shared" si="28"/>
        <v>35.25</v>
      </c>
      <c r="CG38" s="853">
        <f t="shared" si="28"/>
        <v>35.25</v>
      </c>
      <c r="CH38" s="853">
        <f t="shared" si="28"/>
        <v>35.25</v>
      </c>
      <c r="CI38" s="853">
        <f t="shared" si="28"/>
        <v>35.25</v>
      </c>
      <c r="CJ38" s="853">
        <f t="shared" si="28"/>
        <v>35.25</v>
      </c>
      <c r="CK38" s="853">
        <f t="shared" si="28"/>
        <v>35.25</v>
      </c>
      <c r="CL38" s="853">
        <f t="shared" si="28"/>
        <v>35.25</v>
      </c>
      <c r="CM38" s="853">
        <f t="shared" si="28"/>
        <v>35.25</v>
      </c>
      <c r="CN38" s="853">
        <f t="shared" si="28"/>
        <v>35.25</v>
      </c>
      <c r="CO38" s="854">
        <f t="shared" si="22"/>
        <v>423</v>
      </c>
      <c r="CP38" s="855">
        <f t="shared" si="23"/>
        <v>645.07500000000005</v>
      </c>
    </row>
    <row r="39" spans="1:94">
      <c r="A39" s="845">
        <v>26</v>
      </c>
      <c r="B39" s="846" t="s">
        <v>922</v>
      </c>
      <c r="C39" s="847">
        <v>2</v>
      </c>
      <c r="D39" s="847">
        <f>'Xpert needs'!AA49</f>
        <v>260.39999999999998</v>
      </c>
      <c r="E39" s="847">
        <f t="shared" si="3"/>
        <v>21.7</v>
      </c>
      <c r="F39" s="848">
        <f t="shared" si="4"/>
        <v>1.1321739130434783</v>
      </c>
      <c r="G39" s="849">
        <f t="shared" si="5"/>
        <v>0.56608695652173913</v>
      </c>
      <c r="H39" s="847">
        <f t="shared" si="6"/>
        <v>260.39999999999998</v>
      </c>
      <c r="I39" s="847">
        <f t="shared" si="7"/>
        <v>21.7</v>
      </c>
      <c r="J39" s="848">
        <f t="shared" si="8"/>
        <v>1.1321739130434783</v>
      </c>
      <c r="K39" s="849">
        <f t="shared" si="9"/>
        <v>0.56608695652173913</v>
      </c>
      <c r="L39" s="847">
        <f t="shared" si="10"/>
        <v>260.39999999999998</v>
      </c>
      <c r="M39" s="847">
        <f t="shared" si="11"/>
        <v>21.7</v>
      </c>
      <c r="N39" s="848">
        <f t="shared" si="12"/>
        <v>1.1321739130434783</v>
      </c>
      <c r="O39" s="849">
        <f t="shared" si="13"/>
        <v>0.56608695652173913</v>
      </c>
      <c r="P39" s="850"/>
      <c r="Q39" s="850"/>
      <c r="R39" s="850"/>
      <c r="S39" s="850"/>
      <c r="T39" s="850"/>
      <c r="U39" s="850"/>
      <c r="V39" s="850"/>
      <c r="W39" s="850"/>
      <c r="X39" s="850"/>
      <c r="Y39" s="850"/>
      <c r="Z39" s="850"/>
      <c r="AA39" s="850"/>
      <c r="AB39" s="851">
        <f t="shared" si="14"/>
        <v>0</v>
      </c>
      <c r="AC39" s="850"/>
      <c r="AD39" s="850"/>
      <c r="AE39" s="850"/>
      <c r="AF39" s="852">
        <v>0.1</v>
      </c>
      <c r="AG39" s="850">
        <v>0.3</v>
      </c>
      <c r="AH39" s="850">
        <v>0.5</v>
      </c>
      <c r="AI39" s="850">
        <v>0.7</v>
      </c>
      <c r="AJ39" s="850">
        <v>0.8</v>
      </c>
      <c r="AK39" s="850">
        <v>0.9</v>
      </c>
      <c r="AL39" s="850">
        <v>1</v>
      </c>
      <c r="AM39" s="850">
        <v>1</v>
      </c>
      <c r="AN39" s="850">
        <v>1</v>
      </c>
      <c r="AO39" s="851">
        <f t="shared" si="15"/>
        <v>0.52500000000000002</v>
      </c>
      <c r="AP39" s="850">
        <v>1</v>
      </c>
      <c r="AQ39" s="850">
        <v>1</v>
      </c>
      <c r="AR39" s="850">
        <v>1</v>
      </c>
      <c r="AS39" s="850">
        <v>1</v>
      </c>
      <c r="AT39" s="850">
        <v>1</v>
      </c>
      <c r="AU39" s="850">
        <v>1</v>
      </c>
      <c r="AV39" s="850">
        <v>1</v>
      </c>
      <c r="AW39" s="850">
        <v>1</v>
      </c>
      <c r="AX39" s="850">
        <v>1</v>
      </c>
      <c r="AY39" s="850">
        <v>1</v>
      </c>
      <c r="AZ39" s="850">
        <v>1</v>
      </c>
      <c r="BA39" s="850">
        <v>1</v>
      </c>
      <c r="BB39" s="851">
        <f t="shared" si="16"/>
        <v>0.99999999999999978</v>
      </c>
      <c r="BC39" s="853">
        <f t="shared" si="17"/>
        <v>0</v>
      </c>
      <c r="BD39" s="853">
        <f t="shared" si="17"/>
        <v>0</v>
      </c>
      <c r="BE39" s="853">
        <f t="shared" si="17"/>
        <v>0</v>
      </c>
      <c r="BF39" s="853">
        <f t="shared" si="26"/>
        <v>0</v>
      </c>
      <c r="BG39" s="853">
        <f t="shared" si="26"/>
        <v>0</v>
      </c>
      <c r="BH39" s="853">
        <f t="shared" si="26"/>
        <v>0</v>
      </c>
      <c r="BI39" s="853">
        <f t="shared" si="26"/>
        <v>0</v>
      </c>
      <c r="BJ39" s="853">
        <f t="shared" si="26"/>
        <v>0</v>
      </c>
      <c r="BK39" s="853">
        <f t="shared" si="26"/>
        <v>0</v>
      </c>
      <c r="BL39" s="853">
        <f t="shared" si="26"/>
        <v>0</v>
      </c>
      <c r="BM39" s="853">
        <f t="shared" si="26"/>
        <v>0</v>
      </c>
      <c r="BN39" s="853">
        <f t="shared" si="26"/>
        <v>0</v>
      </c>
      <c r="BO39" s="854">
        <f t="shared" si="18"/>
        <v>0</v>
      </c>
      <c r="BP39" s="853">
        <f t="shared" si="19"/>
        <v>0</v>
      </c>
      <c r="BQ39" s="853">
        <f t="shared" si="19"/>
        <v>0</v>
      </c>
      <c r="BR39" s="853">
        <f t="shared" si="19"/>
        <v>0</v>
      </c>
      <c r="BS39" s="853">
        <f t="shared" si="27"/>
        <v>2.17</v>
      </c>
      <c r="BT39" s="853">
        <f t="shared" si="27"/>
        <v>6.51</v>
      </c>
      <c r="BU39" s="853">
        <f t="shared" si="27"/>
        <v>10.85</v>
      </c>
      <c r="BV39" s="853">
        <f t="shared" si="27"/>
        <v>15.189999999999998</v>
      </c>
      <c r="BW39" s="853">
        <f t="shared" si="27"/>
        <v>17.36</v>
      </c>
      <c r="BX39" s="853">
        <f t="shared" si="27"/>
        <v>19.53</v>
      </c>
      <c r="BY39" s="853">
        <f t="shared" si="27"/>
        <v>21.7</v>
      </c>
      <c r="BZ39" s="853">
        <f t="shared" si="27"/>
        <v>21.7</v>
      </c>
      <c r="CA39" s="853">
        <f t="shared" si="27"/>
        <v>21.7</v>
      </c>
      <c r="CB39" s="854">
        <f t="shared" si="20"/>
        <v>136.71</v>
      </c>
      <c r="CC39" s="853">
        <f t="shared" si="21"/>
        <v>21.7</v>
      </c>
      <c r="CD39" s="853">
        <f t="shared" si="21"/>
        <v>21.7</v>
      </c>
      <c r="CE39" s="853">
        <f t="shared" si="21"/>
        <v>21.7</v>
      </c>
      <c r="CF39" s="853">
        <f t="shared" si="28"/>
        <v>21.7</v>
      </c>
      <c r="CG39" s="853">
        <f t="shared" si="28"/>
        <v>21.7</v>
      </c>
      <c r="CH39" s="853">
        <f t="shared" si="28"/>
        <v>21.7</v>
      </c>
      <c r="CI39" s="853">
        <f t="shared" si="28"/>
        <v>21.7</v>
      </c>
      <c r="CJ39" s="853">
        <f t="shared" si="28"/>
        <v>21.7</v>
      </c>
      <c r="CK39" s="853">
        <f t="shared" si="28"/>
        <v>21.7</v>
      </c>
      <c r="CL39" s="853">
        <f t="shared" si="28"/>
        <v>21.7</v>
      </c>
      <c r="CM39" s="853">
        <f t="shared" si="28"/>
        <v>21.7</v>
      </c>
      <c r="CN39" s="853">
        <f t="shared" si="28"/>
        <v>21.7</v>
      </c>
      <c r="CO39" s="854">
        <f t="shared" si="22"/>
        <v>260.39999999999992</v>
      </c>
      <c r="CP39" s="855">
        <f t="shared" si="23"/>
        <v>397.1099999999999</v>
      </c>
    </row>
    <row r="40" spans="1:94">
      <c r="A40" s="845">
        <v>27</v>
      </c>
      <c r="B40" s="846" t="s">
        <v>927</v>
      </c>
      <c r="C40" s="847">
        <v>2</v>
      </c>
      <c r="D40" s="847">
        <f>'Xpert needs'!AA54</f>
        <v>342</v>
      </c>
      <c r="E40" s="847">
        <f t="shared" si="3"/>
        <v>28.5</v>
      </c>
      <c r="F40" s="848">
        <f t="shared" si="4"/>
        <v>1.4869565217391305</v>
      </c>
      <c r="G40" s="849">
        <f t="shared" si="5"/>
        <v>0.74347826086956526</v>
      </c>
      <c r="H40" s="847">
        <f t="shared" si="6"/>
        <v>342</v>
      </c>
      <c r="I40" s="847">
        <f t="shared" si="7"/>
        <v>28.5</v>
      </c>
      <c r="J40" s="848">
        <f t="shared" si="8"/>
        <v>1.4869565217391305</v>
      </c>
      <c r="K40" s="849">
        <f t="shared" si="9"/>
        <v>0.74347826086956526</v>
      </c>
      <c r="L40" s="847">
        <f t="shared" si="10"/>
        <v>342</v>
      </c>
      <c r="M40" s="847">
        <f t="shared" si="11"/>
        <v>28.5</v>
      </c>
      <c r="N40" s="848">
        <f t="shared" si="12"/>
        <v>1.4869565217391305</v>
      </c>
      <c r="O40" s="849">
        <f t="shared" si="13"/>
        <v>0.74347826086956526</v>
      </c>
      <c r="P40" s="850"/>
      <c r="Q40" s="850"/>
      <c r="R40" s="850"/>
      <c r="S40" s="850"/>
      <c r="T40" s="850"/>
      <c r="U40" s="850"/>
      <c r="V40" s="850"/>
      <c r="W40" s="850"/>
      <c r="X40" s="850"/>
      <c r="Y40" s="850"/>
      <c r="Z40" s="850"/>
      <c r="AA40" s="850"/>
      <c r="AB40" s="851">
        <f t="shared" si="14"/>
        <v>0</v>
      </c>
      <c r="AC40" s="850"/>
      <c r="AD40" s="850"/>
      <c r="AE40" s="850"/>
      <c r="AF40" s="850"/>
      <c r="AG40" s="850"/>
      <c r="AH40" s="850"/>
      <c r="AI40" s="852">
        <v>0.1</v>
      </c>
      <c r="AJ40" s="850">
        <v>0.3</v>
      </c>
      <c r="AK40" s="850">
        <v>0.5</v>
      </c>
      <c r="AL40" s="850">
        <v>0.7</v>
      </c>
      <c r="AM40" s="850">
        <v>0.8</v>
      </c>
      <c r="AN40" s="850">
        <v>0.9</v>
      </c>
      <c r="AO40" s="851">
        <f t="shared" si="15"/>
        <v>0.27499999999999997</v>
      </c>
      <c r="AP40" s="850">
        <v>1</v>
      </c>
      <c r="AQ40" s="850">
        <v>1</v>
      </c>
      <c r="AR40" s="850">
        <v>1</v>
      </c>
      <c r="AS40" s="850">
        <v>1</v>
      </c>
      <c r="AT40" s="850">
        <v>1</v>
      </c>
      <c r="AU40" s="850">
        <v>1</v>
      </c>
      <c r="AV40" s="850">
        <v>1</v>
      </c>
      <c r="AW40" s="850">
        <v>1</v>
      </c>
      <c r="AX40" s="850">
        <v>1</v>
      </c>
      <c r="AY40" s="850">
        <v>1</v>
      </c>
      <c r="AZ40" s="850">
        <v>1</v>
      </c>
      <c r="BA40" s="850">
        <v>1</v>
      </c>
      <c r="BB40" s="851">
        <f t="shared" si="16"/>
        <v>1</v>
      </c>
      <c r="BC40" s="853">
        <f t="shared" si="17"/>
        <v>0</v>
      </c>
      <c r="BD40" s="853">
        <f t="shared" si="17"/>
        <v>0</v>
      </c>
      <c r="BE40" s="853">
        <f t="shared" si="17"/>
        <v>0</v>
      </c>
      <c r="BF40" s="853">
        <f t="shared" si="26"/>
        <v>0</v>
      </c>
      <c r="BG40" s="853">
        <f t="shared" si="26"/>
        <v>0</v>
      </c>
      <c r="BH40" s="853">
        <f t="shared" si="26"/>
        <v>0</v>
      </c>
      <c r="BI40" s="853">
        <f t="shared" si="26"/>
        <v>0</v>
      </c>
      <c r="BJ40" s="853">
        <f t="shared" si="26"/>
        <v>0</v>
      </c>
      <c r="BK40" s="853">
        <f t="shared" si="26"/>
        <v>0</v>
      </c>
      <c r="BL40" s="853">
        <f t="shared" si="26"/>
        <v>0</v>
      </c>
      <c r="BM40" s="853">
        <f t="shared" si="26"/>
        <v>0</v>
      </c>
      <c r="BN40" s="853">
        <f t="shared" si="26"/>
        <v>0</v>
      </c>
      <c r="BO40" s="854">
        <f t="shared" si="18"/>
        <v>0</v>
      </c>
      <c r="BP40" s="853">
        <f t="shared" si="19"/>
        <v>0</v>
      </c>
      <c r="BQ40" s="853">
        <f t="shared" si="19"/>
        <v>0</v>
      </c>
      <c r="BR40" s="853">
        <f t="shared" si="19"/>
        <v>0</v>
      </c>
      <c r="BS40" s="853">
        <f t="shared" si="27"/>
        <v>0</v>
      </c>
      <c r="BT40" s="853">
        <f t="shared" si="27"/>
        <v>0</v>
      </c>
      <c r="BU40" s="853">
        <f t="shared" si="27"/>
        <v>0</v>
      </c>
      <c r="BV40" s="853">
        <f t="shared" si="27"/>
        <v>2.85</v>
      </c>
      <c r="BW40" s="853">
        <f t="shared" si="27"/>
        <v>8.5499999999999989</v>
      </c>
      <c r="BX40" s="853">
        <f t="shared" si="27"/>
        <v>14.25</v>
      </c>
      <c r="BY40" s="853">
        <f t="shared" si="27"/>
        <v>19.95</v>
      </c>
      <c r="BZ40" s="853">
        <f t="shared" si="27"/>
        <v>22.8</v>
      </c>
      <c r="CA40" s="853">
        <f t="shared" si="27"/>
        <v>25.650000000000002</v>
      </c>
      <c r="CB40" s="854">
        <f t="shared" si="20"/>
        <v>94.05</v>
      </c>
      <c r="CC40" s="853">
        <f t="shared" si="21"/>
        <v>28.5</v>
      </c>
      <c r="CD40" s="853">
        <f t="shared" si="21"/>
        <v>28.5</v>
      </c>
      <c r="CE40" s="853">
        <f t="shared" si="21"/>
        <v>28.5</v>
      </c>
      <c r="CF40" s="853">
        <f t="shared" si="28"/>
        <v>28.5</v>
      </c>
      <c r="CG40" s="853">
        <f t="shared" si="28"/>
        <v>28.5</v>
      </c>
      <c r="CH40" s="853">
        <f t="shared" si="28"/>
        <v>28.5</v>
      </c>
      <c r="CI40" s="853">
        <f t="shared" si="28"/>
        <v>28.5</v>
      </c>
      <c r="CJ40" s="853">
        <f t="shared" si="28"/>
        <v>28.5</v>
      </c>
      <c r="CK40" s="853">
        <f t="shared" si="28"/>
        <v>28.5</v>
      </c>
      <c r="CL40" s="853">
        <f t="shared" si="28"/>
        <v>28.5</v>
      </c>
      <c r="CM40" s="853">
        <f t="shared" si="28"/>
        <v>28.5</v>
      </c>
      <c r="CN40" s="853">
        <f t="shared" si="28"/>
        <v>28.5</v>
      </c>
      <c r="CO40" s="854">
        <f t="shared" si="22"/>
        <v>342</v>
      </c>
      <c r="CP40" s="855">
        <f t="shared" si="23"/>
        <v>436.05</v>
      </c>
    </row>
    <row r="41" spans="1:94">
      <c r="A41" s="845">
        <v>28</v>
      </c>
      <c r="B41" s="846" t="s">
        <v>928</v>
      </c>
      <c r="C41" s="847">
        <v>2</v>
      </c>
      <c r="D41" s="847">
        <f>'Xpert needs'!AA55</f>
        <v>252.8</v>
      </c>
      <c r="E41" s="847">
        <f t="shared" si="3"/>
        <v>21.066666666666666</v>
      </c>
      <c r="F41" s="848">
        <f t="shared" si="4"/>
        <v>1.0991304347826087</v>
      </c>
      <c r="G41" s="849">
        <f t="shared" si="5"/>
        <v>0.54956521739130437</v>
      </c>
      <c r="H41" s="847">
        <f t="shared" si="6"/>
        <v>252.8</v>
      </c>
      <c r="I41" s="847">
        <f t="shared" si="7"/>
        <v>21.066666666666666</v>
      </c>
      <c r="J41" s="848">
        <f t="shared" si="8"/>
        <v>1.0991304347826087</v>
      </c>
      <c r="K41" s="849">
        <f t="shared" si="9"/>
        <v>0.54956521739130437</v>
      </c>
      <c r="L41" s="847">
        <f t="shared" si="10"/>
        <v>252.8</v>
      </c>
      <c r="M41" s="847">
        <f t="shared" si="11"/>
        <v>21.066666666666666</v>
      </c>
      <c r="N41" s="848">
        <f t="shared" si="12"/>
        <v>1.0991304347826087</v>
      </c>
      <c r="O41" s="849">
        <f t="shared" si="13"/>
        <v>0.54956521739130437</v>
      </c>
      <c r="P41" s="850"/>
      <c r="Q41" s="850"/>
      <c r="R41" s="850"/>
      <c r="S41" s="850"/>
      <c r="T41" s="850"/>
      <c r="U41" s="850"/>
      <c r="V41" s="850"/>
      <c r="W41" s="850"/>
      <c r="X41" s="850"/>
      <c r="Y41" s="850"/>
      <c r="Z41" s="850"/>
      <c r="AA41" s="850"/>
      <c r="AB41" s="851">
        <f t="shared" si="14"/>
        <v>0</v>
      </c>
      <c r="AC41" s="850"/>
      <c r="AD41" s="850"/>
      <c r="AE41" s="850"/>
      <c r="AF41" s="850"/>
      <c r="AG41" s="850"/>
      <c r="AH41" s="850"/>
      <c r="AI41" s="852">
        <v>0.1</v>
      </c>
      <c r="AJ41" s="850">
        <v>0.3</v>
      </c>
      <c r="AK41" s="850">
        <v>0.5</v>
      </c>
      <c r="AL41" s="850">
        <v>0.7</v>
      </c>
      <c r="AM41" s="850">
        <v>0.8</v>
      </c>
      <c r="AN41" s="850">
        <v>0.9</v>
      </c>
      <c r="AO41" s="851">
        <f t="shared" si="15"/>
        <v>0.27500000000000002</v>
      </c>
      <c r="AP41" s="850">
        <v>1</v>
      </c>
      <c r="AQ41" s="850">
        <v>1</v>
      </c>
      <c r="AR41" s="850">
        <v>1</v>
      </c>
      <c r="AS41" s="850">
        <v>1</v>
      </c>
      <c r="AT41" s="850">
        <v>1</v>
      </c>
      <c r="AU41" s="850">
        <v>1</v>
      </c>
      <c r="AV41" s="850">
        <v>1</v>
      </c>
      <c r="AW41" s="850">
        <v>1</v>
      </c>
      <c r="AX41" s="850">
        <v>1</v>
      </c>
      <c r="AY41" s="850">
        <v>1</v>
      </c>
      <c r="AZ41" s="850">
        <v>1</v>
      </c>
      <c r="BA41" s="850">
        <v>1</v>
      </c>
      <c r="BB41" s="851">
        <f t="shared" si="16"/>
        <v>0.99999999999999989</v>
      </c>
      <c r="BC41" s="853">
        <f t="shared" si="17"/>
        <v>0</v>
      </c>
      <c r="BD41" s="853">
        <f t="shared" si="17"/>
        <v>0</v>
      </c>
      <c r="BE41" s="853">
        <f t="shared" si="17"/>
        <v>0</v>
      </c>
      <c r="BF41" s="853">
        <f t="shared" si="26"/>
        <v>0</v>
      </c>
      <c r="BG41" s="853">
        <f t="shared" si="26"/>
        <v>0</v>
      </c>
      <c r="BH41" s="853">
        <f t="shared" si="26"/>
        <v>0</v>
      </c>
      <c r="BI41" s="853">
        <f t="shared" si="26"/>
        <v>0</v>
      </c>
      <c r="BJ41" s="853">
        <f t="shared" si="26"/>
        <v>0</v>
      </c>
      <c r="BK41" s="853">
        <f t="shared" si="26"/>
        <v>0</v>
      </c>
      <c r="BL41" s="853">
        <f t="shared" si="26"/>
        <v>0</v>
      </c>
      <c r="BM41" s="853">
        <f t="shared" si="26"/>
        <v>0</v>
      </c>
      <c r="BN41" s="853">
        <f t="shared" si="26"/>
        <v>0</v>
      </c>
      <c r="BO41" s="854">
        <f t="shared" si="18"/>
        <v>0</v>
      </c>
      <c r="BP41" s="853">
        <f t="shared" si="19"/>
        <v>0</v>
      </c>
      <c r="BQ41" s="853">
        <f t="shared" si="19"/>
        <v>0</v>
      </c>
      <c r="BR41" s="853">
        <f t="shared" si="19"/>
        <v>0</v>
      </c>
      <c r="BS41" s="853">
        <f t="shared" si="27"/>
        <v>0</v>
      </c>
      <c r="BT41" s="853">
        <f t="shared" si="27"/>
        <v>0</v>
      </c>
      <c r="BU41" s="853">
        <f t="shared" si="27"/>
        <v>0</v>
      </c>
      <c r="BV41" s="853">
        <f t="shared" si="27"/>
        <v>2.1066666666666669</v>
      </c>
      <c r="BW41" s="853">
        <f t="shared" si="27"/>
        <v>6.3199999999999994</v>
      </c>
      <c r="BX41" s="853">
        <f t="shared" si="27"/>
        <v>10.533333333333333</v>
      </c>
      <c r="BY41" s="853">
        <f t="shared" si="27"/>
        <v>14.746666666666666</v>
      </c>
      <c r="BZ41" s="853">
        <f t="shared" si="27"/>
        <v>16.853333333333335</v>
      </c>
      <c r="CA41" s="853">
        <f t="shared" si="27"/>
        <v>18.96</v>
      </c>
      <c r="CB41" s="854">
        <f t="shared" si="20"/>
        <v>69.52000000000001</v>
      </c>
      <c r="CC41" s="853">
        <f t="shared" si="21"/>
        <v>21.066666666666666</v>
      </c>
      <c r="CD41" s="853">
        <f t="shared" si="21"/>
        <v>21.066666666666666</v>
      </c>
      <c r="CE41" s="853">
        <f t="shared" si="21"/>
        <v>21.066666666666666</v>
      </c>
      <c r="CF41" s="853">
        <f t="shared" si="28"/>
        <v>21.066666666666666</v>
      </c>
      <c r="CG41" s="853">
        <f t="shared" si="28"/>
        <v>21.066666666666666</v>
      </c>
      <c r="CH41" s="853">
        <f t="shared" si="28"/>
        <v>21.066666666666666</v>
      </c>
      <c r="CI41" s="853">
        <f t="shared" si="28"/>
        <v>21.066666666666666</v>
      </c>
      <c r="CJ41" s="853">
        <f t="shared" si="28"/>
        <v>21.066666666666666</v>
      </c>
      <c r="CK41" s="853">
        <f t="shared" si="28"/>
        <v>21.066666666666666</v>
      </c>
      <c r="CL41" s="853">
        <f t="shared" si="28"/>
        <v>21.066666666666666</v>
      </c>
      <c r="CM41" s="853">
        <f t="shared" si="28"/>
        <v>21.066666666666666</v>
      </c>
      <c r="CN41" s="853">
        <f t="shared" si="28"/>
        <v>21.066666666666666</v>
      </c>
      <c r="CO41" s="854">
        <f t="shared" si="22"/>
        <v>252.79999999999998</v>
      </c>
      <c r="CP41" s="855">
        <f t="shared" si="23"/>
        <v>322.32</v>
      </c>
    </row>
    <row r="42" spans="1:94">
      <c r="A42" s="856">
        <v>29</v>
      </c>
      <c r="B42" s="846" t="s">
        <v>1695</v>
      </c>
      <c r="C42" s="847">
        <v>4</v>
      </c>
      <c r="D42" s="847">
        <f>'Xpert needs'!AA56</f>
        <v>583</v>
      </c>
      <c r="E42" s="847">
        <f t="shared" si="3"/>
        <v>48.583333333333336</v>
      </c>
      <c r="F42" s="848">
        <f t="shared" si="4"/>
        <v>2.534782608695652</v>
      </c>
      <c r="G42" s="849">
        <f t="shared" si="5"/>
        <v>0.63369565217391299</v>
      </c>
      <c r="H42" s="847">
        <f t="shared" si="6"/>
        <v>583</v>
      </c>
      <c r="I42" s="847">
        <f t="shared" si="7"/>
        <v>48.583333333333336</v>
      </c>
      <c r="J42" s="848">
        <f t="shared" si="8"/>
        <v>2.534782608695652</v>
      </c>
      <c r="K42" s="849">
        <f t="shared" si="9"/>
        <v>0.63369565217391299</v>
      </c>
      <c r="L42" s="858">
        <f>H42*95%</f>
        <v>553.85</v>
      </c>
      <c r="M42" s="847">
        <f t="shared" si="11"/>
        <v>46.154166666666669</v>
      </c>
      <c r="N42" s="848">
        <f t="shared" si="12"/>
        <v>2.4080434782608697</v>
      </c>
      <c r="O42" s="849">
        <f t="shared" si="13"/>
        <v>0.60201086956521743</v>
      </c>
      <c r="P42" s="857">
        <v>0.8</v>
      </c>
      <c r="Q42" s="850">
        <v>0.9</v>
      </c>
      <c r="R42" s="850">
        <v>1</v>
      </c>
      <c r="S42" s="850">
        <v>1</v>
      </c>
      <c r="T42" s="850">
        <v>1</v>
      </c>
      <c r="U42" s="850">
        <v>1</v>
      </c>
      <c r="V42" s="850">
        <v>1</v>
      </c>
      <c r="W42" s="850">
        <v>1</v>
      </c>
      <c r="X42" s="850">
        <v>1</v>
      </c>
      <c r="Y42" s="850">
        <v>1</v>
      </c>
      <c r="Z42" s="850">
        <v>1</v>
      </c>
      <c r="AA42" s="850">
        <v>1</v>
      </c>
      <c r="AB42" s="851">
        <f t="shared" si="14"/>
        <v>0.97499999999999987</v>
      </c>
      <c r="AC42" s="850">
        <v>1</v>
      </c>
      <c r="AD42" s="850">
        <v>1</v>
      </c>
      <c r="AE42" s="850">
        <v>1</v>
      </c>
      <c r="AF42" s="850">
        <v>1</v>
      </c>
      <c r="AG42" s="850">
        <v>1</v>
      </c>
      <c r="AH42" s="850">
        <v>1</v>
      </c>
      <c r="AI42" s="850">
        <v>1</v>
      </c>
      <c r="AJ42" s="850">
        <v>1</v>
      </c>
      <c r="AK42" s="850">
        <v>1</v>
      </c>
      <c r="AL42" s="850">
        <v>1</v>
      </c>
      <c r="AM42" s="850">
        <v>1</v>
      </c>
      <c r="AN42" s="850">
        <v>1</v>
      </c>
      <c r="AO42" s="851">
        <f t="shared" si="15"/>
        <v>1</v>
      </c>
      <c r="AP42" s="850">
        <v>1</v>
      </c>
      <c r="AQ42" s="850">
        <v>1</v>
      </c>
      <c r="AR42" s="850">
        <v>1</v>
      </c>
      <c r="AS42" s="850">
        <v>1</v>
      </c>
      <c r="AT42" s="850">
        <v>1</v>
      </c>
      <c r="AU42" s="850">
        <v>1</v>
      </c>
      <c r="AV42" s="850">
        <v>1</v>
      </c>
      <c r="AW42" s="850">
        <v>1</v>
      </c>
      <c r="AX42" s="850">
        <v>1</v>
      </c>
      <c r="AY42" s="850">
        <v>1</v>
      </c>
      <c r="AZ42" s="850">
        <v>1</v>
      </c>
      <c r="BA42" s="850">
        <v>1</v>
      </c>
      <c r="BB42" s="851">
        <f t="shared" si="16"/>
        <v>1.0000000000000002</v>
      </c>
      <c r="BC42" s="853">
        <f t="shared" si="17"/>
        <v>38.866666666666674</v>
      </c>
      <c r="BD42" s="853">
        <f t="shared" si="17"/>
        <v>43.725000000000001</v>
      </c>
      <c r="BE42" s="853">
        <f t="shared" si="17"/>
        <v>48.583333333333336</v>
      </c>
      <c r="BF42" s="853">
        <f t="shared" si="26"/>
        <v>48.583333333333336</v>
      </c>
      <c r="BG42" s="853">
        <f t="shared" si="26"/>
        <v>48.583333333333336</v>
      </c>
      <c r="BH42" s="853">
        <f t="shared" si="26"/>
        <v>48.583333333333336</v>
      </c>
      <c r="BI42" s="853">
        <f t="shared" si="26"/>
        <v>48.583333333333336</v>
      </c>
      <c r="BJ42" s="853">
        <f t="shared" si="26"/>
        <v>48.583333333333336</v>
      </c>
      <c r="BK42" s="853">
        <f t="shared" si="26"/>
        <v>48.583333333333336</v>
      </c>
      <c r="BL42" s="853">
        <f t="shared" si="26"/>
        <v>48.583333333333336</v>
      </c>
      <c r="BM42" s="853">
        <f t="shared" si="26"/>
        <v>48.583333333333336</v>
      </c>
      <c r="BN42" s="853">
        <f t="shared" si="26"/>
        <v>48.583333333333336</v>
      </c>
      <c r="BO42" s="854">
        <f t="shared" si="18"/>
        <v>568.42499999999995</v>
      </c>
      <c r="BP42" s="853">
        <f t="shared" si="19"/>
        <v>48.583333333333336</v>
      </c>
      <c r="BQ42" s="853">
        <f t="shared" si="19"/>
        <v>48.583333333333336</v>
      </c>
      <c r="BR42" s="853">
        <f t="shared" si="19"/>
        <v>48.583333333333336</v>
      </c>
      <c r="BS42" s="853">
        <f t="shared" si="27"/>
        <v>48.583333333333336</v>
      </c>
      <c r="BT42" s="853">
        <f t="shared" si="27"/>
        <v>48.583333333333336</v>
      </c>
      <c r="BU42" s="853">
        <f t="shared" si="27"/>
        <v>48.583333333333336</v>
      </c>
      <c r="BV42" s="853">
        <f t="shared" si="27"/>
        <v>48.583333333333336</v>
      </c>
      <c r="BW42" s="853">
        <f t="shared" si="27"/>
        <v>48.583333333333336</v>
      </c>
      <c r="BX42" s="853">
        <f t="shared" si="27"/>
        <v>48.583333333333336</v>
      </c>
      <c r="BY42" s="853">
        <f t="shared" si="27"/>
        <v>48.583333333333336</v>
      </c>
      <c r="BZ42" s="853">
        <f t="shared" si="27"/>
        <v>48.583333333333336</v>
      </c>
      <c r="CA42" s="853">
        <f t="shared" si="27"/>
        <v>48.583333333333336</v>
      </c>
      <c r="CB42" s="854">
        <f t="shared" si="20"/>
        <v>583</v>
      </c>
      <c r="CC42" s="853">
        <f t="shared" si="21"/>
        <v>46.154166666666669</v>
      </c>
      <c r="CD42" s="853">
        <f t="shared" si="21"/>
        <v>46.154166666666669</v>
      </c>
      <c r="CE42" s="853">
        <f t="shared" si="21"/>
        <v>46.154166666666669</v>
      </c>
      <c r="CF42" s="853">
        <f t="shared" si="28"/>
        <v>46.154166666666669</v>
      </c>
      <c r="CG42" s="853">
        <f t="shared" si="28"/>
        <v>46.154166666666669</v>
      </c>
      <c r="CH42" s="853">
        <f t="shared" si="28"/>
        <v>46.154166666666669</v>
      </c>
      <c r="CI42" s="853">
        <f t="shared" si="28"/>
        <v>46.154166666666669</v>
      </c>
      <c r="CJ42" s="853">
        <f t="shared" si="28"/>
        <v>46.154166666666669</v>
      </c>
      <c r="CK42" s="853">
        <f t="shared" si="28"/>
        <v>46.154166666666669</v>
      </c>
      <c r="CL42" s="853">
        <f t="shared" si="28"/>
        <v>46.154166666666669</v>
      </c>
      <c r="CM42" s="853">
        <f t="shared" si="28"/>
        <v>46.154166666666669</v>
      </c>
      <c r="CN42" s="853">
        <f t="shared" si="28"/>
        <v>46.154166666666669</v>
      </c>
      <c r="CO42" s="854">
        <f t="shared" si="22"/>
        <v>553.85000000000014</v>
      </c>
      <c r="CP42" s="855">
        <f t="shared" si="23"/>
        <v>1705.2750000000001</v>
      </c>
    </row>
    <row r="43" spans="1:94">
      <c r="A43" s="856">
        <v>30</v>
      </c>
      <c r="B43" s="846" t="s">
        <v>838</v>
      </c>
      <c r="C43" s="847">
        <v>4</v>
      </c>
      <c r="D43" s="847">
        <f>'Xpert needs'!AA58</f>
        <v>1650.4</v>
      </c>
      <c r="E43" s="847">
        <f t="shared" si="3"/>
        <v>137.53333333333333</v>
      </c>
      <c r="F43" s="848">
        <f t="shared" si="4"/>
        <v>7.1756521739130434</v>
      </c>
      <c r="G43" s="849">
        <f t="shared" si="5"/>
        <v>1.7939130434782609</v>
      </c>
      <c r="H43" s="847">
        <f t="shared" si="6"/>
        <v>1650.4</v>
      </c>
      <c r="I43" s="847">
        <f t="shared" si="7"/>
        <v>137.53333333333333</v>
      </c>
      <c r="J43" s="848">
        <f t="shared" si="8"/>
        <v>7.1756521739130434</v>
      </c>
      <c r="K43" s="849">
        <f t="shared" si="9"/>
        <v>1.7939130434782609</v>
      </c>
      <c r="L43" s="858">
        <f>H43*90%</f>
        <v>1485.3600000000001</v>
      </c>
      <c r="M43" s="847">
        <f t="shared" si="11"/>
        <v>123.78000000000002</v>
      </c>
      <c r="N43" s="848">
        <f t="shared" si="12"/>
        <v>6.4580869565217398</v>
      </c>
      <c r="O43" s="849">
        <f t="shared" si="13"/>
        <v>1.614521739130435</v>
      </c>
      <c r="P43" s="857">
        <v>1</v>
      </c>
      <c r="Q43" s="850">
        <v>1</v>
      </c>
      <c r="R43" s="850">
        <v>1</v>
      </c>
      <c r="S43" s="850">
        <v>1</v>
      </c>
      <c r="T43" s="850">
        <v>1</v>
      </c>
      <c r="U43" s="850">
        <v>1</v>
      </c>
      <c r="V43" s="850">
        <v>1</v>
      </c>
      <c r="W43" s="850">
        <v>1</v>
      </c>
      <c r="X43" s="850">
        <v>1</v>
      </c>
      <c r="Y43" s="850">
        <v>1</v>
      </c>
      <c r="Z43" s="850">
        <v>1</v>
      </c>
      <c r="AA43" s="850">
        <v>1</v>
      </c>
      <c r="AB43" s="851">
        <f t="shared" si="14"/>
        <v>0.99999999999999989</v>
      </c>
      <c r="AC43" s="850">
        <v>1</v>
      </c>
      <c r="AD43" s="850">
        <v>1</v>
      </c>
      <c r="AE43" s="850">
        <v>1</v>
      </c>
      <c r="AF43" s="850">
        <v>1</v>
      </c>
      <c r="AG43" s="850">
        <v>1</v>
      </c>
      <c r="AH43" s="850">
        <v>1</v>
      </c>
      <c r="AI43" s="850">
        <v>1</v>
      </c>
      <c r="AJ43" s="850">
        <v>1</v>
      </c>
      <c r="AK43" s="850">
        <v>1</v>
      </c>
      <c r="AL43" s="850">
        <v>1</v>
      </c>
      <c r="AM43" s="850">
        <v>1</v>
      </c>
      <c r="AN43" s="850">
        <v>1</v>
      </c>
      <c r="AO43" s="851">
        <f t="shared" si="15"/>
        <v>0.99999999999999989</v>
      </c>
      <c r="AP43" s="850">
        <v>1</v>
      </c>
      <c r="AQ43" s="850">
        <v>1</v>
      </c>
      <c r="AR43" s="850">
        <v>1</v>
      </c>
      <c r="AS43" s="850">
        <v>1</v>
      </c>
      <c r="AT43" s="850">
        <v>1</v>
      </c>
      <c r="AU43" s="850">
        <v>1</v>
      </c>
      <c r="AV43" s="850">
        <v>1</v>
      </c>
      <c r="AW43" s="850">
        <v>1</v>
      </c>
      <c r="AX43" s="850">
        <v>1</v>
      </c>
      <c r="AY43" s="850">
        <v>1</v>
      </c>
      <c r="AZ43" s="850">
        <v>1</v>
      </c>
      <c r="BA43" s="850">
        <v>1</v>
      </c>
      <c r="BB43" s="851">
        <f t="shared" si="16"/>
        <v>0.99999999999999989</v>
      </c>
      <c r="BC43" s="853">
        <f t="shared" si="17"/>
        <v>137.53333333333333</v>
      </c>
      <c r="BD43" s="853">
        <f t="shared" si="17"/>
        <v>137.53333333333333</v>
      </c>
      <c r="BE43" s="853">
        <f t="shared" si="17"/>
        <v>137.53333333333333</v>
      </c>
      <c r="BF43" s="853">
        <f t="shared" si="26"/>
        <v>137.53333333333333</v>
      </c>
      <c r="BG43" s="853">
        <f t="shared" si="26"/>
        <v>137.53333333333333</v>
      </c>
      <c r="BH43" s="853">
        <f t="shared" si="26"/>
        <v>137.53333333333333</v>
      </c>
      <c r="BI43" s="853">
        <f t="shared" si="26"/>
        <v>137.53333333333333</v>
      </c>
      <c r="BJ43" s="853">
        <f t="shared" si="26"/>
        <v>137.53333333333333</v>
      </c>
      <c r="BK43" s="853">
        <f t="shared" si="26"/>
        <v>137.53333333333333</v>
      </c>
      <c r="BL43" s="853">
        <f t="shared" si="26"/>
        <v>137.53333333333333</v>
      </c>
      <c r="BM43" s="853">
        <f t="shared" si="26"/>
        <v>137.53333333333333</v>
      </c>
      <c r="BN43" s="853">
        <f t="shared" si="26"/>
        <v>137.53333333333333</v>
      </c>
      <c r="BO43" s="854">
        <f t="shared" si="18"/>
        <v>1650.3999999999999</v>
      </c>
      <c r="BP43" s="853">
        <f t="shared" si="19"/>
        <v>137.53333333333333</v>
      </c>
      <c r="BQ43" s="853">
        <f t="shared" si="19"/>
        <v>137.53333333333333</v>
      </c>
      <c r="BR43" s="853">
        <f t="shared" si="19"/>
        <v>137.53333333333333</v>
      </c>
      <c r="BS43" s="853">
        <f t="shared" si="27"/>
        <v>137.53333333333333</v>
      </c>
      <c r="BT43" s="853">
        <f t="shared" si="27"/>
        <v>137.53333333333333</v>
      </c>
      <c r="BU43" s="853">
        <f t="shared" si="27"/>
        <v>137.53333333333333</v>
      </c>
      <c r="BV43" s="853">
        <f t="shared" si="27"/>
        <v>137.53333333333333</v>
      </c>
      <c r="BW43" s="853">
        <f t="shared" si="27"/>
        <v>137.53333333333333</v>
      </c>
      <c r="BX43" s="853">
        <f t="shared" si="27"/>
        <v>137.53333333333333</v>
      </c>
      <c r="BY43" s="853">
        <f t="shared" si="27"/>
        <v>137.53333333333333</v>
      </c>
      <c r="BZ43" s="853">
        <f t="shared" si="27"/>
        <v>137.53333333333333</v>
      </c>
      <c r="CA43" s="853">
        <f t="shared" si="27"/>
        <v>137.53333333333333</v>
      </c>
      <c r="CB43" s="854">
        <f t="shared" si="20"/>
        <v>1650.3999999999999</v>
      </c>
      <c r="CC43" s="853">
        <f t="shared" si="21"/>
        <v>123.78000000000002</v>
      </c>
      <c r="CD43" s="853">
        <f t="shared" si="21"/>
        <v>123.78000000000002</v>
      </c>
      <c r="CE43" s="853">
        <f t="shared" si="21"/>
        <v>123.78000000000002</v>
      </c>
      <c r="CF43" s="853">
        <f t="shared" si="28"/>
        <v>123.78000000000002</v>
      </c>
      <c r="CG43" s="853">
        <f t="shared" si="28"/>
        <v>123.78000000000002</v>
      </c>
      <c r="CH43" s="853">
        <f t="shared" si="28"/>
        <v>123.78000000000002</v>
      </c>
      <c r="CI43" s="853">
        <f t="shared" si="28"/>
        <v>123.78000000000002</v>
      </c>
      <c r="CJ43" s="853">
        <f t="shared" si="28"/>
        <v>123.78000000000002</v>
      </c>
      <c r="CK43" s="853">
        <f t="shared" si="28"/>
        <v>123.78000000000002</v>
      </c>
      <c r="CL43" s="853">
        <f t="shared" si="28"/>
        <v>123.78000000000002</v>
      </c>
      <c r="CM43" s="853">
        <f t="shared" si="28"/>
        <v>123.78000000000002</v>
      </c>
      <c r="CN43" s="853">
        <f t="shared" si="28"/>
        <v>123.78000000000002</v>
      </c>
      <c r="CO43" s="854">
        <f t="shared" si="22"/>
        <v>1485.36</v>
      </c>
      <c r="CP43" s="855">
        <f t="shared" si="23"/>
        <v>4786.16</v>
      </c>
    </row>
    <row r="44" spans="1:94">
      <c r="A44" s="845">
        <v>31</v>
      </c>
      <c r="B44" s="846" t="s">
        <v>933</v>
      </c>
      <c r="C44" s="847">
        <v>2</v>
      </c>
      <c r="D44" s="847">
        <f>'Xpert needs'!AA60</f>
        <v>274</v>
      </c>
      <c r="E44" s="847">
        <f t="shared" si="3"/>
        <v>22.833333333333332</v>
      </c>
      <c r="F44" s="848">
        <f t="shared" si="4"/>
        <v>1.191304347826087</v>
      </c>
      <c r="G44" s="849">
        <f t="shared" si="5"/>
        <v>0.59565217391304348</v>
      </c>
      <c r="H44" s="847">
        <f t="shared" si="6"/>
        <v>274</v>
      </c>
      <c r="I44" s="847">
        <f t="shared" si="7"/>
        <v>22.833333333333332</v>
      </c>
      <c r="J44" s="848">
        <f t="shared" si="8"/>
        <v>1.191304347826087</v>
      </c>
      <c r="K44" s="849">
        <f t="shared" si="9"/>
        <v>0.59565217391304348</v>
      </c>
      <c r="L44" s="847">
        <f t="shared" si="10"/>
        <v>274</v>
      </c>
      <c r="M44" s="847">
        <f t="shared" si="11"/>
        <v>22.833333333333332</v>
      </c>
      <c r="N44" s="848">
        <f t="shared" si="12"/>
        <v>1.191304347826087</v>
      </c>
      <c r="O44" s="849">
        <f t="shared" si="13"/>
        <v>0.59565217391304348</v>
      </c>
      <c r="P44" s="850"/>
      <c r="Q44" s="850"/>
      <c r="R44" s="850"/>
      <c r="S44" s="850"/>
      <c r="T44" s="850"/>
      <c r="U44" s="850"/>
      <c r="V44" s="850"/>
      <c r="W44" s="850"/>
      <c r="X44" s="850"/>
      <c r="Y44" s="850"/>
      <c r="Z44" s="850"/>
      <c r="AA44" s="850"/>
      <c r="AB44" s="851">
        <f t="shared" si="14"/>
        <v>0</v>
      </c>
      <c r="AC44" s="850"/>
      <c r="AD44" s="850"/>
      <c r="AE44" s="850"/>
      <c r="AF44" s="850"/>
      <c r="AG44" s="850"/>
      <c r="AH44" s="850"/>
      <c r="AI44" s="852">
        <v>0.1</v>
      </c>
      <c r="AJ44" s="850">
        <v>0.3</v>
      </c>
      <c r="AK44" s="850">
        <v>0.5</v>
      </c>
      <c r="AL44" s="850">
        <v>0.7</v>
      </c>
      <c r="AM44" s="850">
        <v>0.8</v>
      </c>
      <c r="AN44" s="850">
        <v>0.9</v>
      </c>
      <c r="AO44" s="851">
        <f t="shared" si="15"/>
        <v>0.27499999999999997</v>
      </c>
      <c r="AP44" s="850">
        <v>1</v>
      </c>
      <c r="AQ44" s="850">
        <v>1</v>
      </c>
      <c r="AR44" s="850">
        <v>1</v>
      </c>
      <c r="AS44" s="850">
        <v>1</v>
      </c>
      <c r="AT44" s="850">
        <v>1</v>
      </c>
      <c r="AU44" s="850">
        <v>1</v>
      </c>
      <c r="AV44" s="850">
        <v>1</v>
      </c>
      <c r="AW44" s="850">
        <v>1</v>
      </c>
      <c r="AX44" s="850">
        <v>1</v>
      </c>
      <c r="AY44" s="850">
        <v>1</v>
      </c>
      <c r="AZ44" s="850">
        <v>1</v>
      </c>
      <c r="BA44" s="850">
        <v>1</v>
      </c>
      <c r="BB44" s="851">
        <f t="shared" si="16"/>
        <v>1.0000000000000002</v>
      </c>
      <c r="BC44" s="853">
        <f t="shared" si="17"/>
        <v>0</v>
      </c>
      <c r="BD44" s="853">
        <f t="shared" si="17"/>
        <v>0</v>
      </c>
      <c r="BE44" s="853">
        <f t="shared" si="17"/>
        <v>0</v>
      </c>
      <c r="BF44" s="853">
        <f t="shared" si="26"/>
        <v>0</v>
      </c>
      <c r="BG44" s="853">
        <f t="shared" si="26"/>
        <v>0</v>
      </c>
      <c r="BH44" s="853">
        <f t="shared" si="26"/>
        <v>0</v>
      </c>
      <c r="BI44" s="853">
        <f t="shared" si="26"/>
        <v>0</v>
      </c>
      <c r="BJ44" s="853">
        <f t="shared" si="26"/>
        <v>0</v>
      </c>
      <c r="BK44" s="853">
        <f t="shared" si="26"/>
        <v>0</v>
      </c>
      <c r="BL44" s="853">
        <f t="shared" si="26"/>
        <v>0</v>
      </c>
      <c r="BM44" s="853">
        <f t="shared" si="26"/>
        <v>0</v>
      </c>
      <c r="BN44" s="853">
        <f t="shared" si="26"/>
        <v>0</v>
      </c>
      <c r="BO44" s="854">
        <f t="shared" si="18"/>
        <v>0</v>
      </c>
      <c r="BP44" s="853">
        <f t="shared" si="19"/>
        <v>0</v>
      </c>
      <c r="BQ44" s="853">
        <f t="shared" si="19"/>
        <v>0</v>
      </c>
      <c r="BR44" s="853">
        <f t="shared" si="19"/>
        <v>0</v>
      </c>
      <c r="BS44" s="853">
        <f t="shared" si="27"/>
        <v>0</v>
      </c>
      <c r="BT44" s="853">
        <f t="shared" si="27"/>
        <v>0</v>
      </c>
      <c r="BU44" s="853">
        <f t="shared" si="27"/>
        <v>0</v>
      </c>
      <c r="BV44" s="853">
        <f t="shared" si="27"/>
        <v>2.2833333333333332</v>
      </c>
      <c r="BW44" s="853">
        <f t="shared" si="27"/>
        <v>6.85</v>
      </c>
      <c r="BX44" s="853">
        <f t="shared" si="27"/>
        <v>11.416666666666666</v>
      </c>
      <c r="BY44" s="853">
        <f t="shared" si="27"/>
        <v>15.983333333333331</v>
      </c>
      <c r="BZ44" s="853">
        <f t="shared" si="27"/>
        <v>18.266666666666666</v>
      </c>
      <c r="CA44" s="853">
        <f t="shared" si="27"/>
        <v>20.55</v>
      </c>
      <c r="CB44" s="854">
        <f t="shared" si="20"/>
        <v>75.349999999999994</v>
      </c>
      <c r="CC44" s="853">
        <f t="shared" si="21"/>
        <v>22.833333333333332</v>
      </c>
      <c r="CD44" s="853">
        <f t="shared" si="21"/>
        <v>22.833333333333332</v>
      </c>
      <c r="CE44" s="853">
        <f t="shared" si="21"/>
        <v>22.833333333333332</v>
      </c>
      <c r="CF44" s="853">
        <f t="shared" si="28"/>
        <v>22.833333333333332</v>
      </c>
      <c r="CG44" s="853">
        <f t="shared" si="28"/>
        <v>22.833333333333332</v>
      </c>
      <c r="CH44" s="853">
        <f t="shared" si="28"/>
        <v>22.833333333333332</v>
      </c>
      <c r="CI44" s="853">
        <f t="shared" si="28"/>
        <v>22.833333333333332</v>
      </c>
      <c r="CJ44" s="853">
        <f t="shared" si="28"/>
        <v>22.833333333333332</v>
      </c>
      <c r="CK44" s="853">
        <f t="shared" si="28"/>
        <v>22.833333333333332</v>
      </c>
      <c r="CL44" s="853">
        <f t="shared" si="28"/>
        <v>22.833333333333332</v>
      </c>
      <c r="CM44" s="853">
        <f t="shared" si="28"/>
        <v>22.833333333333332</v>
      </c>
      <c r="CN44" s="853">
        <f t="shared" si="28"/>
        <v>22.833333333333332</v>
      </c>
      <c r="CO44" s="854">
        <f t="shared" si="22"/>
        <v>274.00000000000006</v>
      </c>
      <c r="CP44" s="855">
        <f t="shared" si="23"/>
        <v>349.35</v>
      </c>
    </row>
    <row r="45" spans="1:94">
      <c r="A45" s="845">
        <v>32</v>
      </c>
      <c r="B45" s="846" t="s">
        <v>934</v>
      </c>
      <c r="C45" s="847">
        <v>2</v>
      </c>
      <c r="D45" s="847">
        <f>'Xpert needs'!AA61</f>
        <v>414.70000000000005</v>
      </c>
      <c r="E45" s="847">
        <f t="shared" si="3"/>
        <v>34.558333333333337</v>
      </c>
      <c r="F45" s="848">
        <f t="shared" si="4"/>
        <v>1.8030434782608697</v>
      </c>
      <c r="G45" s="849">
        <f t="shared" si="5"/>
        <v>0.90152173913043487</v>
      </c>
      <c r="H45" s="847">
        <f t="shared" si="6"/>
        <v>414.70000000000005</v>
      </c>
      <c r="I45" s="847">
        <f t="shared" si="7"/>
        <v>34.558333333333337</v>
      </c>
      <c r="J45" s="848">
        <f t="shared" si="8"/>
        <v>1.8030434782608697</v>
      </c>
      <c r="K45" s="849">
        <f t="shared" si="9"/>
        <v>0.90152173913043487</v>
      </c>
      <c r="L45" s="847">
        <f t="shared" si="10"/>
        <v>414.70000000000005</v>
      </c>
      <c r="M45" s="847">
        <f t="shared" si="11"/>
        <v>34.558333333333337</v>
      </c>
      <c r="N45" s="848">
        <f t="shared" si="12"/>
        <v>1.8030434782608697</v>
      </c>
      <c r="O45" s="849">
        <f t="shared" si="13"/>
        <v>0.90152173913043487</v>
      </c>
      <c r="P45" s="850"/>
      <c r="Q45" s="850"/>
      <c r="R45" s="850"/>
      <c r="S45" s="850"/>
      <c r="T45" s="850"/>
      <c r="U45" s="850"/>
      <c r="V45" s="850"/>
      <c r="W45" s="850"/>
      <c r="X45" s="850"/>
      <c r="Y45" s="850"/>
      <c r="Z45" s="850"/>
      <c r="AA45" s="850"/>
      <c r="AB45" s="851">
        <f t="shared" si="14"/>
        <v>0</v>
      </c>
      <c r="AC45" s="850"/>
      <c r="AD45" s="850"/>
      <c r="AE45" s="850"/>
      <c r="AF45" s="850"/>
      <c r="AG45" s="850"/>
      <c r="AH45" s="850"/>
      <c r="AI45" s="852">
        <v>0.1</v>
      </c>
      <c r="AJ45" s="850">
        <v>0.3</v>
      </c>
      <c r="AK45" s="850">
        <v>0.5</v>
      </c>
      <c r="AL45" s="850">
        <v>0.7</v>
      </c>
      <c r="AM45" s="850">
        <v>0.8</v>
      </c>
      <c r="AN45" s="850">
        <v>0.9</v>
      </c>
      <c r="AO45" s="851">
        <f t="shared" si="15"/>
        <v>0.27500000000000002</v>
      </c>
      <c r="AP45" s="850">
        <v>1</v>
      </c>
      <c r="AQ45" s="850">
        <v>1</v>
      </c>
      <c r="AR45" s="850">
        <v>1</v>
      </c>
      <c r="AS45" s="850">
        <v>1</v>
      </c>
      <c r="AT45" s="850">
        <v>1</v>
      </c>
      <c r="AU45" s="850">
        <v>1</v>
      </c>
      <c r="AV45" s="850">
        <v>1</v>
      </c>
      <c r="AW45" s="850">
        <v>1</v>
      </c>
      <c r="AX45" s="850">
        <v>1</v>
      </c>
      <c r="AY45" s="850">
        <v>1</v>
      </c>
      <c r="AZ45" s="850">
        <v>1</v>
      </c>
      <c r="BA45" s="850">
        <v>1</v>
      </c>
      <c r="BB45" s="851">
        <f t="shared" si="16"/>
        <v>1</v>
      </c>
      <c r="BC45" s="853">
        <f t="shared" si="17"/>
        <v>0</v>
      </c>
      <c r="BD45" s="853">
        <f t="shared" si="17"/>
        <v>0</v>
      </c>
      <c r="BE45" s="853">
        <f t="shared" si="17"/>
        <v>0</v>
      </c>
      <c r="BF45" s="853">
        <f t="shared" si="26"/>
        <v>0</v>
      </c>
      <c r="BG45" s="853">
        <f t="shared" si="26"/>
        <v>0</v>
      </c>
      <c r="BH45" s="853">
        <f t="shared" si="26"/>
        <v>0</v>
      </c>
      <c r="BI45" s="853">
        <f t="shared" si="26"/>
        <v>0</v>
      </c>
      <c r="BJ45" s="853">
        <f t="shared" si="26"/>
        <v>0</v>
      </c>
      <c r="BK45" s="853">
        <f t="shared" si="26"/>
        <v>0</v>
      </c>
      <c r="BL45" s="853">
        <f t="shared" si="26"/>
        <v>0</v>
      </c>
      <c r="BM45" s="853">
        <f t="shared" si="26"/>
        <v>0</v>
      </c>
      <c r="BN45" s="853">
        <f t="shared" si="26"/>
        <v>0</v>
      </c>
      <c r="BO45" s="854">
        <f t="shared" si="18"/>
        <v>0</v>
      </c>
      <c r="BP45" s="853">
        <f t="shared" si="19"/>
        <v>0</v>
      </c>
      <c r="BQ45" s="853">
        <f t="shared" si="19"/>
        <v>0</v>
      </c>
      <c r="BR45" s="853">
        <f t="shared" si="19"/>
        <v>0</v>
      </c>
      <c r="BS45" s="853">
        <f t="shared" si="27"/>
        <v>0</v>
      </c>
      <c r="BT45" s="853">
        <f t="shared" si="27"/>
        <v>0</v>
      </c>
      <c r="BU45" s="853">
        <f t="shared" si="27"/>
        <v>0</v>
      </c>
      <c r="BV45" s="853">
        <f t="shared" si="27"/>
        <v>3.455833333333334</v>
      </c>
      <c r="BW45" s="853">
        <f t="shared" si="27"/>
        <v>10.367500000000001</v>
      </c>
      <c r="BX45" s="853">
        <f t="shared" si="27"/>
        <v>17.279166666666669</v>
      </c>
      <c r="BY45" s="853">
        <f t="shared" si="27"/>
        <v>24.190833333333334</v>
      </c>
      <c r="BZ45" s="853">
        <f t="shared" si="27"/>
        <v>27.646666666666672</v>
      </c>
      <c r="CA45" s="853">
        <f t="shared" si="27"/>
        <v>31.102500000000003</v>
      </c>
      <c r="CB45" s="854">
        <f t="shared" si="20"/>
        <v>114.04250000000002</v>
      </c>
      <c r="CC45" s="853">
        <f t="shared" si="21"/>
        <v>34.558333333333337</v>
      </c>
      <c r="CD45" s="853">
        <f t="shared" si="21"/>
        <v>34.558333333333337</v>
      </c>
      <c r="CE45" s="853">
        <f t="shared" si="21"/>
        <v>34.558333333333337</v>
      </c>
      <c r="CF45" s="853">
        <f t="shared" si="28"/>
        <v>34.558333333333337</v>
      </c>
      <c r="CG45" s="853">
        <f t="shared" si="28"/>
        <v>34.558333333333337</v>
      </c>
      <c r="CH45" s="853">
        <f t="shared" si="28"/>
        <v>34.558333333333337</v>
      </c>
      <c r="CI45" s="853">
        <f t="shared" si="28"/>
        <v>34.558333333333337</v>
      </c>
      <c r="CJ45" s="853">
        <f t="shared" si="28"/>
        <v>34.558333333333337</v>
      </c>
      <c r="CK45" s="853">
        <f t="shared" si="28"/>
        <v>34.558333333333337</v>
      </c>
      <c r="CL45" s="853">
        <f t="shared" si="28"/>
        <v>34.558333333333337</v>
      </c>
      <c r="CM45" s="853">
        <f t="shared" si="28"/>
        <v>34.558333333333337</v>
      </c>
      <c r="CN45" s="853">
        <f t="shared" si="28"/>
        <v>34.558333333333337</v>
      </c>
      <c r="CO45" s="854">
        <f t="shared" si="22"/>
        <v>414.70000000000005</v>
      </c>
      <c r="CP45" s="855">
        <f t="shared" si="23"/>
        <v>528.74250000000006</v>
      </c>
    </row>
    <row r="46" spans="1:94">
      <c r="A46" s="845">
        <v>33</v>
      </c>
      <c r="B46" s="846" t="s">
        <v>936</v>
      </c>
      <c r="C46" s="847">
        <v>2</v>
      </c>
      <c r="D46" s="847">
        <f>'Xpert needs'!AA63</f>
        <v>255.15</v>
      </c>
      <c r="E46" s="847">
        <f t="shared" si="3"/>
        <v>21.262499999999999</v>
      </c>
      <c r="F46" s="848">
        <f t="shared" si="4"/>
        <v>1.1093478260869565</v>
      </c>
      <c r="G46" s="849">
        <f t="shared" si="5"/>
        <v>0.55467391304347824</v>
      </c>
      <c r="H46" s="847">
        <f t="shared" si="6"/>
        <v>255.15</v>
      </c>
      <c r="I46" s="847">
        <f t="shared" si="7"/>
        <v>21.262499999999999</v>
      </c>
      <c r="J46" s="848">
        <f t="shared" si="8"/>
        <v>1.1093478260869565</v>
      </c>
      <c r="K46" s="849">
        <f t="shared" si="9"/>
        <v>0.55467391304347824</v>
      </c>
      <c r="L46" s="847">
        <f t="shared" si="10"/>
        <v>255.15</v>
      </c>
      <c r="M46" s="847">
        <f t="shared" si="11"/>
        <v>21.262499999999999</v>
      </c>
      <c r="N46" s="848">
        <f t="shared" si="12"/>
        <v>1.1093478260869565</v>
      </c>
      <c r="O46" s="849">
        <f t="shared" si="13"/>
        <v>0.55467391304347824</v>
      </c>
      <c r="P46" s="850"/>
      <c r="Q46" s="850"/>
      <c r="R46" s="850"/>
      <c r="S46" s="850"/>
      <c r="T46" s="850"/>
      <c r="U46" s="850"/>
      <c r="V46" s="850"/>
      <c r="W46" s="850"/>
      <c r="X46" s="850"/>
      <c r="Y46" s="850"/>
      <c r="Z46" s="850"/>
      <c r="AA46" s="850"/>
      <c r="AB46" s="851">
        <f t="shared" si="14"/>
        <v>0</v>
      </c>
      <c r="AC46" s="850"/>
      <c r="AD46" s="850"/>
      <c r="AE46" s="850"/>
      <c r="AF46" s="850"/>
      <c r="AG46" s="850"/>
      <c r="AH46" s="850"/>
      <c r="AI46" s="852">
        <v>0.1</v>
      </c>
      <c r="AJ46" s="850">
        <v>0.3</v>
      </c>
      <c r="AK46" s="850">
        <v>0.5</v>
      </c>
      <c r="AL46" s="850">
        <v>0.7</v>
      </c>
      <c r="AM46" s="850">
        <v>0.8</v>
      </c>
      <c r="AN46" s="850">
        <v>0.9</v>
      </c>
      <c r="AO46" s="851">
        <f t="shared" si="15"/>
        <v>0.27500000000000002</v>
      </c>
      <c r="AP46" s="850">
        <v>1</v>
      </c>
      <c r="AQ46" s="850">
        <v>1</v>
      </c>
      <c r="AR46" s="850">
        <v>1</v>
      </c>
      <c r="AS46" s="850">
        <v>1</v>
      </c>
      <c r="AT46" s="850">
        <v>1</v>
      </c>
      <c r="AU46" s="850">
        <v>1</v>
      </c>
      <c r="AV46" s="850">
        <v>1</v>
      </c>
      <c r="AW46" s="850">
        <v>1</v>
      </c>
      <c r="AX46" s="850">
        <v>1</v>
      </c>
      <c r="AY46" s="850">
        <v>1</v>
      </c>
      <c r="AZ46" s="850">
        <v>1</v>
      </c>
      <c r="BA46" s="850">
        <v>1</v>
      </c>
      <c r="BB46" s="851">
        <f t="shared" si="16"/>
        <v>0.99999999999999978</v>
      </c>
      <c r="BC46" s="853">
        <f t="shared" si="17"/>
        <v>0</v>
      </c>
      <c r="BD46" s="853">
        <f t="shared" si="17"/>
        <v>0</v>
      </c>
      <c r="BE46" s="853">
        <f t="shared" si="17"/>
        <v>0</v>
      </c>
      <c r="BF46" s="853">
        <f t="shared" si="26"/>
        <v>0</v>
      </c>
      <c r="BG46" s="853">
        <f t="shared" si="26"/>
        <v>0</v>
      </c>
      <c r="BH46" s="853">
        <f t="shared" si="26"/>
        <v>0</v>
      </c>
      <c r="BI46" s="853">
        <f t="shared" si="26"/>
        <v>0</v>
      </c>
      <c r="BJ46" s="853">
        <f t="shared" si="26"/>
        <v>0</v>
      </c>
      <c r="BK46" s="853">
        <f t="shared" si="26"/>
        <v>0</v>
      </c>
      <c r="BL46" s="853">
        <f t="shared" si="26"/>
        <v>0</v>
      </c>
      <c r="BM46" s="853">
        <f t="shared" si="26"/>
        <v>0</v>
      </c>
      <c r="BN46" s="853">
        <f t="shared" si="26"/>
        <v>0</v>
      </c>
      <c r="BO46" s="854">
        <f t="shared" si="18"/>
        <v>0</v>
      </c>
      <c r="BP46" s="853">
        <f t="shared" si="19"/>
        <v>0</v>
      </c>
      <c r="BQ46" s="853">
        <f t="shared" si="19"/>
        <v>0</v>
      </c>
      <c r="BR46" s="853">
        <f t="shared" si="19"/>
        <v>0</v>
      </c>
      <c r="BS46" s="853">
        <f t="shared" si="27"/>
        <v>0</v>
      </c>
      <c r="BT46" s="853">
        <f t="shared" si="27"/>
        <v>0</v>
      </c>
      <c r="BU46" s="853">
        <f t="shared" si="27"/>
        <v>0</v>
      </c>
      <c r="BV46" s="853">
        <f t="shared" si="27"/>
        <v>2.1262500000000002</v>
      </c>
      <c r="BW46" s="853">
        <f t="shared" si="27"/>
        <v>6.3787499999999993</v>
      </c>
      <c r="BX46" s="853">
        <f t="shared" si="27"/>
        <v>10.63125</v>
      </c>
      <c r="BY46" s="853">
        <f t="shared" si="27"/>
        <v>14.883749999999999</v>
      </c>
      <c r="BZ46" s="853">
        <f t="shared" si="27"/>
        <v>17.010000000000002</v>
      </c>
      <c r="CA46" s="853">
        <f t="shared" si="27"/>
        <v>19.13625</v>
      </c>
      <c r="CB46" s="854">
        <f t="shared" si="20"/>
        <v>70.166250000000005</v>
      </c>
      <c r="CC46" s="853">
        <f t="shared" si="21"/>
        <v>21.262499999999999</v>
      </c>
      <c r="CD46" s="853">
        <f t="shared" si="21"/>
        <v>21.262499999999999</v>
      </c>
      <c r="CE46" s="853">
        <f t="shared" si="21"/>
        <v>21.262499999999999</v>
      </c>
      <c r="CF46" s="853">
        <f t="shared" si="28"/>
        <v>21.262499999999999</v>
      </c>
      <c r="CG46" s="853">
        <f t="shared" si="28"/>
        <v>21.262499999999999</v>
      </c>
      <c r="CH46" s="853">
        <f t="shared" si="28"/>
        <v>21.262499999999999</v>
      </c>
      <c r="CI46" s="853">
        <f t="shared" si="28"/>
        <v>21.262499999999999</v>
      </c>
      <c r="CJ46" s="853">
        <f t="shared" si="28"/>
        <v>21.262499999999999</v>
      </c>
      <c r="CK46" s="853">
        <f t="shared" si="28"/>
        <v>21.262499999999999</v>
      </c>
      <c r="CL46" s="853">
        <f t="shared" si="28"/>
        <v>21.262499999999999</v>
      </c>
      <c r="CM46" s="853">
        <f t="shared" si="28"/>
        <v>21.262499999999999</v>
      </c>
      <c r="CN46" s="853">
        <f t="shared" si="28"/>
        <v>21.262499999999999</v>
      </c>
      <c r="CO46" s="854">
        <f t="shared" si="22"/>
        <v>255.14999999999995</v>
      </c>
      <c r="CP46" s="855">
        <f t="shared" si="23"/>
        <v>325.31624999999997</v>
      </c>
    </row>
    <row r="47" spans="1:94">
      <c r="A47" s="845">
        <v>34</v>
      </c>
      <c r="B47" s="846" t="s">
        <v>937</v>
      </c>
      <c r="C47" s="847">
        <v>2</v>
      </c>
      <c r="D47" s="847">
        <f>'Xpert needs'!AA64</f>
        <v>273.60000000000002</v>
      </c>
      <c r="E47" s="847">
        <f t="shared" si="3"/>
        <v>22.8</v>
      </c>
      <c r="F47" s="848">
        <f t="shared" si="4"/>
        <v>1.1895652173913045</v>
      </c>
      <c r="G47" s="849">
        <f t="shared" si="5"/>
        <v>0.59478260869565225</v>
      </c>
      <c r="H47" s="847">
        <f t="shared" si="6"/>
        <v>273.60000000000002</v>
      </c>
      <c r="I47" s="847">
        <f t="shared" si="7"/>
        <v>22.8</v>
      </c>
      <c r="J47" s="848">
        <f t="shared" si="8"/>
        <v>1.1895652173913045</v>
      </c>
      <c r="K47" s="849">
        <f t="shared" si="9"/>
        <v>0.59478260869565225</v>
      </c>
      <c r="L47" s="847">
        <f t="shared" si="10"/>
        <v>273.60000000000002</v>
      </c>
      <c r="M47" s="847">
        <f t="shared" si="11"/>
        <v>22.8</v>
      </c>
      <c r="N47" s="848">
        <f t="shared" si="12"/>
        <v>1.1895652173913045</v>
      </c>
      <c r="O47" s="849">
        <f t="shared" si="13"/>
        <v>0.59478260869565225</v>
      </c>
      <c r="P47" s="850"/>
      <c r="Q47" s="850"/>
      <c r="R47" s="850"/>
      <c r="S47" s="850"/>
      <c r="T47" s="850"/>
      <c r="U47" s="850"/>
      <c r="V47" s="850"/>
      <c r="W47" s="850"/>
      <c r="X47" s="850"/>
      <c r="Y47" s="850"/>
      <c r="Z47" s="850"/>
      <c r="AA47" s="850"/>
      <c r="AB47" s="851">
        <f t="shared" si="14"/>
        <v>0</v>
      </c>
      <c r="AC47" s="850"/>
      <c r="AD47" s="850"/>
      <c r="AE47" s="850"/>
      <c r="AF47" s="850"/>
      <c r="AG47" s="850"/>
      <c r="AH47" s="850"/>
      <c r="AI47" s="852">
        <v>0.1</v>
      </c>
      <c r="AJ47" s="850">
        <v>0.3</v>
      </c>
      <c r="AK47" s="850">
        <v>0.5</v>
      </c>
      <c r="AL47" s="850">
        <v>0.7</v>
      </c>
      <c r="AM47" s="850">
        <v>0.8</v>
      </c>
      <c r="AN47" s="850">
        <v>0.9</v>
      </c>
      <c r="AO47" s="851">
        <f t="shared" si="15"/>
        <v>0.27500000000000002</v>
      </c>
      <c r="AP47" s="850">
        <v>1</v>
      </c>
      <c r="AQ47" s="850">
        <v>1</v>
      </c>
      <c r="AR47" s="850">
        <v>1</v>
      </c>
      <c r="AS47" s="850">
        <v>1</v>
      </c>
      <c r="AT47" s="850">
        <v>1</v>
      </c>
      <c r="AU47" s="850">
        <v>1</v>
      </c>
      <c r="AV47" s="850">
        <v>1</v>
      </c>
      <c r="AW47" s="850">
        <v>1</v>
      </c>
      <c r="AX47" s="850">
        <v>1</v>
      </c>
      <c r="AY47" s="850">
        <v>1</v>
      </c>
      <c r="AZ47" s="850">
        <v>1</v>
      </c>
      <c r="BA47" s="850">
        <v>1</v>
      </c>
      <c r="BB47" s="851">
        <f t="shared" si="16"/>
        <v>1.0000000000000002</v>
      </c>
      <c r="BC47" s="853">
        <f t="shared" si="17"/>
        <v>0</v>
      </c>
      <c r="BD47" s="853">
        <f t="shared" si="17"/>
        <v>0</v>
      </c>
      <c r="BE47" s="853">
        <f t="shared" si="17"/>
        <v>0</v>
      </c>
      <c r="BF47" s="853">
        <f t="shared" si="26"/>
        <v>0</v>
      </c>
      <c r="BG47" s="853">
        <f t="shared" si="26"/>
        <v>0</v>
      </c>
      <c r="BH47" s="853">
        <f t="shared" si="26"/>
        <v>0</v>
      </c>
      <c r="BI47" s="853">
        <f t="shared" si="26"/>
        <v>0</v>
      </c>
      <c r="BJ47" s="853">
        <f t="shared" si="26"/>
        <v>0</v>
      </c>
      <c r="BK47" s="853">
        <f t="shared" si="26"/>
        <v>0</v>
      </c>
      <c r="BL47" s="853">
        <f t="shared" si="26"/>
        <v>0</v>
      </c>
      <c r="BM47" s="853">
        <f t="shared" si="26"/>
        <v>0</v>
      </c>
      <c r="BN47" s="853">
        <f t="shared" si="26"/>
        <v>0</v>
      </c>
      <c r="BO47" s="854">
        <f t="shared" si="18"/>
        <v>0</v>
      </c>
      <c r="BP47" s="853">
        <f t="shared" si="19"/>
        <v>0</v>
      </c>
      <c r="BQ47" s="853">
        <f t="shared" si="19"/>
        <v>0</v>
      </c>
      <c r="BR47" s="853">
        <f t="shared" si="19"/>
        <v>0</v>
      </c>
      <c r="BS47" s="853">
        <f t="shared" si="27"/>
        <v>0</v>
      </c>
      <c r="BT47" s="853">
        <f t="shared" si="27"/>
        <v>0</v>
      </c>
      <c r="BU47" s="853">
        <f t="shared" si="27"/>
        <v>0</v>
      </c>
      <c r="BV47" s="853">
        <f t="shared" si="27"/>
        <v>2.2800000000000002</v>
      </c>
      <c r="BW47" s="853">
        <f t="shared" si="27"/>
        <v>6.84</v>
      </c>
      <c r="BX47" s="853">
        <f t="shared" si="27"/>
        <v>11.4</v>
      </c>
      <c r="BY47" s="853">
        <f t="shared" si="27"/>
        <v>15.959999999999999</v>
      </c>
      <c r="BZ47" s="853">
        <f t="shared" si="27"/>
        <v>18.240000000000002</v>
      </c>
      <c r="CA47" s="853">
        <f t="shared" si="27"/>
        <v>20.52</v>
      </c>
      <c r="CB47" s="854">
        <f t="shared" si="20"/>
        <v>75.240000000000009</v>
      </c>
      <c r="CC47" s="853">
        <f t="shared" si="21"/>
        <v>22.8</v>
      </c>
      <c r="CD47" s="853">
        <f t="shared" si="21"/>
        <v>22.8</v>
      </c>
      <c r="CE47" s="853">
        <f t="shared" si="21"/>
        <v>22.8</v>
      </c>
      <c r="CF47" s="853">
        <f t="shared" si="28"/>
        <v>22.8</v>
      </c>
      <c r="CG47" s="853">
        <f t="shared" si="28"/>
        <v>22.8</v>
      </c>
      <c r="CH47" s="853">
        <f t="shared" si="28"/>
        <v>22.8</v>
      </c>
      <c r="CI47" s="853">
        <f t="shared" si="28"/>
        <v>22.8</v>
      </c>
      <c r="CJ47" s="853">
        <f t="shared" si="28"/>
        <v>22.8</v>
      </c>
      <c r="CK47" s="853">
        <f t="shared" si="28"/>
        <v>22.8</v>
      </c>
      <c r="CL47" s="853">
        <f t="shared" si="28"/>
        <v>22.8</v>
      </c>
      <c r="CM47" s="853">
        <f t="shared" si="28"/>
        <v>22.8</v>
      </c>
      <c r="CN47" s="853">
        <f t="shared" si="28"/>
        <v>22.8</v>
      </c>
      <c r="CO47" s="854">
        <f t="shared" si="22"/>
        <v>273.60000000000008</v>
      </c>
      <c r="CP47" s="855">
        <f t="shared" si="23"/>
        <v>348.84000000000009</v>
      </c>
    </row>
    <row r="48" spans="1:94" s="838" customFormat="1">
      <c r="A48" s="856">
        <v>35</v>
      </c>
      <c r="B48" s="846" t="s">
        <v>1696</v>
      </c>
      <c r="C48" s="847">
        <v>4</v>
      </c>
      <c r="D48" s="847">
        <f>'Xpert needs'!AA66</f>
        <v>617.1</v>
      </c>
      <c r="E48" s="847">
        <f t="shared" si="3"/>
        <v>51.425000000000004</v>
      </c>
      <c r="F48" s="848">
        <f t="shared" si="4"/>
        <v>2.6830434782608696</v>
      </c>
      <c r="G48" s="849">
        <f t="shared" si="5"/>
        <v>0.67076086956521741</v>
      </c>
      <c r="H48" s="847">
        <f t="shared" si="6"/>
        <v>617.1</v>
      </c>
      <c r="I48" s="847">
        <f t="shared" si="7"/>
        <v>51.425000000000004</v>
      </c>
      <c r="J48" s="848">
        <f t="shared" si="8"/>
        <v>2.6830434782608696</v>
      </c>
      <c r="K48" s="849">
        <f t="shared" si="9"/>
        <v>0.67076086956521741</v>
      </c>
      <c r="L48" s="858">
        <f>H48*95%</f>
        <v>586.245</v>
      </c>
      <c r="M48" s="847">
        <f t="shared" si="11"/>
        <v>48.853749999999998</v>
      </c>
      <c r="N48" s="848">
        <f t="shared" si="12"/>
        <v>2.5488913043478263</v>
      </c>
      <c r="O48" s="849">
        <f t="shared" si="13"/>
        <v>0.63722282608695657</v>
      </c>
      <c r="P48" s="857">
        <v>0.8</v>
      </c>
      <c r="Q48" s="850">
        <v>0.9</v>
      </c>
      <c r="R48" s="850">
        <v>1</v>
      </c>
      <c r="S48" s="850">
        <v>1</v>
      </c>
      <c r="T48" s="850">
        <v>1</v>
      </c>
      <c r="U48" s="850">
        <v>1</v>
      </c>
      <c r="V48" s="850">
        <v>1</v>
      </c>
      <c r="W48" s="850">
        <v>1</v>
      </c>
      <c r="X48" s="850">
        <v>1</v>
      </c>
      <c r="Y48" s="850">
        <v>1</v>
      </c>
      <c r="Z48" s="850">
        <v>1</v>
      </c>
      <c r="AA48" s="850">
        <v>1</v>
      </c>
      <c r="AB48" s="851">
        <f t="shared" si="14"/>
        <v>0.97499999999999998</v>
      </c>
      <c r="AC48" s="850">
        <v>1</v>
      </c>
      <c r="AD48" s="850">
        <v>1</v>
      </c>
      <c r="AE48" s="850">
        <v>1</v>
      </c>
      <c r="AF48" s="850">
        <v>1</v>
      </c>
      <c r="AG48" s="850">
        <v>1</v>
      </c>
      <c r="AH48" s="850">
        <v>1</v>
      </c>
      <c r="AI48" s="850">
        <v>1</v>
      </c>
      <c r="AJ48" s="850">
        <v>1</v>
      </c>
      <c r="AK48" s="850">
        <v>1</v>
      </c>
      <c r="AL48" s="850">
        <v>1</v>
      </c>
      <c r="AM48" s="850">
        <v>1</v>
      </c>
      <c r="AN48" s="850">
        <v>1</v>
      </c>
      <c r="AO48" s="851">
        <f t="shared" si="15"/>
        <v>0.99999999999999978</v>
      </c>
      <c r="AP48" s="850">
        <v>1</v>
      </c>
      <c r="AQ48" s="850">
        <v>1</v>
      </c>
      <c r="AR48" s="850">
        <v>1</v>
      </c>
      <c r="AS48" s="850">
        <v>1</v>
      </c>
      <c r="AT48" s="850">
        <v>1</v>
      </c>
      <c r="AU48" s="850">
        <v>1</v>
      </c>
      <c r="AV48" s="850">
        <v>1</v>
      </c>
      <c r="AW48" s="850">
        <v>1</v>
      </c>
      <c r="AX48" s="850">
        <v>1</v>
      </c>
      <c r="AY48" s="850">
        <v>1</v>
      </c>
      <c r="AZ48" s="850">
        <v>1</v>
      </c>
      <c r="BA48" s="850">
        <v>1</v>
      </c>
      <c r="BB48" s="851">
        <f t="shared" si="16"/>
        <v>1</v>
      </c>
      <c r="BC48" s="853">
        <f t="shared" si="17"/>
        <v>41.140000000000008</v>
      </c>
      <c r="BD48" s="853">
        <f t="shared" si="17"/>
        <v>46.282500000000006</v>
      </c>
      <c r="BE48" s="853">
        <f t="shared" si="17"/>
        <v>51.425000000000004</v>
      </c>
      <c r="BF48" s="853">
        <f t="shared" si="26"/>
        <v>51.425000000000004</v>
      </c>
      <c r="BG48" s="853">
        <f t="shared" si="26"/>
        <v>51.425000000000004</v>
      </c>
      <c r="BH48" s="853">
        <f t="shared" si="26"/>
        <v>51.425000000000004</v>
      </c>
      <c r="BI48" s="853">
        <f t="shared" si="26"/>
        <v>51.425000000000004</v>
      </c>
      <c r="BJ48" s="853">
        <f t="shared" si="26"/>
        <v>51.425000000000004</v>
      </c>
      <c r="BK48" s="853">
        <f t="shared" si="26"/>
        <v>51.425000000000004</v>
      </c>
      <c r="BL48" s="853">
        <f t="shared" si="26"/>
        <v>51.425000000000004</v>
      </c>
      <c r="BM48" s="853">
        <f t="shared" si="26"/>
        <v>51.425000000000004</v>
      </c>
      <c r="BN48" s="853">
        <f t="shared" si="26"/>
        <v>51.425000000000004</v>
      </c>
      <c r="BO48" s="854">
        <f t="shared" si="18"/>
        <v>601.67250000000001</v>
      </c>
      <c r="BP48" s="853">
        <f t="shared" si="19"/>
        <v>51.425000000000004</v>
      </c>
      <c r="BQ48" s="853">
        <f t="shared" si="19"/>
        <v>51.425000000000004</v>
      </c>
      <c r="BR48" s="853">
        <f t="shared" si="19"/>
        <v>51.425000000000004</v>
      </c>
      <c r="BS48" s="853">
        <f t="shared" si="27"/>
        <v>51.425000000000004</v>
      </c>
      <c r="BT48" s="853">
        <f t="shared" si="27"/>
        <v>51.425000000000004</v>
      </c>
      <c r="BU48" s="853">
        <f t="shared" si="27"/>
        <v>51.425000000000004</v>
      </c>
      <c r="BV48" s="853">
        <f t="shared" si="27"/>
        <v>51.425000000000004</v>
      </c>
      <c r="BW48" s="853">
        <f t="shared" si="27"/>
        <v>51.425000000000004</v>
      </c>
      <c r="BX48" s="853">
        <f t="shared" si="27"/>
        <v>51.425000000000004</v>
      </c>
      <c r="BY48" s="853">
        <f t="shared" si="27"/>
        <v>51.425000000000004</v>
      </c>
      <c r="BZ48" s="853">
        <f t="shared" si="27"/>
        <v>51.425000000000004</v>
      </c>
      <c r="CA48" s="853">
        <f t="shared" si="27"/>
        <v>51.425000000000004</v>
      </c>
      <c r="CB48" s="854">
        <f t="shared" si="20"/>
        <v>617.09999999999991</v>
      </c>
      <c r="CC48" s="853">
        <f t="shared" si="21"/>
        <v>48.853749999999998</v>
      </c>
      <c r="CD48" s="853">
        <f t="shared" si="21"/>
        <v>48.853749999999998</v>
      </c>
      <c r="CE48" s="853">
        <f t="shared" si="21"/>
        <v>48.853749999999998</v>
      </c>
      <c r="CF48" s="853">
        <f t="shared" si="28"/>
        <v>48.853749999999998</v>
      </c>
      <c r="CG48" s="853">
        <f t="shared" si="28"/>
        <v>48.853749999999998</v>
      </c>
      <c r="CH48" s="853">
        <f t="shared" si="28"/>
        <v>48.853749999999998</v>
      </c>
      <c r="CI48" s="853">
        <f t="shared" si="28"/>
        <v>48.853749999999998</v>
      </c>
      <c r="CJ48" s="853">
        <f t="shared" si="28"/>
        <v>48.853749999999998</v>
      </c>
      <c r="CK48" s="853">
        <f t="shared" si="28"/>
        <v>48.853749999999998</v>
      </c>
      <c r="CL48" s="853">
        <f t="shared" si="28"/>
        <v>48.853749999999998</v>
      </c>
      <c r="CM48" s="853">
        <f t="shared" si="28"/>
        <v>48.853749999999998</v>
      </c>
      <c r="CN48" s="853">
        <f t="shared" si="28"/>
        <v>48.853749999999998</v>
      </c>
      <c r="CO48" s="854">
        <f t="shared" si="22"/>
        <v>586.245</v>
      </c>
      <c r="CP48" s="855">
        <f t="shared" si="23"/>
        <v>1805.0174999999999</v>
      </c>
    </row>
    <row r="49" spans="1:94">
      <c r="A49" s="856">
        <v>36</v>
      </c>
      <c r="B49" s="846" t="s">
        <v>1697</v>
      </c>
      <c r="C49" s="847">
        <v>4</v>
      </c>
      <c r="D49" s="847">
        <f>'Xpert needs'!AA70</f>
        <v>708.9</v>
      </c>
      <c r="E49" s="847">
        <f t="shared" si="3"/>
        <v>59.074999999999996</v>
      </c>
      <c r="F49" s="848">
        <f t="shared" si="4"/>
        <v>3.0821739130434782</v>
      </c>
      <c r="G49" s="849">
        <f t="shared" si="5"/>
        <v>0.77054347826086955</v>
      </c>
      <c r="H49" s="847">
        <f t="shared" si="6"/>
        <v>708.9</v>
      </c>
      <c r="I49" s="847">
        <f t="shared" si="7"/>
        <v>59.074999999999996</v>
      </c>
      <c r="J49" s="848">
        <f t="shared" si="8"/>
        <v>3.0821739130434782</v>
      </c>
      <c r="K49" s="849">
        <f t="shared" si="9"/>
        <v>0.77054347826086955</v>
      </c>
      <c r="L49" s="858">
        <f>H49*95%</f>
        <v>673.45499999999993</v>
      </c>
      <c r="M49" s="847">
        <f t="shared" si="11"/>
        <v>56.121249999999996</v>
      </c>
      <c r="N49" s="848">
        <f t="shared" si="12"/>
        <v>2.9280652173913042</v>
      </c>
      <c r="O49" s="849">
        <f t="shared" si="13"/>
        <v>0.73201630434782605</v>
      </c>
      <c r="P49" s="857">
        <v>0.7</v>
      </c>
      <c r="Q49" s="850">
        <v>0.8</v>
      </c>
      <c r="R49" s="850">
        <v>0.9</v>
      </c>
      <c r="S49" s="850">
        <v>1</v>
      </c>
      <c r="T49" s="850">
        <v>1</v>
      </c>
      <c r="U49" s="850">
        <v>1</v>
      </c>
      <c r="V49" s="850">
        <v>1</v>
      </c>
      <c r="W49" s="850">
        <v>1</v>
      </c>
      <c r="X49" s="850">
        <v>1</v>
      </c>
      <c r="Y49" s="850">
        <v>1</v>
      </c>
      <c r="Z49" s="850">
        <v>1</v>
      </c>
      <c r="AA49" s="850">
        <v>1</v>
      </c>
      <c r="AB49" s="851">
        <f t="shared" si="14"/>
        <v>0.95000000000000007</v>
      </c>
      <c r="AC49" s="850">
        <v>1.1000000000000001</v>
      </c>
      <c r="AD49" s="850">
        <v>1.1499999999999999</v>
      </c>
      <c r="AE49" s="850">
        <v>1.2</v>
      </c>
      <c r="AF49" s="850">
        <v>1.1499999999999999</v>
      </c>
      <c r="AG49" s="850">
        <v>1.1000000000000001</v>
      </c>
      <c r="AH49" s="850">
        <v>1</v>
      </c>
      <c r="AI49" s="850">
        <v>1</v>
      </c>
      <c r="AJ49" s="850">
        <v>1</v>
      </c>
      <c r="AK49" s="850">
        <v>1</v>
      </c>
      <c r="AL49" s="850">
        <v>1</v>
      </c>
      <c r="AM49" s="850">
        <v>1</v>
      </c>
      <c r="AN49" s="850">
        <v>1</v>
      </c>
      <c r="AO49" s="851">
        <f t="shared" si="15"/>
        <v>1.0583333333333336</v>
      </c>
      <c r="AP49" s="850">
        <v>1</v>
      </c>
      <c r="AQ49" s="850">
        <v>1</v>
      </c>
      <c r="AR49" s="850">
        <v>1</v>
      </c>
      <c r="AS49" s="850">
        <v>1</v>
      </c>
      <c r="AT49" s="850">
        <v>1</v>
      </c>
      <c r="AU49" s="850">
        <v>1</v>
      </c>
      <c r="AV49" s="850">
        <v>1</v>
      </c>
      <c r="AW49" s="850">
        <v>1</v>
      </c>
      <c r="AX49" s="850">
        <v>1</v>
      </c>
      <c r="AY49" s="850">
        <v>1</v>
      </c>
      <c r="AZ49" s="850">
        <v>1</v>
      </c>
      <c r="BA49" s="850">
        <v>1</v>
      </c>
      <c r="BB49" s="851">
        <f t="shared" si="16"/>
        <v>1</v>
      </c>
      <c r="BC49" s="853">
        <f t="shared" si="17"/>
        <v>41.352499999999992</v>
      </c>
      <c r="BD49" s="853">
        <f t="shared" si="17"/>
        <v>47.26</v>
      </c>
      <c r="BE49" s="853">
        <f t="shared" si="17"/>
        <v>53.167499999999997</v>
      </c>
      <c r="BF49" s="853">
        <f t="shared" si="26"/>
        <v>59.074999999999996</v>
      </c>
      <c r="BG49" s="853">
        <f t="shared" si="26"/>
        <v>59.074999999999996</v>
      </c>
      <c r="BH49" s="853">
        <f t="shared" si="26"/>
        <v>59.074999999999996</v>
      </c>
      <c r="BI49" s="853">
        <f t="shared" si="26"/>
        <v>59.074999999999996</v>
      </c>
      <c r="BJ49" s="853">
        <f t="shared" si="26"/>
        <v>59.074999999999996</v>
      </c>
      <c r="BK49" s="853">
        <f t="shared" si="26"/>
        <v>59.074999999999996</v>
      </c>
      <c r="BL49" s="853">
        <f t="shared" si="26"/>
        <v>59.074999999999996</v>
      </c>
      <c r="BM49" s="853">
        <f t="shared" si="26"/>
        <v>59.074999999999996</v>
      </c>
      <c r="BN49" s="853">
        <f t="shared" si="26"/>
        <v>59.074999999999996</v>
      </c>
      <c r="BO49" s="854">
        <f t="shared" si="18"/>
        <v>673.45500000000004</v>
      </c>
      <c r="BP49" s="853">
        <f t="shared" si="19"/>
        <v>64.982500000000002</v>
      </c>
      <c r="BQ49" s="853">
        <f t="shared" si="19"/>
        <v>67.936249999999987</v>
      </c>
      <c r="BR49" s="853">
        <f t="shared" si="19"/>
        <v>70.889999999999986</v>
      </c>
      <c r="BS49" s="853">
        <f t="shared" si="27"/>
        <v>67.936249999999987</v>
      </c>
      <c r="BT49" s="853">
        <f t="shared" si="27"/>
        <v>64.982500000000002</v>
      </c>
      <c r="BU49" s="853">
        <f t="shared" si="27"/>
        <v>59.074999999999996</v>
      </c>
      <c r="BV49" s="853">
        <f t="shared" si="27"/>
        <v>59.074999999999996</v>
      </c>
      <c r="BW49" s="853">
        <f t="shared" si="27"/>
        <v>59.074999999999996</v>
      </c>
      <c r="BX49" s="853">
        <f t="shared" si="27"/>
        <v>59.074999999999996</v>
      </c>
      <c r="BY49" s="853">
        <f t="shared" si="27"/>
        <v>59.074999999999996</v>
      </c>
      <c r="BZ49" s="853">
        <f t="shared" si="27"/>
        <v>59.074999999999996</v>
      </c>
      <c r="CA49" s="853">
        <f t="shared" si="27"/>
        <v>59.074999999999996</v>
      </c>
      <c r="CB49" s="854">
        <f t="shared" si="20"/>
        <v>750.25250000000017</v>
      </c>
      <c r="CC49" s="853">
        <f t="shared" si="21"/>
        <v>56.121249999999996</v>
      </c>
      <c r="CD49" s="853">
        <f t="shared" si="21"/>
        <v>56.121249999999996</v>
      </c>
      <c r="CE49" s="853">
        <f t="shared" si="21"/>
        <v>56.121249999999996</v>
      </c>
      <c r="CF49" s="853">
        <f t="shared" si="28"/>
        <v>56.121249999999996</v>
      </c>
      <c r="CG49" s="853">
        <f t="shared" si="28"/>
        <v>56.121249999999996</v>
      </c>
      <c r="CH49" s="853">
        <f t="shared" si="28"/>
        <v>56.121249999999996</v>
      </c>
      <c r="CI49" s="853">
        <f t="shared" si="28"/>
        <v>56.121249999999996</v>
      </c>
      <c r="CJ49" s="853">
        <f t="shared" si="28"/>
        <v>56.121249999999996</v>
      </c>
      <c r="CK49" s="853">
        <f t="shared" si="28"/>
        <v>56.121249999999996</v>
      </c>
      <c r="CL49" s="853">
        <f t="shared" si="28"/>
        <v>56.121249999999996</v>
      </c>
      <c r="CM49" s="853">
        <f t="shared" si="28"/>
        <v>56.121249999999996</v>
      </c>
      <c r="CN49" s="853">
        <f t="shared" si="28"/>
        <v>56.121249999999996</v>
      </c>
      <c r="CO49" s="854">
        <f t="shared" si="22"/>
        <v>673.45499999999993</v>
      </c>
      <c r="CP49" s="855">
        <f t="shared" si="23"/>
        <v>2097.1625000000004</v>
      </c>
    </row>
    <row r="50" spans="1:94">
      <c r="A50" s="845">
        <v>37</v>
      </c>
      <c r="B50" s="846" t="s">
        <v>944</v>
      </c>
      <c r="C50" s="847">
        <v>2</v>
      </c>
      <c r="D50" s="847">
        <f>'Xpert needs'!AA71</f>
        <v>409.5</v>
      </c>
      <c r="E50" s="847">
        <f t="shared" si="3"/>
        <v>34.125</v>
      </c>
      <c r="F50" s="848">
        <f t="shared" si="4"/>
        <v>1.7804347826086957</v>
      </c>
      <c r="G50" s="849">
        <f t="shared" si="5"/>
        <v>0.89021739130434785</v>
      </c>
      <c r="H50" s="847">
        <f t="shared" si="6"/>
        <v>409.5</v>
      </c>
      <c r="I50" s="847">
        <f t="shared" si="7"/>
        <v>34.125</v>
      </c>
      <c r="J50" s="848">
        <f t="shared" si="8"/>
        <v>1.7804347826086957</v>
      </c>
      <c r="K50" s="849">
        <f t="shared" si="9"/>
        <v>0.89021739130434785</v>
      </c>
      <c r="L50" s="847">
        <f t="shared" si="10"/>
        <v>409.5</v>
      </c>
      <c r="M50" s="847">
        <f t="shared" si="11"/>
        <v>34.125</v>
      </c>
      <c r="N50" s="848">
        <f t="shared" si="12"/>
        <v>1.7804347826086957</v>
      </c>
      <c r="O50" s="849">
        <f t="shared" si="13"/>
        <v>0.89021739130434785</v>
      </c>
      <c r="P50" s="850"/>
      <c r="Q50" s="850"/>
      <c r="R50" s="850"/>
      <c r="S50" s="850"/>
      <c r="T50" s="850"/>
      <c r="U50" s="850"/>
      <c r="V50" s="850"/>
      <c r="W50" s="850"/>
      <c r="X50" s="850"/>
      <c r="Y50" s="850"/>
      <c r="Z50" s="850"/>
      <c r="AA50" s="850"/>
      <c r="AB50" s="851">
        <f t="shared" si="14"/>
        <v>0</v>
      </c>
      <c r="AC50" s="850"/>
      <c r="AD50" s="850"/>
      <c r="AE50" s="850"/>
      <c r="AF50" s="850"/>
      <c r="AG50" s="850"/>
      <c r="AH50" s="850"/>
      <c r="AI50" s="852">
        <v>0.1</v>
      </c>
      <c r="AJ50" s="850">
        <v>0.2</v>
      </c>
      <c r="AK50" s="850">
        <v>0.3</v>
      </c>
      <c r="AL50" s="850">
        <v>0.4</v>
      </c>
      <c r="AM50" s="850">
        <v>0.5</v>
      </c>
      <c r="AN50" s="850">
        <v>0.6</v>
      </c>
      <c r="AO50" s="851">
        <f t="shared" si="15"/>
        <v>0.17499999999999999</v>
      </c>
      <c r="AP50" s="850">
        <v>0.7</v>
      </c>
      <c r="AQ50" s="850">
        <v>0.8</v>
      </c>
      <c r="AR50" s="850">
        <v>0.9</v>
      </c>
      <c r="AS50" s="850">
        <v>1</v>
      </c>
      <c r="AT50" s="850">
        <v>1</v>
      </c>
      <c r="AU50" s="850">
        <v>1</v>
      </c>
      <c r="AV50" s="850">
        <v>1</v>
      </c>
      <c r="AW50" s="850">
        <v>1</v>
      </c>
      <c r="AX50" s="850">
        <v>1</v>
      </c>
      <c r="AY50" s="850">
        <v>1</v>
      </c>
      <c r="AZ50" s="850">
        <v>1</v>
      </c>
      <c r="BA50" s="850">
        <v>1</v>
      </c>
      <c r="BB50" s="851">
        <f t="shared" si="16"/>
        <v>0.95</v>
      </c>
      <c r="BC50" s="853">
        <f t="shared" si="17"/>
        <v>0</v>
      </c>
      <c r="BD50" s="853">
        <f t="shared" si="17"/>
        <v>0</v>
      </c>
      <c r="BE50" s="853">
        <f t="shared" si="17"/>
        <v>0</v>
      </c>
      <c r="BF50" s="853">
        <f t="shared" si="26"/>
        <v>0</v>
      </c>
      <c r="BG50" s="853">
        <f t="shared" si="26"/>
        <v>0</v>
      </c>
      <c r="BH50" s="853">
        <f t="shared" si="26"/>
        <v>0</v>
      </c>
      <c r="BI50" s="853">
        <f t="shared" si="26"/>
        <v>0</v>
      </c>
      <c r="BJ50" s="853">
        <f t="shared" si="26"/>
        <v>0</v>
      </c>
      <c r="BK50" s="853">
        <f t="shared" si="26"/>
        <v>0</v>
      </c>
      <c r="BL50" s="853">
        <f t="shared" si="26"/>
        <v>0</v>
      </c>
      <c r="BM50" s="853">
        <f t="shared" si="26"/>
        <v>0</v>
      </c>
      <c r="BN50" s="853">
        <f t="shared" si="26"/>
        <v>0</v>
      </c>
      <c r="BO50" s="854">
        <f t="shared" si="18"/>
        <v>0</v>
      </c>
      <c r="BP50" s="853">
        <f t="shared" si="19"/>
        <v>0</v>
      </c>
      <c r="BQ50" s="853">
        <f t="shared" si="19"/>
        <v>0</v>
      </c>
      <c r="BR50" s="853">
        <f t="shared" si="19"/>
        <v>0</v>
      </c>
      <c r="BS50" s="853">
        <f t="shared" si="27"/>
        <v>0</v>
      </c>
      <c r="BT50" s="853">
        <f t="shared" si="27"/>
        <v>0</v>
      </c>
      <c r="BU50" s="853">
        <f t="shared" si="27"/>
        <v>0</v>
      </c>
      <c r="BV50" s="853">
        <f t="shared" si="27"/>
        <v>3.4125000000000001</v>
      </c>
      <c r="BW50" s="853">
        <f t="shared" si="27"/>
        <v>6.8250000000000002</v>
      </c>
      <c r="BX50" s="853">
        <f t="shared" si="27"/>
        <v>10.237499999999999</v>
      </c>
      <c r="BY50" s="853">
        <f t="shared" si="27"/>
        <v>13.65</v>
      </c>
      <c r="BZ50" s="853">
        <f t="shared" si="27"/>
        <v>17.0625</v>
      </c>
      <c r="CA50" s="853">
        <f t="shared" si="27"/>
        <v>20.474999999999998</v>
      </c>
      <c r="CB50" s="854">
        <f t="shared" si="20"/>
        <v>71.662499999999994</v>
      </c>
      <c r="CC50" s="853">
        <f t="shared" si="21"/>
        <v>23.887499999999999</v>
      </c>
      <c r="CD50" s="853">
        <f t="shared" si="21"/>
        <v>27.3</v>
      </c>
      <c r="CE50" s="853">
        <f t="shared" si="21"/>
        <v>30.712500000000002</v>
      </c>
      <c r="CF50" s="853">
        <f t="shared" si="28"/>
        <v>34.125</v>
      </c>
      <c r="CG50" s="853">
        <f t="shared" si="28"/>
        <v>34.125</v>
      </c>
      <c r="CH50" s="853">
        <f t="shared" si="28"/>
        <v>34.125</v>
      </c>
      <c r="CI50" s="853">
        <f t="shared" si="28"/>
        <v>34.125</v>
      </c>
      <c r="CJ50" s="853">
        <f t="shared" si="28"/>
        <v>34.125</v>
      </c>
      <c r="CK50" s="853">
        <f t="shared" si="28"/>
        <v>34.125</v>
      </c>
      <c r="CL50" s="853">
        <f t="shared" si="28"/>
        <v>34.125</v>
      </c>
      <c r="CM50" s="853">
        <f t="shared" si="28"/>
        <v>34.125</v>
      </c>
      <c r="CN50" s="853">
        <f t="shared" si="28"/>
        <v>34.125</v>
      </c>
      <c r="CO50" s="854">
        <f t="shared" si="22"/>
        <v>389.02499999999998</v>
      </c>
      <c r="CP50" s="855">
        <f t="shared" si="23"/>
        <v>460.6875</v>
      </c>
    </row>
    <row r="51" spans="1:94">
      <c r="A51" s="845">
        <v>38</v>
      </c>
      <c r="B51" s="846" t="s">
        <v>945</v>
      </c>
      <c r="C51" s="847">
        <v>2</v>
      </c>
      <c r="D51" s="847">
        <f>'Xpert needs'!AA72</f>
        <v>255</v>
      </c>
      <c r="E51" s="847">
        <f t="shared" si="3"/>
        <v>21.25</v>
      </c>
      <c r="F51" s="848">
        <f t="shared" si="4"/>
        <v>1.1086956521739131</v>
      </c>
      <c r="G51" s="849">
        <f t="shared" si="5"/>
        <v>0.55434782608695654</v>
      </c>
      <c r="H51" s="847">
        <f t="shared" si="6"/>
        <v>255</v>
      </c>
      <c r="I51" s="847">
        <f t="shared" si="7"/>
        <v>21.25</v>
      </c>
      <c r="J51" s="848">
        <f t="shared" si="8"/>
        <v>1.1086956521739131</v>
      </c>
      <c r="K51" s="849">
        <f t="shared" si="9"/>
        <v>0.55434782608695654</v>
      </c>
      <c r="L51" s="847">
        <f t="shared" si="10"/>
        <v>255</v>
      </c>
      <c r="M51" s="847">
        <f t="shared" si="11"/>
        <v>21.25</v>
      </c>
      <c r="N51" s="848">
        <f t="shared" si="12"/>
        <v>1.1086956521739131</v>
      </c>
      <c r="O51" s="849">
        <f t="shared" si="13"/>
        <v>0.55434782608695654</v>
      </c>
      <c r="P51" s="850"/>
      <c r="Q51" s="850"/>
      <c r="R51" s="850"/>
      <c r="S51" s="850"/>
      <c r="T51" s="850"/>
      <c r="U51" s="850"/>
      <c r="V51" s="850"/>
      <c r="W51" s="850"/>
      <c r="X51" s="850"/>
      <c r="Y51" s="850"/>
      <c r="Z51" s="850"/>
      <c r="AA51" s="850"/>
      <c r="AB51" s="851">
        <f t="shared" si="14"/>
        <v>0</v>
      </c>
      <c r="AC51" s="850"/>
      <c r="AD51" s="850"/>
      <c r="AE51" s="850"/>
      <c r="AF51" s="850"/>
      <c r="AG51" s="850"/>
      <c r="AH51" s="850"/>
      <c r="AI51" s="852">
        <v>0.1</v>
      </c>
      <c r="AJ51" s="850">
        <v>0.2</v>
      </c>
      <c r="AK51" s="850">
        <v>0.3</v>
      </c>
      <c r="AL51" s="850">
        <v>0.4</v>
      </c>
      <c r="AM51" s="850">
        <v>0.5</v>
      </c>
      <c r="AN51" s="850">
        <v>0.6</v>
      </c>
      <c r="AO51" s="851">
        <f t="shared" si="15"/>
        <v>0.17499999999999999</v>
      </c>
      <c r="AP51" s="850">
        <v>0.7</v>
      </c>
      <c r="AQ51" s="850">
        <v>0.8</v>
      </c>
      <c r="AR51" s="850">
        <v>0.9</v>
      </c>
      <c r="AS51" s="850">
        <v>1</v>
      </c>
      <c r="AT51" s="850">
        <v>1</v>
      </c>
      <c r="AU51" s="850">
        <v>1</v>
      </c>
      <c r="AV51" s="850">
        <v>1</v>
      </c>
      <c r="AW51" s="850">
        <v>1</v>
      </c>
      <c r="AX51" s="850">
        <v>1</v>
      </c>
      <c r="AY51" s="850">
        <v>1</v>
      </c>
      <c r="AZ51" s="850">
        <v>1</v>
      </c>
      <c r="BA51" s="850">
        <v>1</v>
      </c>
      <c r="BB51" s="851">
        <f t="shared" si="16"/>
        <v>0.95</v>
      </c>
      <c r="BC51" s="853">
        <f t="shared" si="17"/>
        <v>0</v>
      </c>
      <c r="BD51" s="853">
        <f t="shared" si="17"/>
        <v>0</v>
      </c>
      <c r="BE51" s="853">
        <f t="shared" si="17"/>
        <v>0</v>
      </c>
      <c r="BF51" s="853">
        <f t="shared" si="26"/>
        <v>0</v>
      </c>
      <c r="BG51" s="853">
        <f t="shared" si="26"/>
        <v>0</v>
      </c>
      <c r="BH51" s="853">
        <f t="shared" si="26"/>
        <v>0</v>
      </c>
      <c r="BI51" s="853">
        <f t="shared" si="26"/>
        <v>0</v>
      </c>
      <c r="BJ51" s="853">
        <f t="shared" si="26"/>
        <v>0</v>
      </c>
      <c r="BK51" s="853">
        <f t="shared" si="26"/>
        <v>0</v>
      </c>
      <c r="BL51" s="853">
        <f t="shared" si="26"/>
        <v>0</v>
      </c>
      <c r="BM51" s="853">
        <f t="shared" si="26"/>
        <v>0</v>
      </c>
      <c r="BN51" s="853">
        <f t="shared" si="26"/>
        <v>0</v>
      </c>
      <c r="BO51" s="854">
        <f t="shared" si="18"/>
        <v>0</v>
      </c>
      <c r="BP51" s="853">
        <f t="shared" si="19"/>
        <v>0</v>
      </c>
      <c r="BQ51" s="853">
        <f t="shared" si="19"/>
        <v>0</v>
      </c>
      <c r="BR51" s="853">
        <f t="shared" si="19"/>
        <v>0</v>
      </c>
      <c r="BS51" s="853">
        <f t="shared" si="27"/>
        <v>0</v>
      </c>
      <c r="BT51" s="853">
        <f t="shared" si="27"/>
        <v>0</v>
      </c>
      <c r="BU51" s="853">
        <f t="shared" si="27"/>
        <v>0</v>
      </c>
      <c r="BV51" s="853">
        <f t="shared" si="27"/>
        <v>2.125</v>
      </c>
      <c r="BW51" s="853">
        <f t="shared" si="27"/>
        <v>4.25</v>
      </c>
      <c r="BX51" s="853">
        <f t="shared" si="27"/>
        <v>6.375</v>
      </c>
      <c r="BY51" s="853">
        <f t="shared" si="27"/>
        <v>8.5</v>
      </c>
      <c r="BZ51" s="853">
        <f t="shared" si="27"/>
        <v>10.625</v>
      </c>
      <c r="CA51" s="853">
        <f t="shared" si="27"/>
        <v>12.75</v>
      </c>
      <c r="CB51" s="854">
        <f t="shared" si="20"/>
        <v>44.625</v>
      </c>
      <c r="CC51" s="853">
        <f t="shared" si="21"/>
        <v>14.874999999999998</v>
      </c>
      <c r="CD51" s="853">
        <f t="shared" si="21"/>
        <v>17</v>
      </c>
      <c r="CE51" s="853">
        <f t="shared" si="21"/>
        <v>19.125</v>
      </c>
      <c r="CF51" s="853">
        <f t="shared" si="28"/>
        <v>21.25</v>
      </c>
      <c r="CG51" s="853">
        <f t="shared" si="28"/>
        <v>21.25</v>
      </c>
      <c r="CH51" s="853">
        <f t="shared" si="28"/>
        <v>21.25</v>
      </c>
      <c r="CI51" s="853">
        <f t="shared" si="28"/>
        <v>21.25</v>
      </c>
      <c r="CJ51" s="853">
        <f t="shared" si="28"/>
        <v>21.25</v>
      </c>
      <c r="CK51" s="853">
        <f t="shared" si="28"/>
        <v>21.25</v>
      </c>
      <c r="CL51" s="853">
        <f t="shared" si="28"/>
        <v>21.25</v>
      </c>
      <c r="CM51" s="853">
        <f t="shared" si="28"/>
        <v>21.25</v>
      </c>
      <c r="CN51" s="853">
        <f t="shared" si="28"/>
        <v>21.25</v>
      </c>
      <c r="CO51" s="854">
        <f t="shared" si="22"/>
        <v>242.25</v>
      </c>
      <c r="CP51" s="855">
        <f t="shared" si="23"/>
        <v>286.875</v>
      </c>
    </row>
    <row r="52" spans="1:94">
      <c r="A52" s="845">
        <v>39</v>
      </c>
      <c r="B52" s="846" t="s">
        <v>949</v>
      </c>
      <c r="C52" s="847">
        <v>2</v>
      </c>
      <c r="D52" s="847">
        <f>'Xpert needs'!AA76</f>
        <v>401</v>
      </c>
      <c r="E52" s="847">
        <f t="shared" si="3"/>
        <v>33.416666666666664</v>
      </c>
      <c r="F52" s="848">
        <f t="shared" si="4"/>
        <v>1.7434782608695651</v>
      </c>
      <c r="G52" s="849">
        <f t="shared" si="5"/>
        <v>0.87173913043478257</v>
      </c>
      <c r="H52" s="847">
        <f t="shared" si="6"/>
        <v>401</v>
      </c>
      <c r="I52" s="847">
        <f t="shared" si="7"/>
        <v>33.416666666666664</v>
      </c>
      <c r="J52" s="848">
        <f t="shared" si="8"/>
        <v>1.7434782608695651</v>
      </c>
      <c r="K52" s="849">
        <f t="shared" si="9"/>
        <v>0.87173913043478257</v>
      </c>
      <c r="L52" s="847">
        <f t="shared" si="10"/>
        <v>401</v>
      </c>
      <c r="M52" s="847">
        <f t="shared" si="11"/>
        <v>33.416666666666664</v>
      </c>
      <c r="N52" s="848">
        <f t="shared" si="12"/>
        <v>1.7434782608695651</v>
      </c>
      <c r="O52" s="849">
        <f t="shared" si="13"/>
        <v>0.87173913043478257</v>
      </c>
      <c r="P52" s="850"/>
      <c r="Q52" s="850"/>
      <c r="R52" s="850"/>
      <c r="S52" s="850"/>
      <c r="T52" s="850"/>
      <c r="U52" s="850"/>
      <c r="V52" s="850"/>
      <c r="W52" s="850"/>
      <c r="X52" s="850"/>
      <c r="Y52" s="850"/>
      <c r="Z52" s="850"/>
      <c r="AA52" s="850"/>
      <c r="AB52" s="851">
        <f t="shared" si="14"/>
        <v>0</v>
      </c>
      <c r="AC52" s="850"/>
      <c r="AD52" s="850"/>
      <c r="AE52" s="850"/>
      <c r="AF52" s="852">
        <v>0.1</v>
      </c>
      <c r="AG52" s="850">
        <v>0.2</v>
      </c>
      <c r="AH52" s="850">
        <v>0.3</v>
      </c>
      <c r="AI52" s="850">
        <v>0.4</v>
      </c>
      <c r="AJ52" s="850">
        <v>0.5</v>
      </c>
      <c r="AK52" s="850">
        <v>0.6</v>
      </c>
      <c r="AL52" s="850">
        <v>0.7</v>
      </c>
      <c r="AM52" s="850">
        <v>0.8</v>
      </c>
      <c r="AN52" s="850">
        <v>0.9</v>
      </c>
      <c r="AO52" s="851">
        <f t="shared" si="15"/>
        <v>0.375</v>
      </c>
      <c r="AP52" s="850">
        <v>1</v>
      </c>
      <c r="AQ52" s="850">
        <v>1</v>
      </c>
      <c r="AR52" s="850">
        <v>1</v>
      </c>
      <c r="AS52" s="850">
        <v>1</v>
      </c>
      <c r="AT52" s="850">
        <v>1</v>
      </c>
      <c r="AU52" s="850">
        <v>1</v>
      </c>
      <c r="AV52" s="850">
        <v>1</v>
      </c>
      <c r="AW52" s="850">
        <v>1</v>
      </c>
      <c r="AX52" s="850">
        <v>1</v>
      </c>
      <c r="AY52" s="850">
        <v>1</v>
      </c>
      <c r="AZ52" s="850">
        <v>1</v>
      </c>
      <c r="BA52" s="850">
        <v>1</v>
      </c>
      <c r="BB52" s="851">
        <f t="shared" si="16"/>
        <v>1.0000000000000002</v>
      </c>
      <c r="BC52" s="853">
        <f t="shared" si="17"/>
        <v>0</v>
      </c>
      <c r="BD52" s="853">
        <f t="shared" si="17"/>
        <v>0</v>
      </c>
      <c r="BE52" s="853">
        <f t="shared" si="17"/>
        <v>0</v>
      </c>
      <c r="BF52" s="853">
        <f t="shared" si="26"/>
        <v>0</v>
      </c>
      <c r="BG52" s="853">
        <f t="shared" si="26"/>
        <v>0</v>
      </c>
      <c r="BH52" s="853">
        <f t="shared" si="26"/>
        <v>0</v>
      </c>
      <c r="BI52" s="853">
        <f t="shared" si="26"/>
        <v>0</v>
      </c>
      <c r="BJ52" s="853">
        <f t="shared" si="26"/>
        <v>0</v>
      </c>
      <c r="BK52" s="853">
        <f t="shared" si="26"/>
        <v>0</v>
      </c>
      <c r="BL52" s="853">
        <f t="shared" si="26"/>
        <v>0</v>
      </c>
      <c r="BM52" s="853">
        <f t="shared" si="26"/>
        <v>0</v>
      </c>
      <c r="BN52" s="853">
        <f t="shared" si="26"/>
        <v>0</v>
      </c>
      <c r="BO52" s="854">
        <f t="shared" si="18"/>
        <v>0</v>
      </c>
      <c r="BP52" s="853">
        <f t="shared" si="19"/>
        <v>0</v>
      </c>
      <c r="BQ52" s="853">
        <f t="shared" si="19"/>
        <v>0</v>
      </c>
      <c r="BR52" s="853">
        <f t="shared" si="19"/>
        <v>0</v>
      </c>
      <c r="BS52" s="853">
        <f t="shared" si="27"/>
        <v>3.3416666666666668</v>
      </c>
      <c r="BT52" s="853">
        <f t="shared" si="27"/>
        <v>6.6833333333333336</v>
      </c>
      <c r="BU52" s="853">
        <f t="shared" si="27"/>
        <v>10.024999999999999</v>
      </c>
      <c r="BV52" s="853">
        <f t="shared" si="27"/>
        <v>13.366666666666667</v>
      </c>
      <c r="BW52" s="853">
        <f t="shared" si="27"/>
        <v>16.708333333333332</v>
      </c>
      <c r="BX52" s="853">
        <f t="shared" si="27"/>
        <v>20.049999999999997</v>
      </c>
      <c r="BY52" s="853">
        <f t="shared" si="27"/>
        <v>23.391666666666662</v>
      </c>
      <c r="BZ52" s="853">
        <f t="shared" si="27"/>
        <v>26.733333333333334</v>
      </c>
      <c r="CA52" s="853">
        <f t="shared" si="27"/>
        <v>30.074999999999999</v>
      </c>
      <c r="CB52" s="854">
        <f t="shared" si="20"/>
        <v>150.375</v>
      </c>
      <c r="CC52" s="853">
        <f t="shared" si="21"/>
        <v>33.416666666666664</v>
      </c>
      <c r="CD52" s="853">
        <f t="shared" si="21"/>
        <v>33.416666666666664</v>
      </c>
      <c r="CE52" s="853">
        <f t="shared" si="21"/>
        <v>33.416666666666664</v>
      </c>
      <c r="CF52" s="853">
        <f t="shared" si="28"/>
        <v>33.416666666666664</v>
      </c>
      <c r="CG52" s="853">
        <f t="shared" si="28"/>
        <v>33.416666666666664</v>
      </c>
      <c r="CH52" s="853">
        <f t="shared" si="28"/>
        <v>33.416666666666664</v>
      </c>
      <c r="CI52" s="853">
        <f t="shared" si="28"/>
        <v>33.416666666666664</v>
      </c>
      <c r="CJ52" s="853">
        <f t="shared" si="28"/>
        <v>33.416666666666664</v>
      </c>
      <c r="CK52" s="853">
        <f t="shared" si="28"/>
        <v>33.416666666666664</v>
      </c>
      <c r="CL52" s="853">
        <f t="shared" si="28"/>
        <v>33.416666666666664</v>
      </c>
      <c r="CM52" s="853">
        <f t="shared" si="28"/>
        <v>33.416666666666664</v>
      </c>
      <c r="CN52" s="853">
        <f t="shared" si="28"/>
        <v>33.416666666666664</v>
      </c>
      <c r="CO52" s="854">
        <f t="shared" si="22"/>
        <v>401.00000000000006</v>
      </c>
      <c r="CP52" s="855">
        <f t="shared" si="23"/>
        <v>551.375</v>
      </c>
    </row>
    <row r="53" spans="1:94">
      <c r="A53" s="845">
        <v>40</v>
      </c>
      <c r="B53" s="846" t="s">
        <v>952</v>
      </c>
      <c r="C53" s="847">
        <v>2</v>
      </c>
      <c r="D53" s="847">
        <f>'Xpert needs'!AA79</f>
        <v>255</v>
      </c>
      <c r="E53" s="847">
        <f t="shared" si="3"/>
        <v>21.25</v>
      </c>
      <c r="F53" s="848">
        <f t="shared" si="4"/>
        <v>1.1086956521739131</v>
      </c>
      <c r="G53" s="849">
        <f t="shared" si="5"/>
        <v>0.55434782608695654</v>
      </c>
      <c r="H53" s="847">
        <f t="shared" si="6"/>
        <v>255</v>
      </c>
      <c r="I53" s="847">
        <f t="shared" si="7"/>
        <v>21.25</v>
      </c>
      <c r="J53" s="848">
        <f t="shared" si="8"/>
        <v>1.1086956521739131</v>
      </c>
      <c r="K53" s="849">
        <f t="shared" si="9"/>
        <v>0.55434782608695654</v>
      </c>
      <c r="L53" s="847">
        <f t="shared" si="10"/>
        <v>255</v>
      </c>
      <c r="M53" s="847">
        <f t="shared" si="11"/>
        <v>21.25</v>
      </c>
      <c r="N53" s="848">
        <f t="shared" si="12"/>
        <v>1.1086956521739131</v>
      </c>
      <c r="O53" s="849">
        <f t="shared" si="13"/>
        <v>0.55434782608695654</v>
      </c>
      <c r="P53" s="850"/>
      <c r="Q53" s="850"/>
      <c r="R53" s="850"/>
      <c r="S53" s="850"/>
      <c r="T53" s="850"/>
      <c r="U53" s="850"/>
      <c r="V53" s="850"/>
      <c r="W53" s="850"/>
      <c r="X53" s="850"/>
      <c r="Y53" s="850"/>
      <c r="Z53" s="850"/>
      <c r="AA53" s="850"/>
      <c r="AB53" s="851">
        <f t="shared" si="14"/>
        <v>0</v>
      </c>
      <c r="AC53" s="850"/>
      <c r="AD53" s="850"/>
      <c r="AE53" s="850"/>
      <c r="AF53" s="852">
        <v>0.1</v>
      </c>
      <c r="AG53" s="850">
        <v>0.2</v>
      </c>
      <c r="AH53" s="850">
        <v>0.3</v>
      </c>
      <c r="AI53" s="850">
        <v>0.4</v>
      </c>
      <c r="AJ53" s="850">
        <v>0.5</v>
      </c>
      <c r="AK53" s="850">
        <v>0.6</v>
      </c>
      <c r="AL53" s="850">
        <v>0.7</v>
      </c>
      <c r="AM53" s="850">
        <v>0.8</v>
      </c>
      <c r="AN53" s="850">
        <v>0.9</v>
      </c>
      <c r="AO53" s="851">
        <f t="shared" si="15"/>
        <v>0.375</v>
      </c>
      <c r="AP53" s="850">
        <v>1</v>
      </c>
      <c r="AQ53" s="850">
        <v>1</v>
      </c>
      <c r="AR53" s="850">
        <v>1</v>
      </c>
      <c r="AS53" s="850">
        <v>1</v>
      </c>
      <c r="AT53" s="850">
        <v>1</v>
      </c>
      <c r="AU53" s="850">
        <v>1</v>
      </c>
      <c r="AV53" s="850">
        <v>1</v>
      </c>
      <c r="AW53" s="850">
        <v>1</v>
      </c>
      <c r="AX53" s="850">
        <v>1</v>
      </c>
      <c r="AY53" s="850">
        <v>1</v>
      </c>
      <c r="AZ53" s="850">
        <v>1</v>
      </c>
      <c r="BA53" s="850">
        <v>1</v>
      </c>
      <c r="BB53" s="851">
        <f t="shared" si="16"/>
        <v>1</v>
      </c>
      <c r="BC53" s="853">
        <f t="shared" si="17"/>
        <v>0</v>
      </c>
      <c r="BD53" s="853">
        <f t="shared" si="17"/>
        <v>0</v>
      </c>
      <c r="BE53" s="853">
        <f t="shared" si="17"/>
        <v>0</v>
      </c>
      <c r="BF53" s="853">
        <f t="shared" si="26"/>
        <v>0</v>
      </c>
      <c r="BG53" s="853">
        <f t="shared" si="26"/>
        <v>0</v>
      </c>
      <c r="BH53" s="853">
        <f t="shared" si="26"/>
        <v>0</v>
      </c>
      <c r="BI53" s="853">
        <f t="shared" si="26"/>
        <v>0</v>
      </c>
      <c r="BJ53" s="853">
        <f t="shared" si="26"/>
        <v>0</v>
      </c>
      <c r="BK53" s="853">
        <f t="shared" si="26"/>
        <v>0</v>
      </c>
      <c r="BL53" s="853">
        <f t="shared" si="26"/>
        <v>0</v>
      </c>
      <c r="BM53" s="853">
        <f t="shared" si="26"/>
        <v>0</v>
      </c>
      <c r="BN53" s="853">
        <f t="shared" si="26"/>
        <v>0</v>
      </c>
      <c r="BO53" s="854">
        <f t="shared" si="18"/>
        <v>0</v>
      </c>
      <c r="BP53" s="853">
        <f t="shared" si="19"/>
        <v>0</v>
      </c>
      <c r="BQ53" s="853">
        <f t="shared" si="19"/>
        <v>0</v>
      </c>
      <c r="BR53" s="853">
        <f t="shared" si="19"/>
        <v>0</v>
      </c>
      <c r="BS53" s="853">
        <f t="shared" si="27"/>
        <v>2.125</v>
      </c>
      <c r="BT53" s="853">
        <f t="shared" si="27"/>
        <v>4.25</v>
      </c>
      <c r="BU53" s="853">
        <f t="shared" si="27"/>
        <v>6.375</v>
      </c>
      <c r="BV53" s="853">
        <f t="shared" si="27"/>
        <v>8.5</v>
      </c>
      <c r="BW53" s="853">
        <f t="shared" si="27"/>
        <v>10.625</v>
      </c>
      <c r="BX53" s="853">
        <f t="shared" si="27"/>
        <v>12.75</v>
      </c>
      <c r="BY53" s="853">
        <f t="shared" si="27"/>
        <v>14.874999999999998</v>
      </c>
      <c r="BZ53" s="853">
        <f t="shared" si="27"/>
        <v>17</v>
      </c>
      <c r="CA53" s="853">
        <f t="shared" si="27"/>
        <v>19.125</v>
      </c>
      <c r="CB53" s="854">
        <f t="shared" si="20"/>
        <v>95.625</v>
      </c>
      <c r="CC53" s="853">
        <f t="shared" si="21"/>
        <v>21.25</v>
      </c>
      <c r="CD53" s="853">
        <f t="shared" si="21"/>
        <v>21.25</v>
      </c>
      <c r="CE53" s="853">
        <f t="shared" si="21"/>
        <v>21.25</v>
      </c>
      <c r="CF53" s="853">
        <f t="shared" si="28"/>
        <v>21.25</v>
      </c>
      <c r="CG53" s="853">
        <f t="shared" si="28"/>
        <v>21.25</v>
      </c>
      <c r="CH53" s="853">
        <f t="shared" si="28"/>
        <v>21.25</v>
      </c>
      <c r="CI53" s="853">
        <f t="shared" si="28"/>
        <v>21.25</v>
      </c>
      <c r="CJ53" s="853">
        <f t="shared" si="28"/>
        <v>21.25</v>
      </c>
      <c r="CK53" s="853">
        <f t="shared" si="28"/>
        <v>21.25</v>
      </c>
      <c r="CL53" s="853">
        <f t="shared" si="28"/>
        <v>21.25</v>
      </c>
      <c r="CM53" s="853">
        <f t="shared" si="28"/>
        <v>21.25</v>
      </c>
      <c r="CN53" s="853">
        <f t="shared" si="28"/>
        <v>21.25</v>
      </c>
      <c r="CO53" s="854">
        <f t="shared" si="22"/>
        <v>255</v>
      </c>
      <c r="CP53" s="855">
        <f t="shared" si="23"/>
        <v>350.625</v>
      </c>
    </row>
    <row r="54" spans="1:94">
      <c r="A54" s="845">
        <v>41</v>
      </c>
      <c r="B54" s="846" t="s">
        <v>953</v>
      </c>
      <c r="C54" s="847">
        <v>2</v>
      </c>
      <c r="D54" s="847">
        <f>'Xpert needs'!AA80</f>
        <v>420</v>
      </c>
      <c r="E54" s="847">
        <f t="shared" si="3"/>
        <v>35</v>
      </c>
      <c r="F54" s="848">
        <f t="shared" si="4"/>
        <v>1.826086956521739</v>
      </c>
      <c r="G54" s="849">
        <f t="shared" si="5"/>
        <v>0.91304347826086951</v>
      </c>
      <c r="H54" s="847">
        <f t="shared" si="6"/>
        <v>420</v>
      </c>
      <c r="I54" s="847">
        <f t="shared" si="7"/>
        <v>35</v>
      </c>
      <c r="J54" s="848">
        <f t="shared" si="8"/>
        <v>1.826086956521739</v>
      </c>
      <c r="K54" s="849">
        <f t="shared" si="9"/>
        <v>0.91304347826086951</v>
      </c>
      <c r="L54" s="847">
        <f t="shared" si="10"/>
        <v>420</v>
      </c>
      <c r="M54" s="847">
        <f t="shared" si="11"/>
        <v>35</v>
      </c>
      <c r="N54" s="848">
        <f t="shared" si="12"/>
        <v>1.826086956521739</v>
      </c>
      <c r="O54" s="849">
        <f t="shared" si="13"/>
        <v>0.91304347826086951</v>
      </c>
      <c r="P54" s="850"/>
      <c r="Q54" s="850"/>
      <c r="R54" s="850"/>
      <c r="S54" s="850"/>
      <c r="T54" s="850"/>
      <c r="U54" s="850"/>
      <c r="V54" s="850"/>
      <c r="W54" s="850"/>
      <c r="X54" s="850"/>
      <c r="Y54" s="850"/>
      <c r="Z54" s="850"/>
      <c r="AA54" s="850"/>
      <c r="AB54" s="851">
        <f t="shared" si="14"/>
        <v>0</v>
      </c>
      <c r="AC54" s="850"/>
      <c r="AD54" s="850"/>
      <c r="AE54" s="850"/>
      <c r="AF54" s="852">
        <v>0.1</v>
      </c>
      <c r="AG54" s="850">
        <v>0.2</v>
      </c>
      <c r="AH54" s="850">
        <v>0.3</v>
      </c>
      <c r="AI54" s="850">
        <v>0.4</v>
      </c>
      <c r="AJ54" s="850">
        <v>0.5</v>
      </c>
      <c r="AK54" s="850">
        <v>0.6</v>
      </c>
      <c r="AL54" s="850">
        <v>0.7</v>
      </c>
      <c r="AM54" s="850">
        <v>0.8</v>
      </c>
      <c r="AN54" s="850">
        <v>0.9</v>
      </c>
      <c r="AO54" s="851">
        <f t="shared" si="15"/>
        <v>0.375</v>
      </c>
      <c r="AP54" s="850">
        <v>1</v>
      </c>
      <c r="AQ54" s="850">
        <v>1</v>
      </c>
      <c r="AR54" s="850">
        <v>1</v>
      </c>
      <c r="AS54" s="850">
        <v>1</v>
      </c>
      <c r="AT54" s="850">
        <v>1</v>
      </c>
      <c r="AU54" s="850">
        <v>1</v>
      </c>
      <c r="AV54" s="850">
        <v>1</v>
      </c>
      <c r="AW54" s="850">
        <v>1</v>
      </c>
      <c r="AX54" s="850">
        <v>1</v>
      </c>
      <c r="AY54" s="850">
        <v>1</v>
      </c>
      <c r="AZ54" s="850">
        <v>1</v>
      </c>
      <c r="BA54" s="850">
        <v>1</v>
      </c>
      <c r="BB54" s="851">
        <f t="shared" si="16"/>
        <v>1</v>
      </c>
      <c r="BC54" s="853">
        <f t="shared" si="17"/>
        <v>0</v>
      </c>
      <c r="BD54" s="853">
        <f t="shared" si="17"/>
        <v>0</v>
      </c>
      <c r="BE54" s="853">
        <f t="shared" si="17"/>
        <v>0</v>
      </c>
      <c r="BF54" s="853">
        <f t="shared" si="26"/>
        <v>0</v>
      </c>
      <c r="BG54" s="853">
        <f t="shared" si="26"/>
        <v>0</v>
      </c>
      <c r="BH54" s="853">
        <f t="shared" si="26"/>
        <v>0</v>
      </c>
      <c r="BI54" s="853">
        <f t="shared" si="26"/>
        <v>0</v>
      </c>
      <c r="BJ54" s="853">
        <f t="shared" si="26"/>
        <v>0</v>
      </c>
      <c r="BK54" s="853">
        <f t="shared" si="26"/>
        <v>0</v>
      </c>
      <c r="BL54" s="853">
        <f t="shared" si="26"/>
        <v>0</v>
      </c>
      <c r="BM54" s="853">
        <f t="shared" si="26"/>
        <v>0</v>
      </c>
      <c r="BN54" s="853">
        <f t="shared" si="26"/>
        <v>0</v>
      </c>
      <c r="BO54" s="854">
        <f t="shared" si="18"/>
        <v>0</v>
      </c>
      <c r="BP54" s="853">
        <f t="shared" si="19"/>
        <v>0</v>
      </c>
      <c r="BQ54" s="853">
        <f t="shared" si="19"/>
        <v>0</v>
      </c>
      <c r="BR54" s="853">
        <f t="shared" si="19"/>
        <v>0</v>
      </c>
      <c r="BS54" s="853">
        <f t="shared" si="27"/>
        <v>3.5</v>
      </c>
      <c r="BT54" s="853">
        <f t="shared" si="27"/>
        <v>7</v>
      </c>
      <c r="BU54" s="853">
        <f t="shared" si="27"/>
        <v>10.5</v>
      </c>
      <c r="BV54" s="853">
        <f t="shared" si="27"/>
        <v>14</v>
      </c>
      <c r="BW54" s="853">
        <f t="shared" si="27"/>
        <v>17.5</v>
      </c>
      <c r="BX54" s="853">
        <f t="shared" si="27"/>
        <v>21</v>
      </c>
      <c r="BY54" s="853">
        <f t="shared" si="27"/>
        <v>24.5</v>
      </c>
      <c r="BZ54" s="853">
        <f t="shared" si="27"/>
        <v>28</v>
      </c>
      <c r="CA54" s="853">
        <f t="shared" si="27"/>
        <v>31.5</v>
      </c>
      <c r="CB54" s="854">
        <f t="shared" si="20"/>
        <v>157.5</v>
      </c>
      <c r="CC54" s="853">
        <f t="shared" si="21"/>
        <v>35</v>
      </c>
      <c r="CD54" s="853">
        <f t="shared" si="21"/>
        <v>35</v>
      </c>
      <c r="CE54" s="853">
        <f t="shared" si="21"/>
        <v>35</v>
      </c>
      <c r="CF54" s="853">
        <f t="shared" si="28"/>
        <v>35</v>
      </c>
      <c r="CG54" s="853">
        <f t="shared" si="28"/>
        <v>35</v>
      </c>
      <c r="CH54" s="853">
        <f t="shared" si="28"/>
        <v>35</v>
      </c>
      <c r="CI54" s="853">
        <f t="shared" si="28"/>
        <v>35</v>
      </c>
      <c r="CJ54" s="853">
        <f t="shared" si="28"/>
        <v>35</v>
      </c>
      <c r="CK54" s="853">
        <f t="shared" si="28"/>
        <v>35</v>
      </c>
      <c r="CL54" s="853">
        <f t="shared" si="28"/>
        <v>35</v>
      </c>
      <c r="CM54" s="853">
        <f t="shared" si="28"/>
        <v>35</v>
      </c>
      <c r="CN54" s="853">
        <f t="shared" si="28"/>
        <v>35</v>
      </c>
      <c r="CO54" s="854">
        <f t="shared" si="22"/>
        <v>420</v>
      </c>
      <c r="CP54" s="855">
        <f t="shared" si="23"/>
        <v>577.5</v>
      </c>
    </row>
    <row r="55" spans="1:94">
      <c r="A55" s="856">
        <v>42</v>
      </c>
      <c r="B55" s="846" t="s">
        <v>1698</v>
      </c>
      <c r="C55" s="847">
        <v>4</v>
      </c>
      <c r="D55" s="847">
        <f>'Xpert needs'!AA81*40%</f>
        <v>965.2600000000001</v>
      </c>
      <c r="E55" s="847">
        <f t="shared" si="3"/>
        <v>80.438333333333347</v>
      </c>
      <c r="F55" s="848">
        <f t="shared" si="4"/>
        <v>4.1967826086956528</v>
      </c>
      <c r="G55" s="849">
        <f t="shared" si="5"/>
        <v>1.0491956521739132</v>
      </c>
      <c r="H55" s="847">
        <f t="shared" si="6"/>
        <v>965.2600000000001</v>
      </c>
      <c r="I55" s="847">
        <f t="shared" si="7"/>
        <v>80.438333333333347</v>
      </c>
      <c r="J55" s="848">
        <f t="shared" si="8"/>
        <v>4.1967826086956528</v>
      </c>
      <c r="K55" s="849">
        <f t="shared" si="9"/>
        <v>1.0491956521739132</v>
      </c>
      <c r="L55" s="858">
        <f>H55*90%</f>
        <v>868.73400000000015</v>
      </c>
      <c r="M55" s="847">
        <f t="shared" si="11"/>
        <v>72.394500000000008</v>
      </c>
      <c r="N55" s="848">
        <f t="shared" si="12"/>
        <v>3.7771043478260875</v>
      </c>
      <c r="O55" s="849">
        <f t="shared" si="13"/>
        <v>0.94427608695652188</v>
      </c>
      <c r="P55" s="857">
        <v>1.2</v>
      </c>
      <c r="Q55" s="850">
        <v>1.3</v>
      </c>
      <c r="R55" s="850">
        <v>1.3</v>
      </c>
      <c r="S55" s="850">
        <v>1.25</v>
      </c>
      <c r="T55" s="850">
        <v>1.25</v>
      </c>
      <c r="U55" s="850">
        <v>1.25</v>
      </c>
      <c r="V55" s="850">
        <v>1.25</v>
      </c>
      <c r="W55" s="850">
        <v>1.25</v>
      </c>
      <c r="X55" s="850">
        <v>1.25</v>
      </c>
      <c r="Y55" s="850">
        <v>1.25</v>
      </c>
      <c r="Z55" s="850">
        <v>1.25</v>
      </c>
      <c r="AA55" s="850">
        <v>1.25</v>
      </c>
      <c r="AB55" s="851">
        <f t="shared" si="14"/>
        <v>1.2541666666666664</v>
      </c>
      <c r="AC55" s="850">
        <v>1.2</v>
      </c>
      <c r="AD55" s="850">
        <v>1.2</v>
      </c>
      <c r="AE55" s="850">
        <v>1.2</v>
      </c>
      <c r="AF55" s="850">
        <v>1.2</v>
      </c>
      <c r="AG55" s="850">
        <v>1.2</v>
      </c>
      <c r="AH55" s="850">
        <v>1.2</v>
      </c>
      <c r="AI55" s="850">
        <v>1.1499999999999999</v>
      </c>
      <c r="AJ55" s="850">
        <v>1.1000000000000001</v>
      </c>
      <c r="AK55" s="850">
        <v>1.05</v>
      </c>
      <c r="AL55" s="850">
        <v>1</v>
      </c>
      <c r="AM55" s="850">
        <v>1</v>
      </c>
      <c r="AN55" s="850">
        <v>1</v>
      </c>
      <c r="AO55" s="851">
        <f t="shared" si="15"/>
        <v>1.1250000000000002</v>
      </c>
      <c r="AP55" s="850">
        <v>1</v>
      </c>
      <c r="AQ55" s="850">
        <v>1</v>
      </c>
      <c r="AR55" s="850">
        <v>1</v>
      </c>
      <c r="AS55" s="850">
        <v>1</v>
      </c>
      <c r="AT55" s="850">
        <v>1</v>
      </c>
      <c r="AU55" s="850">
        <v>1</v>
      </c>
      <c r="AV55" s="850">
        <v>1</v>
      </c>
      <c r="AW55" s="850">
        <v>1</v>
      </c>
      <c r="AX55" s="850">
        <v>1</v>
      </c>
      <c r="AY55" s="850">
        <v>1</v>
      </c>
      <c r="AZ55" s="850">
        <v>1</v>
      </c>
      <c r="BA55" s="850">
        <v>1</v>
      </c>
      <c r="BB55" s="851">
        <f t="shared" si="16"/>
        <v>0.99999999999999989</v>
      </c>
      <c r="BC55" s="853">
        <f t="shared" si="17"/>
        <v>96.52600000000001</v>
      </c>
      <c r="BD55" s="853">
        <f t="shared" si="17"/>
        <v>104.56983333333335</v>
      </c>
      <c r="BE55" s="853">
        <f t="shared" si="17"/>
        <v>104.56983333333335</v>
      </c>
      <c r="BF55" s="853">
        <f t="shared" si="26"/>
        <v>100.54791666666668</v>
      </c>
      <c r="BG55" s="853">
        <f t="shared" si="26"/>
        <v>100.54791666666668</v>
      </c>
      <c r="BH55" s="853">
        <f t="shared" si="26"/>
        <v>100.54791666666668</v>
      </c>
      <c r="BI55" s="853">
        <f t="shared" si="26"/>
        <v>100.54791666666668</v>
      </c>
      <c r="BJ55" s="853">
        <f t="shared" si="26"/>
        <v>100.54791666666668</v>
      </c>
      <c r="BK55" s="853">
        <f t="shared" si="26"/>
        <v>100.54791666666668</v>
      </c>
      <c r="BL55" s="853">
        <f t="shared" si="26"/>
        <v>100.54791666666668</v>
      </c>
      <c r="BM55" s="853">
        <f t="shared" si="26"/>
        <v>100.54791666666668</v>
      </c>
      <c r="BN55" s="853">
        <f t="shared" si="26"/>
        <v>100.54791666666668</v>
      </c>
      <c r="BO55" s="854">
        <f t="shared" si="18"/>
        <v>1210.5969166666666</v>
      </c>
      <c r="BP55" s="853">
        <f t="shared" si="19"/>
        <v>96.52600000000001</v>
      </c>
      <c r="BQ55" s="853">
        <f t="shared" si="19"/>
        <v>96.52600000000001</v>
      </c>
      <c r="BR55" s="853">
        <f t="shared" si="19"/>
        <v>96.52600000000001</v>
      </c>
      <c r="BS55" s="853">
        <f t="shared" si="27"/>
        <v>96.52600000000001</v>
      </c>
      <c r="BT55" s="853">
        <f t="shared" si="27"/>
        <v>96.52600000000001</v>
      </c>
      <c r="BU55" s="853">
        <f t="shared" si="27"/>
        <v>96.52600000000001</v>
      </c>
      <c r="BV55" s="853">
        <f t="shared" si="27"/>
        <v>92.504083333333341</v>
      </c>
      <c r="BW55" s="853">
        <f t="shared" si="27"/>
        <v>88.482166666666686</v>
      </c>
      <c r="BX55" s="853">
        <f t="shared" si="27"/>
        <v>84.460250000000016</v>
      </c>
      <c r="BY55" s="853">
        <f t="shared" si="27"/>
        <v>80.438333333333347</v>
      </c>
      <c r="BZ55" s="853">
        <f t="shared" si="27"/>
        <v>80.438333333333347</v>
      </c>
      <c r="CA55" s="853">
        <f t="shared" si="27"/>
        <v>80.438333333333347</v>
      </c>
      <c r="CB55" s="854">
        <f t="shared" si="20"/>
        <v>1085.9175000000002</v>
      </c>
      <c r="CC55" s="853">
        <f t="shared" si="21"/>
        <v>72.394500000000008</v>
      </c>
      <c r="CD55" s="853">
        <f t="shared" si="21"/>
        <v>72.394500000000008</v>
      </c>
      <c r="CE55" s="853">
        <f t="shared" si="21"/>
        <v>72.394500000000008</v>
      </c>
      <c r="CF55" s="853">
        <f t="shared" si="28"/>
        <v>72.394500000000008</v>
      </c>
      <c r="CG55" s="853">
        <f t="shared" si="28"/>
        <v>72.394500000000008</v>
      </c>
      <c r="CH55" s="853">
        <f t="shared" si="28"/>
        <v>72.394500000000008</v>
      </c>
      <c r="CI55" s="853">
        <f t="shared" si="28"/>
        <v>72.394500000000008</v>
      </c>
      <c r="CJ55" s="853">
        <f t="shared" si="28"/>
        <v>72.394500000000008</v>
      </c>
      <c r="CK55" s="853">
        <f t="shared" si="28"/>
        <v>72.394500000000008</v>
      </c>
      <c r="CL55" s="853">
        <f t="shared" si="28"/>
        <v>72.394500000000008</v>
      </c>
      <c r="CM55" s="853">
        <f t="shared" si="28"/>
        <v>72.394500000000008</v>
      </c>
      <c r="CN55" s="853">
        <f t="shared" si="28"/>
        <v>72.394500000000008</v>
      </c>
      <c r="CO55" s="854">
        <f t="shared" si="22"/>
        <v>868.73400000000004</v>
      </c>
      <c r="CP55" s="855">
        <f t="shared" si="23"/>
        <v>3165.2484166666668</v>
      </c>
    </row>
    <row r="56" spans="1:94">
      <c r="A56" s="856">
        <v>43</v>
      </c>
      <c r="B56" s="846" t="s">
        <v>1699</v>
      </c>
      <c r="C56" s="847">
        <v>4</v>
      </c>
      <c r="D56" s="847">
        <f>'Xpert needs'!AA81*60%</f>
        <v>1447.89</v>
      </c>
      <c r="E56" s="847">
        <f t="shared" si="3"/>
        <v>120.65750000000001</v>
      </c>
      <c r="F56" s="848">
        <f t="shared" si="4"/>
        <v>6.2951739130434783</v>
      </c>
      <c r="G56" s="849">
        <f t="shared" si="5"/>
        <v>1.5737934782608696</v>
      </c>
      <c r="H56" s="847">
        <f t="shared" si="6"/>
        <v>1447.89</v>
      </c>
      <c r="I56" s="847">
        <f t="shared" si="7"/>
        <v>120.65750000000001</v>
      </c>
      <c r="J56" s="848">
        <f t="shared" si="8"/>
        <v>6.2951739130434783</v>
      </c>
      <c r="K56" s="849">
        <f t="shared" si="9"/>
        <v>1.5737934782608696</v>
      </c>
      <c r="L56" s="858">
        <f>H56*90%</f>
        <v>1303.1010000000001</v>
      </c>
      <c r="M56" s="847">
        <f t="shared" si="11"/>
        <v>108.59175</v>
      </c>
      <c r="N56" s="848">
        <f t="shared" si="12"/>
        <v>5.6656565217391313</v>
      </c>
      <c r="O56" s="849">
        <f t="shared" si="13"/>
        <v>1.4164141304347828</v>
      </c>
      <c r="P56" s="857">
        <f>P55</f>
        <v>1.2</v>
      </c>
      <c r="Q56" s="850">
        <f>Q55</f>
        <v>1.3</v>
      </c>
      <c r="R56" s="850">
        <f t="shared" ref="R56:AA56" si="29">R55</f>
        <v>1.3</v>
      </c>
      <c r="S56" s="850">
        <f t="shared" si="29"/>
        <v>1.25</v>
      </c>
      <c r="T56" s="850">
        <f t="shared" si="29"/>
        <v>1.25</v>
      </c>
      <c r="U56" s="850">
        <f t="shared" si="29"/>
        <v>1.25</v>
      </c>
      <c r="V56" s="850">
        <f t="shared" si="29"/>
        <v>1.25</v>
      </c>
      <c r="W56" s="850">
        <f t="shared" si="29"/>
        <v>1.25</v>
      </c>
      <c r="X56" s="850">
        <f t="shared" si="29"/>
        <v>1.25</v>
      </c>
      <c r="Y56" s="850">
        <f t="shared" si="29"/>
        <v>1.25</v>
      </c>
      <c r="Z56" s="850">
        <f t="shared" si="29"/>
        <v>1.25</v>
      </c>
      <c r="AA56" s="850">
        <f t="shared" si="29"/>
        <v>1.25</v>
      </c>
      <c r="AB56" s="851">
        <f t="shared" si="14"/>
        <v>1.2541666666666669</v>
      </c>
      <c r="AC56" s="850">
        <f t="shared" ref="AC56:AN56" si="30">AC55</f>
        <v>1.2</v>
      </c>
      <c r="AD56" s="850">
        <f t="shared" si="30"/>
        <v>1.2</v>
      </c>
      <c r="AE56" s="850">
        <f t="shared" si="30"/>
        <v>1.2</v>
      </c>
      <c r="AF56" s="850">
        <f t="shared" si="30"/>
        <v>1.2</v>
      </c>
      <c r="AG56" s="850">
        <f t="shared" si="30"/>
        <v>1.2</v>
      </c>
      <c r="AH56" s="850">
        <f t="shared" si="30"/>
        <v>1.2</v>
      </c>
      <c r="AI56" s="850">
        <f t="shared" si="30"/>
        <v>1.1499999999999999</v>
      </c>
      <c r="AJ56" s="850">
        <f t="shared" si="30"/>
        <v>1.1000000000000001</v>
      </c>
      <c r="AK56" s="850">
        <f t="shared" si="30"/>
        <v>1.05</v>
      </c>
      <c r="AL56" s="850">
        <f t="shared" si="30"/>
        <v>1</v>
      </c>
      <c r="AM56" s="850">
        <f t="shared" si="30"/>
        <v>1</v>
      </c>
      <c r="AN56" s="850">
        <f t="shared" si="30"/>
        <v>1</v>
      </c>
      <c r="AO56" s="851">
        <f t="shared" si="15"/>
        <v>1.125</v>
      </c>
      <c r="AP56" s="850">
        <v>1</v>
      </c>
      <c r="AQ56" s="850">
        <v>1</v>
      </c>
      <c r="AR56" s="850">
        <v>1</v>
      </c>
      <c r="AS56" s="850">
        <v>1</v>
      </c>
      <c r="AT56" s="850">
        <v>1</v>
      </c>
      <c r="AU56" s="850">
        <v>1</v>
      </c>
      <c r="AV56" s="850">
        <v>1</v>
      </c>
      <c r="AW56" s="850">
        <v>1</v>
      </c>
      <c r="AX56" s="850">
        <v>1</v>
      </c>
      <c r="AY56" s="850">
        <v>1</v>
      </c>
      <c r="AZ56" s="850">
        <v>1</v>
      </c>
      <c r="BA56" s="850">
        <v>1</v>
      </c>
      <c r="BB56" s="851">
        <f t="shared" si="16"/>
        <v>1.0000000000000002</v>
      </c>
      <c r="BC56" s="853">
        <f t="shared" si="17"/>
        <v>144.78900000000002</v>
      </c>
      <c r="BD56" s="853">
        <f t="shared" si="17"/>
        <v>156.85475000000002</v>
      </c>
      <c r="BE56" s="853">
        <f t="shared" si="17"/>
        <v>156.85475000000002</v>
      </c>
      <c r="BF56" s="853">
        <f t="shared" si="26"/>
        <v>150.82187500000001</v>
      </c>
      <c r="BG56" s="853">
        <f t="shared" si="26"/>
        <v>150.82187500000001</v>
      </c>
      <c r="BH56" s="853">
        <f t="shared" si="26"/>
        <v>150.82187500000001</v>
      </c>
      <c r="BI56" s="853">
        <f t="shared" si="26"/>
        <v>150.82187500000001</v>
      </c>
      <c r="BJ56" s="853">
        <f t="shared" si="26"/>
        <v>150.82187500000001</v>
      </c>
      <c r="BK56" s="853">
        <f t="shared" si="26"/>
        <v>150.82187500000001</v>
      </c>
      <c r="BL56" s="853">
        <f t="shared" si="26"/>
        <v>150.82187500000001</v>
      </c>
      <c r="BM56" s="853">
        <f t="shared" si="26"/>
        <v>150.82187500000001</v>
      </c>
      <c r="BN56" s="853">
        <f t="shared" si="26"/>
        <v>150.82187500000001</v>
      </c>
      <c r="BO56" s="854">
        <f t="shared" si="18"/>
        <v>1815.8953750000005</v>
      </c>
      <c r="BP56" s="853">
        <f t="shared" si="19"/>
        <v>144.78900000000002</v>
      </c>
      <c r="BQ56" s="853">
        <f t="shared" si="19"/>
        <v>144.78900000000002</v>
      </c>
      <c r="BR56" s="853">
        <f t="shared" si="19"/>
        <v>144.78900000000002</v>
      </c>
      <c r="BS56" s="853">
        <f t="shared" si="27"/>
        <v>144.78900000000002</v>
      </c>
      <c r="BT56" s="853">
        <f t="shared" si="27"/>
        <v>144.78900000000002</v>
      </c>
      <c r="BU56" s="853">
        <f t="shared" si="27"/>
        <v>144.78900000000002</v>
      </c>
      <c r="BV56" s="853">
        <f t="shared" si="27"/>
        <v>138.756125</v>
      </c>
      <c r="BW56" s="853">
        <f t="shared" si="27"/>
        <v>132.72325000000004</v>
      </c>
      <c r="BX56" s="853">
        <f t="shared" si="27"/>
        <v>126.69037500000002</v>
      </c>
      <c r="BY56" s="853">
        <f t="shared" si="27"/>
        <v>120.65750000000001</v>
      </c>
      <c r="BZ56" s="853">
        <f t="shared" si="27"/>
        <v>120.65750000000001</v>
      </c>
      <c r="CA56" s="853">
        <f t="shared" si="27"/>
        <v>120.65750000000001</v>
      </c>
      <c r="CB56" s="854">
        <f t="shared" si="20"/>
        <v>1628.87625</v>
      </c>
      <c r="CC56" s="853">
        <f t="shared" si="21"/>
        <v>108.59175</v>
      </c>
      <c r="CD56" s="853">
        <f t="shared" si="21"/>
        <v>108.59175</v>
      </c>
      <c r="CE56" s="853">
        <f t="shared" si="21"/>
        <v>108.59175</v>
      </c>
      <c r="CF56" s="853">
        <f t="shared" si="28"/>
        <v>108.59175</v>
      </c>
      <c r="CG56" s="853">
        <f t="shared" si="28"/>
        <v>108.59175</v>
      </c>
      <c r="CH56" s="853">
        <f t="shared" si="28"/>
        <v>108.59175</v>
      </c>
      <c r="CI56" s="853">
        <f t="shared" si="28"/>
        <v>108.59175</v>
      </c>
      <c r="CJ56" s="853">
        <f t="shared" si="28"/>
        <v>108.59175</v>
      </c>
      <c r="CK56" s="853">
        <f t="shared" si="28"/>
        <v>108.59175</v>
      </c>
      <c r="CL56" s="853">
        <f t="shared" si="28"/>
        <v>108.59175</v>
      </c>
      <c r="CM56" s="853">
        <f t="shared" si="28"/>
        <v>108.59175</v>
      </c>
      <c r="CN56" s="853">
        <f t="shared" si="28"/>
        <v>108.59175</v>
      </c>
      <c r="CO56" s="854">
        <f t="shared" si="22"/>
        <v>1303.1010000000003</v>
      </c>
      <c r="CP56" s="855">
        <f t="shared" si="23"/>
        <v>4747.8726250000009</v>
      </c>
    </row>
    <row r="57" spans="1:94">
      <c r="A57" s="845">
        <v>44</v>
      </c>
      <c r="B57" s="846" t="s">
        <v>1700</v>
      </c>
      <c r="C57" s="859">
        <v>2</v>
      </c>
      <c r="D57" s="847">
        <f>'Xpert needs'!AA83</f>
        <v>1088</v>
      </c>
      <c r="E57" s="847">
        <f t="shared" si="3"/>
        <v>90.666666666666671</v>
      </c>
      <c r="F57" s="848">
        <f t="shared" si="4"/>
        <v>4.7304347826086959</v>
      </c>
      <c r="G57" s="849">
        <f t="shared" si="5"/>
        <v>2.3652173913043479</v>
      </c>
      <c r="H57" s="847">
        <f t="shared" si="6"/>
        <v>1088</v>
      </c>
      <c r="I57" s="847">
        <f t="shared" si="7"/>
        <v>90.666666666666671</v>
      </c>
      <c r="J57" s="848">
        <f t="shared" si="8"/>
        <v>4.7304347826086959</v>
      </c>
      <c r="K57" s="849">
        <f t="shared" si="9"/>
        <v>2.3652173913043479</v>
      </c>
      <c r="L57" s="858">
        <f>H57*90%</f>
        <v>979.2</v>
      </c>
      <c r="M57" s="847">
        <f t="shared" si="11"/>
        <v>81.600000000000009</v>
      </c>
      <c r="N57" s="848">
        <f t="shared" si="12"/>
        <v>4.2573913043478262</v>
      </c>
      <c r="O57" s="849">
        <f t="shared" si="13"/>
        <v>2.1286956521739131</v>
      </c>
      <c r="P57" s="850"/>
      <c r="Q57" s="850"/>
      <c r="R57" s="850"/>
      <c r="S57" s="850"/>
      <c r="T57" s="850"/>
      <c r="U57" s="850"/>
      <c r="V57" s="850"/>
      <c r="W57" s="850"/>
      <c r="X57" s="850"/>
      <c r="Y57" s="850"/>
      <c r="Z57" s="850"/>
      <c r="AA57" s="850"/>
      <c r="AB57" s="851">
        <f t="shared" si="14"/>
        <v>0</v>
      </c>
      <c r="AC57" s="850"/>
      <c r="AD57" s="850"/>
      <c r="AE57" s="850"/>
      <c r="AF57" s="850"/>
      <c r="AG57" s="850"/>
      <c r="AH57" s="850"/>
      <c r="AI57" s="852">
        <v>0.1</v>
      </c>
      <c r="AJ57" s="850">
        <v>0.3</v>
      </c>
      <c r="AK57" s="850">
        <v>0.5</v>
      </c>
      <c r="AL57" s="850">
        <v>0.7</v>
      </c>
      <c r="AM57" s="850">
        <v>0.8</v>
      </c>
      <c r="AN57" s="850">
        <v>0.9</v>
      </c>
      <c r="AO57" s="851">
        <f t="shared" si="15"/>
        <v>0.27500000000000002</v>
      </c>
      <c r="AP57" s="850">
        <v>1</v>
      </c>
      <c r="AQ57" s="850">
        <v>1</v>
      </c>
      <c r="AR57" s="850">
        <v>1</v>
      </c>
      <c r="AS57" s="850">
        <v>1</v>
      </c>
      <c r="AT57" s="850">
        <v>1</v>
      </c>
      <c r="AU57" s="850">
        <v>1</v>
      </c>
      <c r="AV57" s="850">
        <v>1</v>
      </c>
      <c r="AW57" s="850">
        <v>1</v>
      </c>
      <c r="AX57" s="850">
        <v>1</v>
      </c>
      <c r="AY57" s="850">
        <v>1</v>
      </c>
      <c r="AZ57" s="850">
        <v>1</v>
      </c>
      <c r="BA57" s="850">
        <v>1</v>
      </c>
      <c r="BB57" s="851">
        <f t="shared" si="16"/>
        <v>1.0000000000000002</v>
      </c>
      <c r="BC57" s="853">
        <f t="shared" si="17"/>
        <v>0</v>
      </c>
      <c r="BD57" s="853">
        <f t="shared" si="17"/>
        <v>0</v>
      </c>
      <c r="BE57" s="853">
        <f t="shared" si="17"/>
        <v>0</v>
      </c>
      <c r="BF57" s="853">
        <f t="shared" si="26"/>
        <v>0</v>
      </c>
      <c r="BG57" s="853">
        <f t="shared" si="26"/>
        <v>0</v>
      </c>
      <c r="BH57" s="853">
        <f t="shared" si="26"/>
        <v>0</v>
      </c>
      <c r="BI57" s="853">
        <f t="shared" si="26"/>
        <v>0</v>
      </c>
      <c r="BJ57" s="853">
        <f t="shared" si="26"/>
        <v>0</v>
      </c>
      <c r="BK57" s="853">
        <f t="shared" si="26"/>
        <v>0</v>
      </c>
      <c r="BL57" s="853">
        <f t="shared" si="26"/>
        <v>0</v>
      </c>
      <c r="BM57" s="853">
        <f t="shared" si="26"/>
        <v>0</v>
      </c>
      <c r="BN57" s="853">
        <f t="shared" si="26"/>
        <v>0</v>
      </c>
      <c r="BO57" s="854">
        <f t="shared" si="18"/>
        <v>0</v>
      </c>
      <c r="BP57" s="853">
        <f t="shared" si="19"/>
        <v>0</v>
      </c>
      <c r="BQ57" s="853">
        <f t="shared" si="19"/>
        <v>0</v>
      </c>
      <c r="BR57" s="853">
        <f t="shared" si="19"/>
        <v>0</v>
      </c>
      <c r="BS57" s="853">
        <f t="shared" si="27"/>
        <v>0</v>
      </c>
      <c r="BT57" s="853">
        <f t="shared" si="27"/>
        <v>0</v>
      </c>
      <c r="BU57" s="853">
        <f t="shared" si="27"/>
        <v>0</v>
      </c>
      <c r="BV57" s="853">
        <f t="shared" si="27"/>
        <v>9.0666666666666682</v>
      </c>
      <c r="BW57" s="853">
        <f t="shared" si="27"/>
        <v>27.2</v>
      </c>
      <c r="BX57" s="853">
        <f t="shared" si="27"/>
        <v>45.333333333333336</v>
      </c>
      <c r="BY57" s="853">
        <f t="shared" si="27"/>
        <v>63.466666666666669</v>
      </c>
      <c r="BZ57" s="853">
        <f t="shared" si="27"/>
        <v>72.533333333333346</v>
      </c>
      <c r="CA57" s="853">
        <f t="shared" si="27"/>
        <v>81.600000000000009</v>
      </c>
      <c r="CB57" s="854">
        <f t="shared" si="20"/>
        <v>299.20000000000005</v>
      </c>
      <c r="CC57" s="853">
        <f t="shared" si="21"/>
        <v>81.600000000000009</v>
      </c>
      <c r="CD57" s="853">
        <f t="shared" si="21"/>
        <v>81.600000000000009</v>
      </c>
      <c r="CE57" s="853">
        <f t="shared" si="21"/>
        <v>81.600000000000009</v>
      </c>
      <c r="CF57" s="853">
        <f t="shared" si="28"/>
        <v>81.600000000000009</v>
      </c>
      <c r="CG57" s="853">
        <f t="shared" si="28"/>
        <v>81.600000000000009</v>
      </c>
      <c r="CH57" s="853">
        <f t="shared" si="28"/>
        <v>81.600000000000009</v>
      </c>
      <c r="CI57" s="853">
        <f t="shared" si="28"/>
        <v>81.600000000000009</v>
      </c>
      <c r="CJ57" s="853">
        <f t="shared" si="28"/>
        <v>81.600000000000009</v>
      </c>
      <c r="CK57" s="853">
        <f t="shared" si="28"/>
        <v>81.600000000000009</v>
      </c>
      <c r="CL57" s="853">
        <f t="shared" si="28"/>
        <v>81.600000000000009</v>
      </c>
      <c r="CM57" s="853">
        <f t="shared" si="28"/>
        <v>81.600000000000009</v>
      </c>
      <c r="CN57" s="853">
        <f t="shared" si="28"/>
        <v>81.600000000000009</v>
      </c>
      <c r="CO57" s="854">
        <f t="shared" si="22"/>
        <v>979.20000000000016</v>
      </c>
      <c r="CP57" s="855">
        <f t="shared" si="23"/>
        <v>1278.4000000000001</v>
      </c>
    </row>
    <row r="58" spans="1:94">
      <c r="A58" s="845">
        <v>45</v>
      </c>
      <c r="B58" s="846" t="s">
        <v>1701</v>
      </c>
      <c r="C58" s="859">
        <v>2</v>
      </c>
      <c r="D58" s="847">
        <f>'Xpert needs'!AA84</f>
        <v>1035.6000000000001</v>
      </c>
      <c r="E58" s="847">
        <f t="shared" si="3"/>
        <v>86.300000000000011</v>
      </c>
      <c r="F58" s="848">
        <f t="shared" si="4"/>
        <v>4.5026086956521745</v>
      </c>
      <c r="G58" s="849">
        <f t="shared" si="5"/>
        <v>2.2513043478260872</v>
      </c>
      <c r="H58" s="847">
        <f t="shared" si="6"/>
        <v>1035.6000000000001</v>
      </c>
      <c r="I58" s="847">
        <f t="shared" si="7"/>
        <v>86.300000000000011</v>
      </c>
      <c r="J58" s="848">
        <f t="shared" si="8"/>
        <v>4.5026086956521745</v>
      </c>
      <c r="K58" s="849">
        <f t="shared" si="9"/>
        <v>2.2513043478260872</v>
      </c>
      <c r="L58" s="858">
        <f>H58*90%</f>
        <v>932.04000000000019</v>
      </c>
      <c r="M58" s="847">
        <f t="shared" si="11"/>
        <v>77.670000000000016</v>
      </c>
      <c r="N58" s="848">
        <f t="shared" si="12"/>
        <v>4.0523478260869572</v>
      </c>
      <c r="O58" s="849">
        <f t="shared" si="13"/>
        <v>2.0261739130434786</v>
      </c>
      <c r="P58" s="850"/>
      <c r="Q58" s="850"/>
      <c r="R58" s="850"/>
      <c r="S58" s="850"/>
      <c r="T58" s="850"/>
      <c r="U58" s="850"/>
      <c r="V58" s="850"/>
      <c r="W58" s="850"/>
      <c r="X58" s="850"/>
      <c r="Y58" s="850"/>
      <c r="Z58" s="850"/>
      <c r="AA58" s="850"/>
      <c r="AB58" s="851">
        <f t="shared" si="14"/>
        <v>0</v>
      </c>
      <c r="AC58" s="850"/>
      <c r="AD58" s="850"/>
      <c r="AE58" s="850"/>
      <c r="AF58" s="850"/>
      <c r="AG58" s="850"/>
      <c r="AH58" s="850"/>
      <c r="AI58" s="852">
        <v>0.1</v>
      </c>
      <c r="AJ58" s="850">
        <v>0.3</v>
      </c>
      <c r="AK58" s="850">
        <v>0.5</v>
      </c>
      <c r="AL58" s="850">
        <v>0.7</v>
      </c>
      <c r="AM58" s="850">
        <v>0.8</v>
      </c>
      <c r="AN58" s="850">
        <v>0.9</v>
      </c>
      <c r="AO58" s="851">
        <f t="shared" si="15"/>
        <v>0.27499999999999997</v>
      </c>
      <c r="AP58" s="850">
        <v>1</v>
      </c>
      <c r="AQ58" s="850">
        <v>1</v>
      </c>
      <c r="AR58" s="850">
        <v>1</v>
      </c>
      <c r="AS58" s="850">
        <v>1</v>
      </c>
      <c r="AT58" s="850">
        <v>1</v>
      </c>
      <c r="AU58" s="850">
        <v>1</v>
      </c>
      <c r="AV58" s="850">
        <v>1</v>
      </c>
      <c r="AW58" s="850">
        <v>1</v>
      </c>
      <c r="AX58" s="850">
        <v>1</v>
      </c>
      <c r="AY58" s="850">
        <v>1</v>
      </c>
      <c r="AZ58" s="850">
        <v>1</v>
      </c>
      <c r="BA58" s="850">
        <v>1</v>
      </c>
      <c r="BB58" s="851">
        <f t="shared" si="16"/>
        <v>1.0000000000000002</v>
      </c>
      <c r="BC58" s="853">
        <f t="shared" si="17"/>
        <v>0</v>
      </c>
      <c r="BD58" s="853">
        <f t="shared" si="17"/>
        <v>0</v>
      </c>
      <c r="BE58" s="853">
        <f t="shared" si="17"/>
        <v>0</v>
      </c>
      <c r="BF58" s="853">
        <f t="shared" si="26"/>
        <v>0</v>
      </c>
      <c r="BG58" s="853">
        <f t="shared" si="26"/>
        <v>0</v>
      </c>
      <c r="BH58" s="853">
        <f t="shared" si="26"/>
        <v>0</v>
      </c>
      <c r="BI58" s="853">
        <f t="shared" si="26"/>
        <v>0</v>
      </c>
      <c r="BJ58" s="853">
        <f t="shared" si="26"/>
        <v>0</v>
      </c>
      <c r="BK58" s="853">
        <f t="shared" si="26"/>
        <v>0</v>
      </c>
      <c r="BL58" s="853">
        <f t="shared" si="26"/>
        <v>0</v>
      </c>
      <c r="BM58" s="853">
        <f t="shared" si="26"/>
        <v>0</v>
      </c>
      <c r="BN58" s="853">
        <f t="shared" si="26"/>
        <v>0</v>
      </c>
      <c r="BO58" s="854">
        <f t="shared" si="18"/>
        <v>0</v>
      </c>
      <c r="BP58" s="853">
        <f t="shared" si="19"/>
        <v>0</v>
      </c>
      <c r="BQ58" s="853">
        <f t="shared" si="19"/>
        <v>0</v>
      </c>
      <c r="BR58" s="853">
        <f t="shared" si="19"/>
        <v>0</v>
      </c>
      <c r="BS58" s="853">
        <f t="shared" si="27"/>
        <v>0</v>
      </c>
      <c r="BT58" s="853">
        <f t="shared" si="27"/>
        <v>0</v>
      </c>
      <c r="BU58" s="853">
        <f t="shared" si="27"/>
        <v>0</v>
      </c>
      <c r="BV58" s="853">
        <f t="shared" si="27"/>
        <v>8.6300000000000008</v>
      </c>
      <c r="BW58" s="853">
        <f t="shared" si="27"/>
        <v>25.890000000000004</v>
      </c>
      <c r="BX58" s="853">
        <f t="shared" si="27"/>
        <v>43.150000000000006</v>
      </c>
      <c r="BY58" s="853">
        <f t="shared" si="27"/>
        <v>60.410000000000004</v>
      </c>
      <c r="BZ58" s="853">
        <f t="shared" si="27"/>
        <v>69.040000000000006</v>
      </c>
      <c r="CA58" s="853">
        <f t="shared" si="27"/>
        <v>77.670000000000016</v>
      </c>
      <c r="CB58" s="854">
        <f t="shared" si="20"/>
        <v>284.79000000000002</v>
      </c>
      <c r="CC58" s="853">
        <f t="shared" si="21"/>
        <v>77.670000000000016</v>
      </c>
      <c r="CD58" s="853">
        <f t="shared" si="21"/>
        <v>77.670000000000016</v>
      </c>
      <c r="CE58" s="853">
        <f t="shared" si="21"/>
        <v>77.670000000000016</v>
      </c>
      <c r="CF58" s="853">
        <f t="shared" si="28"/>
        <v>77.670000000000016</v>
      </c>
      <c r="CG58" s="853">
        <f t="shared" si="28"/>
        <v>77.670000000000016</v>
      </c>
      <c r="CH58" s="853">
        <f t="shared" si="28"/>
        <v>77.670000000000016</v>
      </c>
      <c r="CI58" s="853">
        <f t="shared" si="28"/>
        <v>77.670000000000016</v>
      </c>
      <c r="CJ58" s="853">
        <f t="shared" si="28"/>
        <v>77.670000000000016</v>
      </c>
      <c r="CK58" s="853">
        <f t="shared" si="28"/>
        <v>77.670000000000016</v>
      </c>
      <c r="CL58" s="853">
        <f t="shared" si="28"/>
        <v>77.670000000000016</v>
      </c>
      <c r="CM58" s="853">
        <f t="shared" si="28"/>
        <v>77.670000000000016</v>
      </c>
      <c r="CN58" s="853">
        <f t="shared" si="28"/>
        <v>77.670000000000016</v>
      </c>
      <c r="CO58" s="854">
        <f t="shared" si="22"/>
        <v>932.04000000000042</v>
      </c>
      <c r="CP58" s="855">
        <f t="shared" si="23"/>
        <v>1216.8300000000004</v>
      </c>
    </row>
    <row r="59" spans="1:94">
      <c r="A59" s="845">
        <v>46</v>
      </c>
      <c r="B59" s="846" t="s">
        <v>1702</v>
      </c>
      <c r="C59" s="847">
        <v>2</v>
      </c>
      <c r="D59" s="847">
        <f>'Xpert needs'!AA85</f>
        <v>590.4</v>
      </c>
      <c r="E59" s="847">
        <f t="shared" si="3"/>
        <v>49.199999999999996</v>
      </c>
      <c r="F59" s="848">
        <f t="shared" si="4"/>
        <v>2.5669565217391304</v>
      </c>
      <c r="G59" s="849">
        <f t="shared" si="5"/>
        <v>1.2834782608695652</v>
      </c>
      <c r="H59" s="847">
        <f t="shared" si="6"/>
        <v>590.4</v>
      </c>
      <c r="I59" s="847">
        <f t="shared" si="7"/>
        <v>49.199999999999996</v>
      </c>
      <c r="J59" s="848">
        <f t="shared" si="8"/>
        <v>2.5669565217391304</v>
      </c>
      <c r="K59" s="849">
        <f t="shared" si="9"/>
        <v>1.2834782608695652</v>
      </c>
      <c r="L59" s="858">
        <f>H59*95%</f>
        <v>560.88</v>
      </c>
      <c r="M59" s="847">
        <f t="shared" si="11"/>
        <v>46.74</v>
      </c>
      <c r="N59" s="848">
        <f t="shared" si="12"/>
        <v>2.438608695652174</v>
      </c>
      <c r="O59" s="849">
        <f t="shared" si="13"/>
        <v>1.219304347826087</v>
      </c>
      <c r="P59" s="850"/>
      <c r="Q59" s="850"/>
      <c r="R59" s="850"/>
      <c r="S59" s="850"/>
      <c r="T59" s="850"/>
      <c r="U59" s="850"/>
      <c r="V59" s="850"/>
      <c r="W59" s="850"/>
      <c r="X59" s="850"/>
      <c r="Y59" s="850"/>
      <c r="Z59" s="850"/>
      <c r="AA59" s="850"/>
      <c r="AB59" s="851">
        <f t="shared" si="14"/>
        <v>0</v>
      </c>
      <c r="AC59" s="850"/>
      <c r="AD59" s="850"/>
      <c r="AE59" s="850"/>
      <c r="AF59" s="850"/>
      <c r="AG59" s="850"/>
      <c r="AH59" s="850"/>
      <c r="AI59" s="852">
        <v>0.1</v>
      </c>
      <c r="AJ59" s="850">
        <v>0.3</v>
      </c>
      <c r="AK59" s="850">
        <v>0.5</v>
      </c>
      <c r="AL59" s="850">
        <v>0.7</v>
      </c>
      <c r="AM59" s="850">
        <v>0.8</v>
      </c>
      <c r="AN59" s="850">
        <v>0.9</v>
      </c>
      <c r="AO59" s="851">
        <f t="shared" si="15"/>
        <v>0.27499999999999997</v>
      </c>
      <c r="AP59" s="850">
        <v>1</v>
      </c>
      <c r="AQ59" s="850">
        <v>1</v>
      </c>
      <c r="AR59" s="850">
        <v>1</v>
      </c>
      <c r="AS59" s="850">
        <v>1</v>
      </c>
      <c r="AT59" s="850">
        <v>1</v>
      </c>
      <c r="AU59" s="850">
        <v>1</v>
      </c>
      <c r="AV59" s="850">
        <v>1</v>
      </c>
      <c r="AW59" s="850">
        <v>1</v>
      </c>
      <c r="AX59" s="850">
        <v>1</v>
      </c>
      <c r="AY59" s="850">
        <v>1</v>
      </c>
      <c r="AZ59" s="850">
        <v>1</v>
      </c>
      <c r="BA59" s="850">
        <v>1</v>
      </c>
      <c r="BB59" s="851">
        <f t="shared" si="16"/>
        <v>1</v>
      </c>
      <c r="BC59" s="853">
        <f t="shared" si="17"/>
        <v>0</v>
      </c>
      <c r="BD59" s="853">
        <f t="shared" si="17"/>
        <v>0</v>
      </c>
      <c r="BE59" s="853">
        <f t="shared" si="17"/>
        <v>0</v>
      </c>
      <c r="BF59" s="853">
        <f t="shared" si="26"/>
        <v>0</v>
      </c>
      <c r="BG59" s="853">
        <f t="shared" si="26"/>
        <v>0</v>
      </c>
      <c r="BH59" s="853">
        <f t="shared" si="26"/>
        <v>0</v>
      </c>
      <c r="BI59" s="853">
        <f t="shared" si="26"/>
        <v>0</v>
      </c>
      <c r="BJ59" s="853">
        <f t="shared" si="26"/>
        <v>0</v>
      </c>
      <c r="BK59" s="853">
        <f t="shared" si="26"/>
        <v>0</v>
      </c>
      <c r="BL59" s="853">
        <f t="shared" si="26"/>
        <v>0</v>
      </c>
      <c r="BM59" s="853">
        <f t="shared" si="26"/>
        <v>0</v>
      </c>
      <c r="BN59" s="853">
        <f t="shared" si="26"/>
        <v>0</v>
      </c>
      <c r="BO59" s="854">
        <f t="shared" si="18"/>
        <v>0</v>
      </c>
      <c r="BP59" s="853">
        <f t="shared" si="19"/>
        <v>0</v>
      </c>
      <c r="BQ59" s="853">
        <f t="shared" si="19"/>
        <v>0</v>
      </c>
      <c r="BR59" s="853">
        <f t="shared" si="19"/>
        <v>0</v>
      </c>
      <c r="BS59" s="853">
        <f t="shared" si="27"/>
        <v>0</v>
      </c>
      <c r="BT59" s="853">
        <f t="shared" si="27"/>
        <v>0</v>
      </c>
      <c r="BU59" s="853">
        <f t="shared" si="27"/>
        <v>0</v>
      </c>
      <c r="BV59" s="853">
        <f t="shared" si="27"/>
        <v>4.92</v>
      </c>
      <c r="BW59" s="853">
        <f t="shared" si="27"/>
        <v>14.759999999999998</v>
      </c>
      <c r="BX59" s="853">
        <f t="shared" si="27"/>
        <v>24.599999999999998</v>
      </c>
      <c r="BY59" s="853">
        <f t="shared" si="27"/>
        <v>34.44</v>
      </c>
      <c r="BZ59" s="853">
        <f t="shared" si="27"/>
        <v>39.36</v>
      </c>
      <c r="CA59" s="853">
        <f t="shared" si="27"/>
        <v>44.279999999999994</v>
      </c>
      <c r="CB59" s="854">
        <f t="shared" si="20"/>
        <v>162.35999999999999</v>
      </c>
      <c r="CC59" s="853">
        <f t="shared" si="21"/>
        <v>46.74</v>
      </c>
      <c r="CD59" s="853">
        <f t="shared" si="21"/>
        <v>46.74</v>
      </c>
      <c r="CE59" s="853">
        <f t="shared" si="21"/>
        <v>46.74</v>
      </c>
      <c r="CF59" s="853">
        <f t="shared" si="28"/>
        <v>46.74</v>
      </c>
      <c r="CG59" s="853">
        <f t="shared" si="28"/>
        <v>46.74</v>
      </c>
      <c r="CH59" s="853">
        <f t="shared" si="28"/>
        <v>46.74</v>
      </c>
      <c r="CI59" s="853">
        <f t="shared" si="28"/>
        <v>46.74</v>
      </c>
      <c r="CJ59" s="853">
        <f t="shared" si="28"/>
        <v>46.74</v>
      </c>
      <c r="CK59" s="853">
        <f t="shared" si="28"/>
        <v>46.74</v>
      </c>
      <c r="CL59" s="853">
        <f t="shared" si="28"/>
        <v>46.74</v>
      </c>
      <c r="CM59" s="853">
        <f t="shared" si="28"/>
        <v>46.74</v>
      </c>
      <c r="CN59" s="853">
        <f t="shared" si="28"/>
        <v>46.74</v>
      </c>
      <c r="CO59" s="854">
        <f t="shared" si="22"/>
        <v>560.88</v>
      </c>
      <c r="CP59" s="855">
        <f t="shared" si="23"/>
        <v>723.24</v>
      </c>
    </row>
    <row r="60" spans="1:94">
      <c r="A60" s="845">
        <v>47</v>
      </c>
      <c r="B60" s="846" t="s">
        <v>1703</v>
      </c>
      <c r="C60" s="847">
        <v>2</v>
      </c>
      <c r="D60" s="847">
        <f>'Xpert needs'!AA86</f>
        <v>473.6</v>
      </c>
      <c r="E60" s="847">
        <f t="shared" si="3"/>
        <v>39.466666666666669</v>
      </c>
      <c r="F60" s="848">
        <f t="shared" si="4"/>
        <v>2.0591304347826087</v>
      </c>
      <c r="G60" s="849">
        <f t="shared" si="5"/>
        <v>1.0295652173913044</v>
      </c>
      <c r="H60" s="847">
        <f t="shared" si="6"/>
        <v>473.6</v>
      </c>
      <c r="I60" s="847">
        <f t="shared" si="7"/>
        <v>39.466666666666669</v>
      </c>
      <c r="J60" s="848">
        <f t="shared" si="8"/>
        <v>2.0591304347826087</v>
      </c>
      <c r="K60" s="849">
        <f t="shared" si="9"/>
        <v>1.0295652173913044</v>
      </c>
      <c r="L60" s="858">
        <f>H60*95%</f>
        <v>449.92</v>
      </c>
      <c r="M60" s="847">
        <f t="shared" si="11"/>
        <v>37.493333333333332</v>
      </c>
      <c r="N60" s="848">
        <f t="shared" si="12"/>
        <v>1.9561739130434783</v>
      </c>
      <c r="O60" s="849">
        <f t="shared" si="13"/>
        <v>0.97808695652173916</v>
      </c>
      <c r="P60" s="850"/>
      <c r="Q60" s="850"/>
      <c r="R60" s="850"/>
      <c r="S60" s="850"/>
      <c r="T60" s="850"/>
      <c r="U60" s="850"/>
      <c r="V60" s="850"/>
      <c r="W60" s="850"/>
      <c r="X60" s="850"/>
      <c r="Y60" s="850"/>
      <c r="Z60" s="850"/>
      <c r="AA60" s="850"/>
      <c r="AB60" s="851">
        <f t="shared" si="14"/>
        <v>0</v>
      </c>
      <c r="AC60" s="850"/>
      <c r="AD60" s="850"/>
      <c r="AE60" s="850"/>
      <c r="AF60" s="850"/>
      <c r="AG60" s="850"/>
      <c r="AH60" s="850"/>
      <c r="AI60" s="852">
        <v>0.1</v>
      </c>
      <c r="AJ60" s="850">
        <v>0.3</v>
      </c>
      <c r="AK60" s="850">
        <v>0.5</v>
      </c>
      <c r="AL60" s="850">
        <v>0.7</v>
      </c>
      <c r="AM60" s="850">
        <v>0.8</v>
      </c>
      <c r="AN60" s="850">
        <v>0.9</v>
      </c>
      <c r="AO60" s="851">
        <f t="shared" si="15"/>
        <v>0.27500000000000002</v>
      </c>
      <c r="AP60" s="850">
        <v>1</v>
      </c>
      <c r="AQ60" s="850">
        <v>1</v>
      </c>
      <c r="AR60" s="850">
        <v>1</v>
      </c>
      <c r="AS60" s="850">
        <v>1</v>
      </c>
      <c r="AT60" s="850">
        <v>1</v>
      </c>
      <c r="AU60" s="850">
        <v>1</v>
      </c>
      <c r="AV60" s="850">
        <v>1</v>
      </c>
      <c r="AW60" s="850">
        <v>1</v>
      </c>
      <c r="AX60" s="850">
        <v>1</v>
      </c>
      <c r="AY60" s="850">
        <v>1</v>
      </c>
      <c r="AZ60" s="850">
        <v>1</v>
      </c>
      <c r="BA60" s="850">
        <v>1</v>
      </c>
      <c r="BB60" s="851">
        <f t="shared" si="16"/>
        <v>1</v>
      </c>
      <c r="BC60" s="853">
        <f t="shared" si="17"/>
        <v>0</v>
      </c>
      <c r="BD60" s="853">
        <f t="shared" si="17"/>
        <v>0</v>
      </c>
      <c r="BE60" s="853">
        <f t="shared" si="17"/>
        <v>0</v>
      </c>
      <c r="BF60" s="853">
        <f t="shared" si="26"/>
        <v>0</v>
      </c>
      <c r="BG60" s="853">
        <f t="shared" si="26"/>
        <v>0</v>
      </c>
      <c r="BH60" s="853">
        <f t="shared" si="26"/>
        <v>0</v>
      </c>
      <c r="BI60" s="853">
        <f t="shared" si="26"/>
        <v>0</v>
      </c>
      <c r="BJ60" s="853">
        <f t="shared" si="26"/>
        <v>0</v>
      </c>
      <c r="BK60" s="853">
        <f t="shared" si="26"/>
        <v>0</v>
      </c>
      <c r="BL60" s="853">
        <f t="shared" si="26"/>
        <v>0</v>
      </c>
      <c r="BM60" s="853">
        <f t="shared" si="26"/>
        <v>0</v>
      </c>
      <c r="BN60" s="853">
        <f t="shared" si="26"/>
        <v>0</v>
      </c>
      <c r="BO60" s="854">
        <f t="shared" si="18"/>
        <v>0</v>
      </c>
      <c r="BP60" s="853">
        <f t="shared" si="19"/>
        <v>0</v>
      </c>
      <c r="BQ60" s="853">
        <f t="shared" si="19"/>
        <v>0</v>
      </c>
      <c r="BR60" s="853">
        <f t="shared" si="19"/>
        <v>0</v>
      </c>
      <c r="BS60" s="853">
        <f t="shared" si="27"/>
        <v>0</v>
      </c>
      <c r="BT60" s="853">
        <f t="shared" si="27"/>
        <v>0</v>
      </c>
      <c r="BU60" s="853">
        <f t="shared" si="27"/>
        <v>0</v>
      </c>
      <c r="BV60" s="853">
        <f t="shared" si="27"/>
        <v>3.9466666666666672</v>
      </c>
      <c r="BW60" s="853">
        <f t="shared" si="27"/>
        <v>11.84</v>
      </c>
      <c r="BX60" s="853">
        <f t="shared" si="27"/>
        <v>19.733333333333334</v>
      </c>
      <c r="BY60" s="853">
        <f t="shared" si="27"/>
        <v>27.626666666666665</v>
      </c>
      <c r="BZ60" s="853">
        <f t="shared" si="27"/>
        <v>31.573333333333338</v>
      </c>
      <c r="CA60" s="853">
        <f t="shared" si="27"/>
        <v>35.520000000000003</v>
      </c>
      <c r="CB60" s="854">
        <f t="shared" si="20"/>
        <v>130.24</v>
      </c>
      <c r="CC60" s="853">
        <f t="shared" si="21"/>
        <v>37.493333333333332</v>
      </c>
      <c r="CD60" s="853">
        <f t="shared" si="21"/>
        <v>37.493333333333332</v>
      </c>
      <c r="CE60" s="853">
        <f t="shared" si="21"/>
        <v>37.493333333333332</v>
      </c>
      <c r="CF60" s="853">
        <f t="shared" si="28"/>
        <v>37.493333333333332</v>
      </c>
      <c r="CG60" s="853">
        <f t="shared" si="28"/>
        <v>37.493333333333332</v>
      </c>
      <c r="CH60" s="853">
        <f t="shared" si="28"/>
        <v>37.493333333333332</v>
      </c>
      <c r="CI60" s="853">
        <f t="shared" si="28"/>
        <v>37.493333333333332</v>
      </c>
      <c r="CJ60" s="853">
        <f t="shared" si="28"/>
        <v>37.493333333333332</v>
      </c>
      <c r="CK60" s="853">
        <f t="shared" si="28"/>
        <v>37.493333333333332</v>
      </c>
      <c r="CL60" s="853">
        <f t="shared" si="28"/>
        <v>37.493333333333332</v>
      </c>
      <c r="CM60" s="853">
        <f t="shared" si="28"/>
        <v>37.493333333333332</v>
      </c>
      <c r="CN60" s="853">
        <f t="shared" si="28"/>
        <v>37.493333333333332</v>
      </c>
      <c r="CO60" s="854">
        <f t="shared" si="22"/>
        <v>449.92</v>
      </c>
      <c r="CP60" s="855">
        <f t="shared" si="23"/>
        <v>580.16000000000008</v>
      </c>
    </row>
    <row r="61" spans="1:94" s="838" customFormat="1" ht="15.75">
      <c r="A61" s="860"/>
      <c r="B61" s="860" t="s">
        <v>1706</v>
      </c>
      <c r="C61" s="861">
        <f>SUM(C14:C60)</f>
        <v>114</v>
      </c>
      <c r="D61" s="861">
        <f>SUM(D14:D60)</f>
        <v>25903.549999999992</v>
      </c>
      <c r="E61" s="861">
        <f>D61/12</f>
        <v>2158.6291666666662</v>
      </c>
      <c r="F61" s="862">
        <f t="shared" si="4"/>
        <v>112.62413043478257</v>
      </c>
      <c r="G61" s="863">
        <f t="shared" si="5"/>
        <v>0.98793096872616293</v>
      </c>
      <c r="H61" s="861">
        <f>SUM(H14:H60)</f>
        <v>25903.549999999992</v>
      </c>
      <c r="I61" s="861">
        <f>H61/12</f>
        <v>2158.6291666666662</v>
      </c>
      <c r="J61" s="862">
        <f t="shared" si="8"/>
        <v>112.62413043478257</v>
      </c>
      <c r="K61" s="863">
        <f>J61/C61</f>
        <v>0.98793096872616293</v>
      </c>
      <c r="L61" s="861">
        <f>SUM(L14:L60)</f>
        <v>24658.012499999997</v>
      </c>
      <c r="M61" s="861">
        <f>L61/12</f>
        <v>2054.8343749999999</v>
      </c>
      <c r="N61" s="862">
        <f t="shared" si="12"/>
        <v>107.20874999999998</v>
      </c>
      <c r="O61" s="863">
        <f>N61/C61</f>
        <v>0.94042763157894715</v>
      </c>
      <c r="P61" s="864"/>
      <c r="Q61" s="864"/>
      <c r="R61" s="864"/>
      <c r="S61" s="864"/>
      <c r="T61" s="864"/>
      <c r="U61" s="864"/>
      <c r="V61" s="864"/>
      <c r="W61" s="864"/>
      <c r="X61" s="864"/>
      <c r="Y61" s="864"/>
      <c r="Z61" s="864"/>
      <c r="AA61" s="864"/>
      <c r="AB61" s="865">
        <f t="shared" si="14"/>
        <v>0.47858207819648918</v>
      </c>
      <c r="AC61" s="864"/>
      <c r="AD61" s="864"/>
      <c r="AE61" s="864"/>
      <c r="AF61" s="864"/>
      <c r="AG61" s="864"/>
      <c r="AH61" s="864"/>
      <c r="AI61" s="864"/>
      <c r="AJ61" s="864"/>
      <c r="AK61" s="864"/>
      <c r="AL61" s="864"/>
      <c r="AM61" s="864"/>
      <c r="AN61" s="864"/>
      <c r="AO61" s="865">
        <f>CB61/$H61</f>
        <v>0.6953350023452386</v>
      </c>
      <c r="AP61" s="864"/>
      <c r="AQ61" s="864"/>
      <c r="AR61" s="864"/>
      <c r="AS61" s="864"/>
      <c r="AT61" s="864"/>
      <c r="AU61" s="864"/>
      <c r="AV61" s="864"/>
      <c r="AW61" s="864"/>
      <c r="AX61" s="864"/>
      <c r="AY61" s="864"/>
      <c r="AZ61" s="864"/>
      <c r="BA61" s="864"/>
      <c r="BB61" s="865">
        <f>CO61/$L61</f>
        <v>0.99709039810082023</v>
      </c>
      <c r="BC61" s="866">
        <f>SUM(BC14:BC60)</f>
        <v>950.00125000000003</v>
      </c>
      <c r="BD61" s="866">
        <f t="shared" ref="BD61:BN61" si="31">SUM(BD14:BD60)</f>
        <v>999.76750000000015</v>
      </c>
      <c r="BE61" s="866">
        <f t="shared" si="31"/>
        <v>1029.4241666666667</v>
      </c>
      <c r="BF61" s="866">
        <f t="shared" si="31"/>
        <v>1039.0252083333332</v>
      </c>
      <c r="BG61" s="866">
        <f t="shared" si="31"/>
        <v>1043.6152083333334</v>
      </c>
      <c r="BH61" s="866">
        <f t="shared" si="31"/>
        <v>1045.9102083333332</v>
      </c>
      <c r="BI61" s="866">
        <f t="shared" si="31"/>
        <v>1048.2052083333333</v>
      </c>
      <c r="BJ61" s="866">
        <f t="shared" si="31"/>
        <v>1048.2052083333333</v>
      </c>
      <c r="BK61" s="866">
        <f t="shared" si="31"/>
        <v>1048.2052083333333</v>
      </c>
      <c r="BL61" s="866">
        <f t="shared" si="31"/>
        <v>1048.2052083333333</v>
      </c>
      <c r="BM61" s="866">
        <f t="shared" si="31"/>
        <v>1048.2052083333333</v>
      </c>
      <c r="BN61" s="866">
        <f t="shared" si="31"/>
        <v>1048.2052083333333</v>
      </c>
      <c r="BO61" s="867">
        <f t="shared" si="18"/>
        <v>12396.974791666664</v>
      </c>
      <c r="BP61" s="866">
        <f>SUM(BP14:BP60)</f>
        <v>1059.8924999999999</v>
      </c>
      <c r="BQ61" s="866">
        <f t="shared" ref="BQ61:CA61" si="32">SUM(BQ14:BQ60)</f>
        <v>1105.8525</v>
      </c>
      <c r="BR61" s="866">
        <f t="shared" si="32"/>
        <v>1151.8125</v>
      </c>
      <c r="BS61" s="866">
        <f t="shared" si="32"/>
        <v>1217.8547916666664</v>
      </c>
      <c r="BT61" s="866">
        <f t="shared" si="32"/>
        <v>1294.4637500000001</v>
      </c>
      <c r="BU61" s="866">
        <f t="shared" si="32"/>
        <v>1368.1189583333337</v>
      </c>
      <c r="BV61" s="866">
        <f t="shared" si="32"/>
        <v>1491.2497916666666</v>
      </c>
      <c r="BW61" s="866">
        <f t="shared" si="32"/>
        <v>1628.4325000000001</v>
      </c>
      <c r="BX61" s="866">
        <f t="shared" si="32"/>
        <v>1765.6152083333332</v>
      </c>
      <c r="BY61" s="866">
        <f t="shared" si="32"/>
        <v>1902.7979166666669</v>
      </c>
      <c r="BZ61" s="866">
        <f t="shared" si="32"/>
        <v>1976.1174999999996</v>
      </c>
      <c r="CA61" s="866">
        <f t="shared" si="32"/>
        <v>2049.4370833333332</v>
      </c>
      <c r="CB61" s="867">
        <f t="shared" si="20"/>
        <v>18011.645</v>
      </c>
      <c r="CC61" s="866">
        <f>SUM(CC14:CC60)</f>
        <v>2018.9618750000002</v>
      </c>
      <c r="CD61" s="866">
        <f t="shared" ref="CD61:CN61" si="33">SUM(CD14:CD60)</f>
        <v>2030.9193750000002</v>
      </c>
      <c r="CE61" s="866">
        <f t="shared" si="33"/>
        <v>2042.8768750000004</v>
      </c>
      <c r="CF61" s="866">
        <f t="shared" si="33"/>
        <v>2054.8343749999999</v>
      </c>
      <c r="CG61" s="866">
        <f t="shared" si="33"/>
        <v>2054.8343749999999</v>
      </c>
      <c r="CH61" s="866">
        <f t="shared" si="33"/>
        <v>2054.8343749999999</v>
      </c>
      <c r="CI61" s="866">
        <f t="shared" si="33"/>
        <v>2054.8343749999999</v>
      </c>
      <c r="CJ61" s="866">
        <f t="shared" si="33"/>
        <v>2054.8343749999999</v>
      </c>
      <c r="CK61" s="866">
        <f t="shared" si="33"/>
        <v>2054.8343749999999</v>
      </c>
      <c r="CL61" s="866">
        <f t="shared" si="33"/>
        <v>2054.8343749999999</v>
      </c>
      <c r="CM61" s="866">
        <f t="shared" si="33"/>
        <v>2054.8343749999999</v>
      </c>
      <c r="CN61" s="866">
        <f t="shared" si="33"/>
        <v>2054.8343749999999</v>
      </c>
      <c r="CO61" s="867">
        <f t="shared" si="22"/>
        <v>24586.267499999998</v>
      </c>
      <c r="CP61" s="868">
        <f t="shared" si="23"/>
        <v>54994.887291666659</v>
      </c>
    </row>
    <row r="62" spans="1:94">
      <c r="A62" s="856">
        <v>48</v>
      </c>
      <c r="B62" s="846" t="s">
        <v>1333</v>
      </c>
      <c r="C62" s="847">
        <v>4</v>
      </c>
      <c r="D62" s="847">
        <f>'Xpert needs'!AA88*25%</f>
        <v>971.38312500000006</v>
      </c>
      <c r="E62" s="847">
        <f t="shared" si="3"/>
        <v>80.948593750000001</v>
      </c>
      <c r="F62" s="848">
        <f t="shared" si="4"/>
        <v>4.223404891304348</v>
      </c>
      <c r="G62" s="849">
        <f t="shared" si="5"/>
        <v>1.055851222826087</v>
      </c>
      <c r="H62" s="847">
        <f t="shared" si="6"/>
        <v>971.38312500000006</v>
      </c>
      <c r="I62" s="847">
        <f t="shared" ref="I62:I65" si="34">H62/12</f>
        <v>80.948593750000001</v>
      </c>
      <c r="J62" s="848">
        <f t="shared" si="8"/>
        <v>4.223404891304348</v>
      </c>
      <c r="K62" s="849">
        <f t="shared" si="9"/>
        <v>1.055851222826087</v>
      </c>
      <c r="L62" s="858">
        <f>H62*90%</f>
        <v>874.24481250000008</v>
      </c>
      <c r="M62" s="847">
        <f t="shared" ref="M62:M65" si="35">L62/12</f>
        <v>72.853734375000002</v>
      </c>
      <c r="N62" s="848">
        <f t="shared" si="12"/>
        <v>3.8010644021739135</v>
      </c>
      <c r="O62" s="849">
        <f t="shared" ref="O62:O65" si="36">N62/C62</f>
        <v>0.95026610054347838</v>
      </c>
      <c r="P62" s="857">
        <v>1.8</v>
      </c>
      <c r="Q62" s="850">
        <v>1.8</v>
      </c>
      <c r="R62" s="850">
        <v>1.8</v>
      </c>
      <c r="S62" s="850">
        <v>1.8</v>
      </c>
      <c r="T62" s="850">
        <v>1.8</v>
      </c>
      <c r="U62" s="850">
        <v>1.8</v>
      </c>
      <c r="V62" s="850">
        <v>1.75</v>
      </c>
      <c r="W62" s="850">
        <v>1.75</v>
      </c>
      <c r="X62" s="850">
        <v>1.75</v>
      </c>
      <c r="Y62" s="850">
        <v>1.75</v>
      </c>
      <c r="Z62" s="850">
        <v>1.75</v>
      </c>
      <c r="AA62" s="850">
        <v>1.75</v>
      </c>
      <c r="AB62" s="851">
        <f t="shared" si="14"/>
        <v>1.7749999999999992</v>
      </c>
      <c r="AC62" s="850">
        <v>1.7</v>
      </c>
      <c r="AD62" s="850">
        <v>1.7</v>
      </c>
      <c r="AE62" s="850">
        <v>1.65</v>
      </c>
      <c r="AF62" s="850">
        <v>1.65</v>
      </c>
      <c r="AG62" s="850">
        <v>1.6</v>
      </c>
      <c r="AH62" s="850">
        <v>1.6</v>
      </c>
      <c r="AI62" s="850">
        <v>1.5</v>
      </c>
      <c r="AJ62" s="850">
        <v>1.4</v>
      </c>
      <c r="AK62" s="850">
        <v>1.3</v>
      </c>
      <c r="AL62" s="850">
        <v>1.2</v>
      </c>
      <c r="AM62" s="850">
        <v>1.1000000000000001</v>
      </c>
      <c r="AN62" s="850">
        <v>1</v>
      </c>
      <c r="AO62" s="851">
        <f t="shared" ref="AO62:AO65" si="37">CB62/$H62</f>
        <v>1.45</v>
      </c>
      <c r="AP62" s="850">
        <v>1</v>
      </c>
      <c r="AQ62" s="850">
        <v>1</v>
      </c>
      <c r="AR62" s="850">
        <v>1</v>
      </c>
      <c r="AS62" s="850">
        <v>1</v>
      </c>
      <c r="AT62" s="850">
        <v>1</v>
      </c>
      <c r="AU62" s="850">
        <v>1</v>
      </c>
      <c r="AV62" s="850">
        <v>1</v>
      </c>
      <c r="AW62" s="850">
        <v>1</v>
      </c>
      <c r="AX62" s="850">
        <v>1</v>
      </c>
      <c r="AY62" s="850">
        <v>1</v>
      </c>
      <c r="AZ62" s="850">
        <v>1</v>
      </c>
      <c r="BA62" s="850">
        <v>1</v>
      </c>
      <c r="BB62" s="851">
        <f t="shared" ref="BB62:BB65" si="38">CO62/$L62</f>
        <v>1.0000000000000002</v>
      </c>
      <c r="BC62" s="853">
        <f t="shared" ref="BC62:BN65" si="39">$E62*P62</f>
        <v>145.70746875</v>
      </c>
      <c r="BD62" s="853">
        <f t="shared" si="39"/>
        <v>145.70746875</v>
      </c>
      <c r="BE62" s="853">
        <f t="shared" si="39"/>
        <v>145.70746875</v>
      </c>
      <c r="BF62" s="853">
        <f t="shared" si="39"/>
        <v>145.70746875</v>
      </c>
      <c r="BG62" s="853">
        <f t="shared" si="39"/>
        <v>145.70746875</v>
      </c>
      <c r="BH62" s="853">
        <f t="shared" si="39"/>
        <v>145.70746875</v>
      </c>
      <c r="BI62" s="853">
        <f t="shared" si="39"/>
        <v>141.6600390625</v>
      </c>
      <c r="BJ62" s="853">
        <f t="shared" si="39"/>
        <v>141.6600390625</v>
      </c>
      <c r="BK62" s="853">
        <f t="shared" si="39"/>
        <v>141.6600390625</v>
      </c>
      <c r="BL62" s="853">
        <f t="shared" si="39"/>
        <v>141.6600390625</v>
      </c>
      <c r="BM62" s="853">
        <f t="shared" si="39"/>
        <v>141.6600390625</v>
      </c>
      <c r="BN62" s="853">
        <f t="shared" si="39"/>
        <v>141.6600390625</v>
      </c>
      <c r="BO62" s="854">
        <f t="shared" si="18"/>
        <v>1724.2050468749994</v>
      </c>
      <c r="BP62" s="853">
        <f t="shared" ref="BP62:CA65" si="40">$I62*AC62</f>
        <v>137.61260937500001</v>
      </c>
      <c r="BQ62" s="853">
        <f t="shared" si="40"/>
        <v>137.61260937500001</v>
      </c>
      <c r="BR62" s="853">
        <f t="shared" si="40"/>
        <v>133.56517968750001</v>
      </c>
      <c r="BS62" s="853">
        <f t="shared" si="40"/>
        <v>133.56517968750001</v>
      </c>
      <c r="BT62" s="853">
        <f t="shared" si="40"/>
        <v>129.51775000000001</v>
      </c>
      <c r="BU62" s="853">
        <f t="shared" si="40"/>
        <v>129.51775000000001</v>
      </c>
      <c r="BV62" s="853">
        <f t="shared" si="40"/>
        <v>121.42289062500001</v>
      </c>
      <c r="BW62" s="853">
        <f t="shared" si="40"/>
        <v>113.32803125</v>
      </c>
      <c r="BX62" s="853">
        <f t="shared" si="40"/>
        <v>105.23317187500001</v>
      </c>
      <c r="BY62" s="853">
        <f t="shared" si="40"/>
        <v>97.138312499999998</v>
      </c>
      <c r="BZ62" s="853">
        <f t="shared" si="40"/>
        <v>89.043453125000013</v>
      </c>
      <c r="CA62" s="853">
        <f t="shared" si="40"/>
        <v>80.948593750000001</v>
      </c>
      <c r="CB62" s="854">
        <f t="shared" si="20"/>
        <v>1408.5055312500001</v>
      </c>
      <c r="CC62" s="853">
        <f t="shared" ref="CC62:CN65" si="41">$M62*AP62</f>
        <v>72.853734375000002</v>
      </c>
      <c r="CD62" s="853">
        <f t="shared" si="41"/>
        <v>72.853734375000002</v>
      </c>
      <c r="CE62" s="853">
        <f t="shared" si="41"/>
        <v>72.853734375000002</v>
      </c>
      <c r="CF62" s="853">
        <f t="shared" si="41"/>
        <v>72.853734375000002</v>
      </c>
      <c r="CG62" s="853">
        <f t="shared" si="41"/>
        <v>72.853734375000002</v>
      </c>
      <c r="CH62" s="853">
        <f t="shared" si="41"/>
        <v>72.853734375000002</v>
      </c>
      <c r="CI62" s="853">
        <f t="shared" si="41"/>
        <v>72.853734375000002</v>
      </c>
      <c r="CJ62" s="853">
        <f t="shared" si="41"/>
        <v>72.853734375000002</v>
      </c>
      <c r="CK62" s="853">
        <f t="shared" si="41"/>
        <v>72.853734375000002</v>
      </c>
      <c r="CL62" s="853">
        <f t="shared" si="41"/>
        <v>72.853734375000002</v>
      </c>
      <c r="CM62" s="853">
        <f t="shared" si="41"/>
        <v>72.853734375000002</v>
      </c>
      <c r="CN62" s="853">
        <f t="shared" si="41"/>
        <v>72.853734375000002</v>
      </c>
      <c r="CO62" s="854">
        <f t="shared" si="22"/>
        <v>874.24481250000019</v>
      </c>
      <c r="CP62" s="855">
        <f t="shared" si="23"/>
        <v>4006.9553906249994</v>
      </c>
    </row>
    <row r="63" spans="1:94">
      <c r="A63" s="856">
        <v>49</v>
      </c>
      <c r="B63" s="846" t="s">
        <v>1334</v>
      </c>
      <c r="C63" s="847">
        <v>4</v>
      </c>
      <c r="D63" s="847">
        <f>'Xpert needs'!AA88*25%</f>
        <v>971.38312500000006</v>
      </c>
      <c r="E63" s="847">
        <f t="shared" si="3"/>
        <v>80.948593750000001</v>
      </c>
      <c r="F63" s="848">
        <f t="shared" si="4"/>
        <v>4.223404891304348</v>
      </c>
      <c r="G63" s="849">
        <f t="shared" si="5"/>
        <v>1.055851222826087</v>
      </c>
      <c r="H63" s="847">
        <f t="shared" si="6"/>
        <v>971.38312500000006</v>
      </c>
      <c r="I63" s="847">
        <f t="shared" si="34"/>
        <v>80.948593750000001</v>
      </c>
      <c r="J63" s="848">
        <f t="shared" si="8"/>
        <v>4.223404891304348</v>
      </c>
      <c r="K63" s="849">
        <f t="shared" si="9"/>
        <v>1.055851222826087</v>
      </c>
      <c r="L63" s="858">
        <f t="shared" ref="L63:L64" si="42">H63*90%</f>
        <v>874.24481250000008</v>
      </c>
      <c r="M63" s="847">
        <f t="shared" si="35"/>
        <v>72.853734375000002</v>
      </c>
      <c r="N63" s="848">
        <f t="shared" si="12"/>
        <v>3.8010644021739135</v>
      </c>
      <c r="O63" s="849">
        <f t="shared" si="36"/>
        <v>0.95026610054347838</v>
      </c>
      <c r="P63" s="857">
        <f>P62</f>
        <v>1.8</v>
      </c>
      <c r="Q63" s="850">
        <f t="shared" ref="Q63:AA63" si="43">Q62</f>
        <v>1.8</v>
      </c>
      <c r="R63" s="850">
        <f t="shared" si="43"/>
        <v>1.8</v>
      </c>
      <c r="S63" s="850">
        <f t="shared" si="43"/>
        <v>1.8</v>
      </c>
      <c r="T63" s="850">
        <f t="shared" si="43"/>
        <v>1.8</v>
      </c>
      <c r="U63" s="850">
        <f t="shared" si="43"/>
        <v>1.8</v>
      </c>
      <c r="V63" s="850">
        <f t="shared" si="43"/>
        <v>1.75</v>
      </c>
      <c r="W63" s="850">
        <f t="shared" si="43"/>
        <v>1.75</v>
      </c>
      <c r="X63" s="850">
        <f t="shared" si="43"/>
        <v>1.75</v>
      </c>
      <c r="Y63" s="850">
        <f t="shared" si="43"/>
        <v>1.75</v>
      </c>
      <c r="Z63" s="850">
        <f t="shared" si="43"/>
        <v>1.75</v>
      </c>
      <c r="AA63" s="850">
        <f t="shared" si="43"/>
        <v>1.75</v>
      </c>
      <c r="AB63" s="851">
        <f t="shared" si="14"/>
        <v>1.7749999999999992</v>
      </c>
      <c r="AC63" s="850">
        <f t="shared" ref="AC63:AN63" si="44">AC62</f>
        <v>1.7</v>
      </c>
      <c r="AD63" s="850">
        <f t="shared" si="44"/>
        <v>1.7</v>
      </c>
      <c r="AE63" s="850">
        <f t="shared" si="44"/>
        <v>1.65</v>
      </c>
      <c r="AF63" s="850">
        <f t="shared" si="44"/>
        <v>1.65</v>
      </c>
      <c r="AG63" s="850">
        <f t="shared" si="44"/>
        <v>1.6</v>
      </c>
      <c r="AH63" s="850">
        <f t="shared" si="44"/>
        <v>1.6</v>
      </c>
      <c r="AI63" s="850">
        <f t="shared" si="44"/>
        <v>1.5</v>
      </c>
      <c r="AJ63" s="850">
        <f t="shared" si="44"/>
        <v>1.4</v>
      </c>
      <c r="AK63" s="850">
        <f t="shared" si="44"/>
        <v>1.3</v>
      </c>
      <c r="AL63" s="850">
        <f t="shared" si="44"/>
        <v>1.2</v>
      </c>
      <c r="AM63" s="850">
        <f t="shared" si="44"/>
        <v>1.1000000000000001</v>
      </c>
      <c r="AN63" s="850">
        <f t="shared" si="44"/>
        <v>1</v>
      </c>
      <c r="AO63" s="851">
        <f t="shared" si="37"/>
        <v>1.45</v>
      </c>
      <c r="AP63" s="850">
        <v>1</v>
      </c>
      <c r="AQ63" s="850">
        <v>1</v>
      </c>
      <c r="AR63" s="850">
        <v>1</v>
      </c>
      <c r="AS63" s="850">
        <v>1</v>
      </c>
      <c r="AT63" s="850">
        <v>1</v>
      </c>
      <c r="AU63" s="850">
        <v>1</v>
      </c>
      <c r="AV63" s="850">
        <v>1</v>
      </c>
      <c r="AW63" s="850">
        <v>1</v>
      </c>
      <c r="AX63" s="850">
        <v>1</v>
      </c>
      <c r="AY63" s="850">
        <v>1</v>
      </c>
      <c r="AZ63" s="850">
        <v>1</v>
      </c>
      <c r="BA63" s="850">
        <v>1</v>
      </c>
      <c r="BB63" s="851">
        <f t="shared" si="38"/>
        <v>1.0000000000000002</v>
      </c>
      <c r="BC63" s="853">
        <f t="shared" si="39"/>
        <v>145.70746875</v>
      </c>
      <c r="BD63" s="853">
        <f t="shared" si="39"/>
        <v>145.70746875</v>
      </c>
      <c r="BE63" s="853">
        <f t="shared" si="39"/>
        <v>145.70746875</v>
      </c>
      <c r="BF63" s="853">
        <f t="shared" si="39"/>
        <v>145.70746875</v>
      </c>
      <c r="BG63" s="853">
        <f t="shared" si="39"/>
        <v>145.70746875</v>
      </c>
      <c r="BH63" s="853">
        <f t="shared" si="39"/>
        <v>145.70746875</v>
      </c>
      <c r="BI63" s="853">
        <f t="shared" si="39"/>
        <v>141.6600390625</v>
      </c>
      <c r="BJ63" s="853">
        <f t="shared" si="39"/>
        <v>141.6600390625</v>
      </c>
      <c r="BK63" s="853">
        <f t="shared" si="39"/>
        <v>141.6600390625</v>
      </c>
      <c r="BL63" s="853">
        <f t="shared" si="39"/>
        <v>141.6600390625</v>
      </c>
      <c r="BM63" s="853">
        <f t="shared" si="39"/>
        <v>141.6600390625</v>
      </c>
      <c r="BN63" s="853">
        <f t="shared" si="39"/>
        <v>141.6600390625</v>
      </c>
      <c r="BO63" s="854">
        <f t="shared" si="18"/>
        <v>1724.2050468749994</v>
      </c>
      <c r="BP63" s="853">
        <f t="shared" si="40"/>
        <v>137.61260937500001</v>
      </c>
      <c r="BQ63" s="853">
        <f t="shared" si="40"/>
        <v>137.61260937500001</v>
      </c>
      <c r="BR63" s="853">
        <f t="shared" si="40"/>
        <v>133.56517968750001</v>
      </c>
      <c r="BS63" s="853">
        <f t="shared" si="40"/>
        <v>133.56517968750001</v>
      </c>
      <c r="BT63" s="853">
        <f t="shared" si="40"/>
        <v>129.51775000000001</v>
      </c>
      <c r="BU63" s="853">
        <f t="shared" si="40"/>
        <v>129.51775000000001</v>
      </c>
      <c r="BV63" s="853">
        <f t="shared" si="40"/>
        <v>121.42289062500001</v>
      </c>
      <c r="BW63" s="853">
        <f t="shared" si="40"/>
        <v>113.32803125</v>
      </c>
      <c r="BX63" s="853">
        <f t="shared" si="40"/>
        <v>105.23317187500001</v>
      </c>
      <c r="BY63" s="853">
        <f t="shared" si="40"/>
        <v>97.138312499999998</v>
      </c>
      <c r="BZ63" s="853">
        <f t="shared" si="40"/>
        <v>89.043453125000013</v>
      </c>
      <c r="CA63" s="853">
        <f t="shared" si="40"/>
        <v>80.948593750000001</v>
      </c>
      <c r="CB63" s="854">
        <f t="shared" si="20"/>
        <v>1408.5055312500001</v>
      </c>
      <c r="CC63" s="853">
        <f t="shared" si="41"/>
        <v>72.853734375000002</v>
      </c>
      <c r="CD63" s="853">
        <f t="shared" si="41"/>
        <v>72.853734375000002</v>
      </c>
      <c r="CE63" s="853">
        <f t="shared" si="41"/>
        <v>72.853734375000002</v>
      </c>
      <c r="CF63" s="853">
        <f t="shared" si="41"/>
        <v>72.853734375000002</v>
      </c>
      <c r="CG63" s="853">
        <f t="shared" si="41"/>
        <v>72.853734375000002</v>
      </c>
      <c r="CH63" s="853">
        <f t="shared" si="41"/>
        <v>72.853734375000002</v>
      </c>
      <c r="CI63" s="853">
        <f t="shared" si="41"/>
        <v>72.853734375000002</v>
      </c>
      <c r="CJ63" s="853">
        <f t="shared" si="41"/>
        <v>72.853734375000002</v>
      </c>
      <c r="CK63" s="853">
        <f t="shared" si="41"/>
        <v>72.853734375000002</v>
      </c>
      <c r="CL63" s="853">
        <f t="shared" si="41"/>
        <v>72.853734375000002</v>
      </c>
      <c r="CM63" s="853">
        <f t="shared" si="41"/>
        <v>72.853734375000002</v>
      </c>
      <c r="CN63" s="853">
        <f t="shared" si="41"/>
        <v>72.853734375000002</v>
      </c>
      <c r="CO63" s="854">
        <f t="shared" si="22"/>
        <v>874.24481250000019</v>
      </c>
      <c r="CP63" s="855">
        <f t="shared" si="23"/>
        <v>4006.9553906249994</v>
      </c>
    </row>
    <row r="64" spans="1:94">
      <c r="A64" s="856">
        <v>50</v>
      </c>
      <c r="B64" s="846" t="s">
        <v>1335</v>
      </c>
      <c r="C64" s="847">
        <v>4</v>
      </c>
      <c r="D64" s="847">
        <f>'Xpert needs'!AA88*25%</f>
        <v>971.38312500000006</v>
      </c>
      <c r="E64" s="847">
        <f t="shared" si="3"/>
        <v>80.948593750000001</v>
      </c>
      <c r="F64" s="848">
        <f t="shared" si="4"/>
        <v>4.223404891304348</v>
      </c>
      <c r="G64" s="849">
        <f t="shared" si="5"/>
        <v>1.055851222826087</v>
      </c>
      <c r="H64" s="847">
        <f t="shared" si="6"/>
        <v>971.38312500000006</v>
      </c>
      <c r="I64" s="847">
        <f t="shared" si="34"/>
        <v>80.948593750000001</v>
      </c>
      <c r="J64" s="848">
        <f t="shared" si="8"/>
        <v>4.223404891304348</v>
      </c>
      <c r="K64" s="849">
        <f t="shared" si="9"/>
        <v>1.055851222826087</v>
      </c>
      <c r="L64" s="858">
        <f t="shared" si="42"/>
        <v>874.24481250000008</v>
      </c>
      <c r="M64" s="847">
        <f t="shared" si="35"/>
        <v>72.853734375000002</v>
      </c>
      <c r="N64" s="848">
        <f t="shared" si="12"/>
        <v>3.8010644021739135</v>
      </c>
      <c r="O64" s="849">
        <f t="shared" si="36"/>
        <v>0.95026610054347838</v>
      </c>
      <c r="P64" s="857">
        <f>P62</f>
        <v>1.8</v>
      </c>
      <c r="Q64" s="850">
        <f t="shared" ref="Q64:AA64" si="45">Q62</f>
        <v>1.8</v>
      </c>
      <c r="R64" s="850">
        <f t="shared" si="45"/>
        <v>1.8</v>
      </c>
      <c r="S64" s="850">
        <f t="shared" si="45"/>
        <v>1.8</v>
      </c>
      <c r="T64" s="850">
        <f t="shared" si="45"/>
        <v>1.8</v>
      </c>
      <c r="U64" s="850">
        <f t="shared" si="45"/>
        <v>1.8</v>
      </c>
      <c r="V64" s="850">
        <f t="shared" si="45"/>
        <v>1.75</v>
      </c>
      <c r="W64" s="850">
        <f t="shared" si="45"/>
        <v>1.75</v>
      </c>
      <c r="X64" s="850">
        <f t="shared" si="45"/>
        <v>1.75</v>
      </c>
      <c r="Y64" s="850">
        <f t="shared" si="45"/>
        <v>1.75</v>
      </c>
      <c r="Z64" s="850">
        <f t="shared" si="45"/>
        <v>1.75</v>
      </c>
      <c r="AA64" s="850">
        <f t="shared" si="45"/>
        <v>1.75</v>
      </c>
      <c r="AB64" s="851">
        <f t="shared" si="14"/>
        <v>1.7749999999999992</v>
      </c>
      <c r="AC64" s="850">
        <f t="shared" ref="AC64:AN64" si="46">AC62</f>
        <v>1.7</v>
      </c>
      <c r="AD64" s="850">
        <f t="shared" si="46"/>
        <v>1.7</v>
      </c>
      <c r="AE64" s="850">
        <f t="shared" si="46"/>
        <v>1.65</v>
      </c>
      <c r="AF64" s="850">
        <f t="shared" si="46"/>
        <v>1.65</v>
      </c>
      <c r="AG64" s="850">
        <f t="shared" si="46"/>
        <v>1.6</v>
      </c>
      <c r="AH64" s="850">
        <f t="shared" si="46"/>
        <v>1.6</v>
      </c>
      <c r="AI64" s="850">
        <f t="shared" si="46"/>
        <v>1.5</v>
      </c>
      <c r="AJ64" s="850">
        <f t="shared" si="46"/>
        <v>1.4</v>
      </c>
      <c r="AK64" s="850">
        <f t="shared" si="46"/>
        <v>1.3</v>
      </c>
      <c r="AL64" s="850">
        <f t="shared" si="46"/>
        <v>1.2</v>
      </c>
      <c r="AM64" s="850">
        <f t="shared" si="46"/>
        <v>1.1000000000000001</v>
      </c>
      <c r="AN64" s="850">
        <f t="shared" si="46"/>
        <v>1</v>
      </c>
      <c r="AO64" s="851">
        <f t="shared" si="37"/>
        <v>1.45</v>
      </c>
      <c r="AP64" s="850">
        <v>1</v>
      </c>
      <c r="AQ64" s="850">
        <v>1</v>
      </c>
      <c r="AR64" s="850">
        <v>1</v>
      </c>
      <c r="AS64" s="850">
        <v>1</v>
      </c>
      <c r="AT64" s="850">
        <v>1</v>
      </c>
      <c r="AU64" s="850">
        <v>1</v>
      </c>
      <c r="AV64" s="850">
        <v>1</v>
      </c>
      <c r="AW64" s="850">
        <v>1</v>
      </c>
      <c r="AX64" s="850">
        <v>1</v>
      </c>
      <c r="AY64" s="850">
        <v>1</v>
      </c>
      <c r="AZ64" s="850">
        <v>1</v>
      </c>
      <c r="BA64" s="850">
        <v>1</v>
      </c>
      <c r="BB64" s="851">
        <f t="shared" si="38"/>
        <v>1.0000000000000002</v>
      </c>
      <c r="BC64" s="853">
        <f t="shared" si="39"/>
        <v>145.70746875</v>
      </c>
      <c r="BD64" s="853">
        <f t="shared" si="39"/>
        <v>145.70746875</v>
      </c>
      <c r="BE64" s="853">
        <f t="shared" si="39"/>
        <v>145.70746875</v>
      </c>
      <c r="BF64" s="853">
        <f t="shared" si="39"/>
        <v>145.70746875</v>
      </c>
      <c r="BG64" s="853">
        <f t="shared" si="39"/>
        <v>145.70746875</v>
      </c>
      <c r="BH64" s="853">
        <f t="shared" si="39"/>
        <v>145.70746875</v>
      </c>
      <c r="BI64" s="853">
        <f t="shared" si="39"/>
        <v>141.6600390625</v>
      </c>
      <c r="BJ64" s="853">
        <f t="shared" si="39"/>
        <v>141.6600390625</v>
      </c>
      <c r="BK64" s="853">
        <f t="shared" si="39"/>
        <v>141.6600390625</v>
      </c>
      <c r="BL64" s="853">
        <f t="shared" si="39"/>
        <v>141.6600390625</v>
      </c>
      <c r="BM64" s="853">
        <f t="shared" si="39"/>
        <v>141.6600390625</v>
      </c>
      <c r="BN64" s="853">
        <f t="shared" si="39"/>
        <v>141.6600390625</v>
      </c>
      <c r="BO64" s="854">
        <f t="shared" si="18"/>
        <v>1724.2050468749994</v>
      </c>
      <c r="BP64" s="853">
        <f t="shared" si="40"/>
        <v>137.61260937500001</v>
      </c>
      <c r="BQ64" s="853">
        <f t="shared" si="40"/>
        <v>137.61260937500001</v>
      </c>
      <c r="BR64" s="853">
        <f t="shared" si="40"/>
        <v>133.56517968750001</v>
      </c>
      <c r="BS64" s="853">
        <f t="shared" si="40"/>
        <v>133.56517968750001</v>
      </c>
      <c r="BT64" s="853">
        <f t="shared" si="40"/>
        <v>129.51775000000001</v>
      </c>
      <c r="BU64" s="853">
        <f t="shared" si="40"/>
        <v>129.51775000000001</v>
      </c>
      <c r="BV64" s="853">
        <f t="shared" si="40"/>
        <v>121.42289062500001</v>
      </c>
      <c r="BW64" s="853">
        <f t="shared" si="40"/>
        <v>113.32803125</v>
      </c>
      <c r="BX64" s="853">
        <f t="shared" si="40"/>
        <v>105.23317187500001</v>
      </c>
      <c r="BY64" s="853">
        <f t="shared" si="40"/>
        <v>97.138312499999998</v>
      </c>
      <c r="BZ64" s="853">
        <f t="shared" si="40"/>
        <v>89.043453125000013</v>
      </c>
      <c r="CA64" s="853">
        <f t="shared" si="40"/>
        <v>80.948593750000001</v>
      </c>
      <c r="CB64" s="854">
        <f t="shared" si="20"/>
        <v>1408.5055312500001</v>
      </c>
      <c r="CC64" s="853">
        <f t="shared" si="41"/>
        <v>72.853734375000002</v>
      </c>
      <c r="CD64" s="853">
        <f t="shared" si="41"/>
        <v>72.853734375000002</v>
      </c>
      <c r="CE64" s="853">
        <f t="shared" si="41"/>
        <v>72.853734375000002</v>
      </c>
      <c r="CF64" s="853">
        <f t="shared" si="41"/>
        <v>72.853734375000002</v>
      </c>
      <c r="CG64" s="853">
        <f t="shared" si="41"/>
        <v>72.853734375000002</v>
      </c>
      <c r="CH64" s="853">
        <f t="shared" si="41"/>
        <v>72.853734375000002</v>
      </c>
      <c r="CI64" s="853">
        <f t="shared" si="41"/>
        <v>72.853734375000002</v>
      </c>
      <c r="CJ64" s="853">
        <f t="shared" si="41"/>
        <v>72.853734375000002</v>
      </c>
      <c r="CK64" s="853">
        <f t="shared" si="41"/>
        <v>72.853734375000002</v>
      </c>
      <c r="CL64" s="853">
        <f t="shared" si="41"/>
        <v>72.853734375000002</v>
      </c>
      <c r="CM64" s="853">
        <f t="shared" si="41"/>
        <v>72.853734375000002</v>
      </c>
      <c r="CN64" s="853">
        <f t="shared" si="41"/>
        <v>72.853734375000002</v>
      </c>
      <c r="CO64" s="854">
        <f t="shared" si="22"/>
        <v>874.24481250000019</v>
      </c>
      <c r="CP64" s="855">
        <f t="shared" si="23"/>
        <v>4006.9553906249994</v>
      </c>
    </row>
    <row r="65" spans="1:94">
      <c r="A65" s="856">
        <v>51</v>
      </c>
      <c r="B65" s="846" t="s">
        <v>1336</v>
      </c>
      <c r="C65" s="847">
        <v>4</v>
      </c>
      <c r="D65" s="847">
        <f>'Xpert needs'!AA88*25%</f>
        <v>971.38312500000006</v>
      </c>
      <c r="E65" s="847">
        <f t="shared" si="3"/>
        <v>80.948593750000001</v>
      </c>
      <c r="F65" s="848">
        <f t="shared" si="4"/>
        <v>4.223404891304348</v>
      </c>
      <c r="G65" s="849">
        <f t="shared" si="5"/>
        <v>1.055851222826087</v>
      </c>
      <c r="H65" s="847">
        <f t="shared" si="6"/>
        <v>971.38312500000006</v>
      </c>
      <c r="I65" s="847">
        <f t="shared" si="34"/>
        <v>80.948593750000001</v>
      </c>
      <c r="J65" s="848">
        <f t="shared" si="8"/>
        <v>4.223404891304348</v>
      </c>
      <c r="K65" s="849">
        <f t="shared" si="9"/>
        <v>1.055851222826087</v>
      </c>
      <c r="L65" s="858">
        <f>H65*0%</f>
        <v>0</v>
      </c>
      <c r="M65" s="847">
        <f t="shared" si="35"/>
        <v>0</v>
      </c>
      <c r="N65" s="848">
        <f t="shared" si="12"/>
        <v>0</v>
      </c>
      <c r="O65" s="849">
        <f t="shared" si="36"/>
        <v>0</v>
      </c>
      <c r="P65" s="857">
        <v>2.5</v>
      </c>
      <c r="Q65" s="850">
        <v>1.95</v>
      </c>
      <c r="R65" s="850">
        <v>1.7</v>
      </c>
      <c r="S65" s="850">
        <v>1.7</v>
      </c>
      <c r="T65" s="850">
        <v>1.65</v>
      </c>
      <c r="U65" s="850">
        <v>1.65</v>
      </c>
      <c r="V65" s="850">
        <v>1.7</v>
      </c>
      <c r="W65" s="850">
        <v>1.7</v>
      </c>
      <c r="X65" s="850">
        <v>1.7</v>
      </c>
      <c r="Y65" s="850">
        <v>1.7</v>
      </c>
      <c r="Z65" s="850">
        <v>1.7</v>
      </c>
      <c r="AA65" s="850">
        <v>1.7</v>
      </c>
      <c r="AB65" s="851">
        <f t="shared" si="14"/>
        <v>1.7791666666666661</v>
      </c>
      <c r="AC65" s="850">
        <v>1.7</v>
      </c>
      <c r="AD65" s="850">
        <v>1.7</v>
      </c>
      <c r="AE65" s="850">
        <v>1.65</v>
      </c>
      <c r="AF65" s="850">
        <v>1.65</v>
      </c>
      <c r="AG65" s="850">
        <v>1.6</v>
      </c>
      <c r="AH65" s="850">
        <v>1.6</v>
      </c>
      <c r="AI65" s="850">
        <v>1.55</v>
      </c>
      <c r="AJ65" s="850">
        <v>1.5</v>
      </c>
      <c r="AK65" s="850">
        <v>1.45</v>
      </c>
      <c r="AL65" s="850">
        <v>1.4</v>
      </c>
      <c r="AM65" s="850">
        <v>1.2</v>
      </c>
      <c r="AN65" s="850">
        <v>1.01</v>
      </c>
      <c r="AO65" s="851">
        <f t="shared" si="37"/>
        <v>1.5008333333333332</v>
      </c>
      <c r="AP65" s="850"/>
      <c r="AQ65" s="850"/>
      <c r="AR65" s="850"/>
      <c r="AS65" s="850"/>
      <c r="AT65" s="850"/>
      <c r="AU65" s="850"/>
      <c r="AV65" s="850"/>
      <c r="AW65" s="850"/>
      <c r="AX65" s="850"/>
      <c r="AY65" s="850"/>
      <c r="AZ65" s="850"/>
      <c r="BA65" s="850"/>
      <c r="BB65" s="851" t="e">
        <f t="shared" si="38"/>
        <v>#DIV/0!</v>
      </c>
      <c r="BC65" s="853">
        <f t="shared" si="39"/>
        <v>202.37148437499999</v>
      </c>
      <c r="BD65" s="853">
        <f t="shared" si="39"/>
        <v>157.8497578125</v>
      </c>
      <c r="BE65" s="853">
        <f t="shared" si="39"/>
        <v>137.61260937500001</v>
      </c>
      <c r="BF65" s="853">
        <f t="shared" si="39"/>
        <v>137.61260937500001</v>
      </c>
      <c r="BG65" s="853">
        <f t="shared" si="39"/>
        <v>133.56517968750001</v>
      </c>
      <c r="BH65" s="853">
        <f t="shared" si="39"/>
        <v>133.56517968750001</v>
      </c>
      <c r="BI65" s="853">
        <f t="shared" si="39"/>
        <v>137.61260937500001</v>
      </c>
      <c r="BJ65" s="853">
        <f t="shared" si="39"/>
        <v>137.61260937500001</v>
      </c>
      <c r="BK65" s="853">
        <f t="shared" si="39"/>
        <v>137.61260937500001</v>
      </c>
      <c r="BL65" s="853">
        <f t="shared" si="39"/>
        <v>137.61260937500001</v>
      </c>
      <c r="BM65" s="853">
        <f t="shared" si="39"/>
        <v>137.61260937500001</v>
      </c>
      <c r="BN65" s="853">
        <f t="shared" si="39"/>
        <v>137.61260937500001</v>
      </c>
      <c r="BO65" s="854">
        <f t="shared" si="18"/>
        <v>1728.2524765624996</v>
      </c>
      <c r="BP65" s="853">
        <f t="shared" si="40"/>
        <v>137.61260937500001</v>
      </c>
      <c r="BQ65" s="853">
        <f t="shared" si="40"/>
        <v>137.61260937500001</v>
      </c>
      <c r="BR65" s="853">
        <f t="shared" si="40"/>
        <v>133.56517968750001</v>
      </c>
      <c r="BS65" s="853">
        <f t="shared" si="40"/>
        <v>133.56517968750001</v>
      </c>
      <c r="BT65" s="853">
        <f t="shared" si="40"/>
        <v>129.51775000000001</v>
      </c>
      <c r="BU65" s="853">
        <f t="shared" si="40"/>
        <v>129.51775000000001</v>
      </c>
      <c r="BV65" s="853">
        <f t="shared" si="40"/>
        <v>125.47032031250001</v>
      </c>
      <c r="BW65" s="853">
        <f t="shared" si="40"/>
        <v>121.42289062500001</v>
      </c>
      <c r="BX65" s="853">
        <f t="shared" si="40"/>
        <v>117.37546093749999</v>
      </c>
      <c r="BY65" s="853">
        <f t="shared" si="40"/>
        <v>113.32803125</v>
      </c>
      <c r="BZ65" s="853">
        <f t="shared" si="40"/>
        <v>97.138312499999998</v>
      </c>
      <c r="CA65" s="853">
        <f t="shared" si="40"/>
        <v>81.7580796875</v>
      </c>
      <c r="CB65" s="854">
        <f t="shared" si="20"/>
        <v>1457.8841734375001</v>
      </c>
      <c r="CC65" s="853">
        <f t="shared" si="41"/>
        <v>0</v>
      </c>
      <c r="CD65" s="853">
        <f t="shared" si="41"/>
        <v>0</v>
      </c>
      <c r="CE65" s="853">
        <f t="shared" si="41"/>
        <v>0</v>
      </c>
      <c r="CF65" s="853">
        <f t="shared" si="41"/>
        <v>0</v>
      </c>
      <c r="CG65" s="853">
        <f t="shared" si="41"/>
        <v>0</v>
      </c>
      <c r="CH65" s="853">
        <f t="shared" si="41"/>
        <v>0</v>
      </c>
      <c r="CI65" s="853">
        <f t="shared" si="41"/>
        <v>0</v>
      </c>
      <c r="CJ65" s="853">
        <f t="shared" si="41"/>
        <v>0</v>
      </c>
      <c r="CK65" s="853">
        <f t="shared" si="41"/>
        <v>0</v>
      </c>
      <c r="CL65" s="853">
        <f t="shared" si="41"/>
        <v>0</v>
      </c>
      <c r="CM65" s="853">
        <f t="shared" si="41"/>
        <v>0</v>
      </c>
      <c r="CN65" s="853">
        <f t="shared" si="41"/>
        <v>0</v>
      </c>
      <c r="CO65" s="854">
        <f t="shared" si="22"/>
        <v>0</v>
      </c>
      <c r="CP65" s="855">
        <f t="shared" si="23"/>
        <v>3186.1366499999995</v>
      </c>
    </row>
    <row r="66" spans="1:94" s="838" customFormat="1" ht="15.75">
      <c r="A66" s="860"/>
      <c r="B66" s="860" t="s">
        <v>1707</v>
      </c>
      <c r="C66" s="861">
        <f>SUM(C61:C65)</f>
        <v>130</v>
      </c>
      <c r="D66" s="861">
        <f>SUM(D61:D65)</f>
        <v>29789.082499999993</v>
      </c>
      <c r="E66" s="861">
        <f>D66/12</f>
        <v>2482.4235416666661</v>
      </c>
      <c r="F66" s="862">
        <f t="shared" si="4"/>
        <v>129.51774999999998</v>
      </c>
      <c r="G66" s="863">
        <f t="shared" si="5"/>
        <v>0.99629038461538444</v>
      </c>
      <c r="H66" s="861">
        <f>SUM(H61:H65)</f>
        <v>29789.082499999993</v>
      </c>
      <c r="I66" s="861">
        <f>H66/12</f>
        <v>2482.4235416666661</v>
      </c>
      <c r="J66" s="862">
        <f t="shared" si="8"/>
        <v>129.51774999999998</v>
      </c>
      <c r="K66" s="863">
        <f>J66/C66</f>
        <v>0.99629038461538444</v>
      </c>
      <c r="L66" s="861">
        <f>SUM(L61:L65)</f>
        <v>27280.7469375</v>
      </c>
      <c r="M66" s="861">
        <f>L66/12</f>
        <v>2273.3955781250002</v>
      </c>
      <c r="N66" s="862">
        <f t="shared" si="12"/>
        <v>118.61194320652174</v>
      </c>
      <c r="O66" s="863">
        <f>N66/C66</f>
        <v>0.91239956312709036</v>
      </c>
      <c r="P66" s="864"/>
      <c r="Q66" s="864"/>
      <c r="R66" s="864"/>
      <c r="S66" s="864"/>
      <c r="T66" s="864"/>
      <c r="U66" s="864"/>
      <c r="V66" s="864"/>
      <c r="W66" s="864"/>
      <c r="X66" s="864"/>
      <c r="Y66" s="864"/>
      <c r="Z66" s="864"/>
      <c r="AA66" s="864"/>
      <c r="AB66" s="865">
        <f t="shared" si="14"/>
        <v>0.6478159375621646</v>
      </c>
      <c r="AC66" s="864"/>
      <c r="AD66" s="864"/>
      <c r="AE66" s="864"/>
      <c r="AF66" s="864"/>
      <c r="AG66" s="864"/>
      <c r="AH66" s="864"/>
      <c r="AI66" s="864"/>
      <c r="AJ66" s="864"/>
      <c r="AK66" s="864"/>
      <c r="AL66" s="864"/>
      <c r="AM66" s="864"/>
      <c r="AN66" s="864"/>
      <c r="AO66" s="865">
        <f>CB66/$H66</f>
        <v>0.79542717595238133</v>
      </c>
      <c r="AP66" s="864"/>
      <c r="AQ66" s="864"/>
      <c r="AR66" s="864"/>
      <c r="AS66" s="864"/>
      <c r="AT66" s="864"/>
      <c r="AU66" s="864"/>
      <c r="AV66" s="864"/>
      <c r="AW66" s="864"/>
      <c r="AX66" s="864"/>
      <c r="AY66" s="864"/>
      <c r="AZ66" s="864"/>
      <c r="BA66" s="864"/>
      <c r="BB66" s="865">
        <f>CO66/$L66</f>
        <v>0.99737012332674169</v>
      </c>
      <c r="BC66" s="866">
        <f>SUM(BC61:BC65)</f>
        <v>1589.4951406250002</v>
      </c>
      <c r="BD66" s="866">
        <f t="shared" ref="BD66:BN66" si="47">SUM(BD61:BD65)</f>
        <v>1594.7396640625004</v>
      </c>
      <c r="BE66" s="866">
        <f t="shared" si="47"/>
        <v>1604.1591822916669</v>
      </c>
      <c r="BF66" s="866">
        <f t="shared" si="47"/>
        <v>1613.7602239583334</v>
      </c>
      <c r="BG66" s="866">
        <f t="shared" si="47"/>
        <v>1614.3027942708336</v>
      </c>
      <c r="BH66" s="866">
        <f t="shared" si="47"/>
        <v>1616.5977942708334</v>
      </c>
      <c r="BI66" s="866">
        <f t="shared" si="47"/>
        <v>1610.7979348958329</v>
      </c>
      <c r="BJ66" s="866">
        <f t="shared" si="47"/>
        <v>1610.7979348958329</v>
      </c>
      <c r="BK66" s="866">
        <f t="shared" si="47"/>
        <v>1610.7979348958329</v>
      </c>
      <c r="BL66" s="866">
        <f t="shared" si="47"/>
        <v>1610.7979348958329</v>
      </c>
      <c r="BM66" s="866">
        <f t="shared" si="47"/>
        <v>1610.7979348958329</v>
      </c>
      <c r="BN66" s="866">
        <f t="shared" si="47"/>
        <v>1610.7979348958329</v>
      </c>
      <c r="BO66" s="867">
        <f t="shared" si="18"/>
        <v>19297.842408854165</v>
      </c>
      <c r="BP66" s="866">
        <f>SUM(BP61:BP65)</f>
        <v>1610.3429374999996</v>
      </c>
      <c r="BQ66" s="866">
        <f t="shared" ref="BQ66:CA66" si="48">SUM(BQ61:BQ65)</f>
        <v>1656.3029374999996</v>
      </c>
      <c r="BR66" s="866">
        <f t="shared" si="48"/>
        <v>1686.0732187499998</v>
      </c>
      <c r="BS66" s="866">
        <f t="shared" si="48"/>
        <v>1752.1155104166662</v>
      </c>
      <c r="BT66" s="866">
        <f t="shared" si="48"/>
        <v>1812.53475</v>
      </c>
      <c r="BU66" s="866">
        <f t="shared" si="48"/>
        <v>1886.1899583333336</v>
      </c>
      <c r="BV66" s="866">
        <f t="shared" si="48"/>
        <v>1980.9887838541667</v>
      </c>
      <c r="BW66" s="866">
        <f t="shared" si="48"/>
        <v>2089.8394843750002</v>
      </c>
      <c r="BX66" s="866">
        <f t="shared" si="48"/>
        <v>2198.6901848958332</v>
      </c>
      <c r="BY66" s="866">
        <f t="shared" si="48"/>
        <v>2307.5408854166672</v>
      </c>
      <c r="BZ66" s="866">
        <f t="shared" si="48"/>
        <v>2340.3861718749995</v>
      </c>
      <c r="CA66" s="866">
        <f t="shared" si="48"/>
        <v>2374.0409442708328</v>
      </c>
      <c r="CB66" s="867">
        <f t="shared" si="20"/>
        <v>23695.045767187497</v>
      </c>
      <c r="CC66" s="866">
        <f>SUM(CC61:CC65)</f>
        <v>2237.5230781250002</v>
      </c>
      <c r="CD66" s="866">
        <f t="shared" ref="CD66:CN66" si="49">SUM(CD61:CD65)</f>
        <v>2249.4805781250002</v>
      </c>
      <c r="CE66" s="866">
        <f t="shared" si="49"/>
        <v>2261.4380781250002</v>
      </c>
      <c r="CF66" s="866">
        <f t="shared" si="49"/>
        <v>2273.3955781249997</v>
      </c>
      <c r="CG66" s="866">
        <f t="shared" si="49"/>
        <v>2273.3955781249997</v>
      </c>
      <c r="CH66" s="866">
        <f t="shared" si="49"/>
        <v>2273.3955781249997</v>
      </c>
      <c r="CI66" s="866">
        <f t="shared" si="49"/>
        <v>2273.3955781249997</v>
      </c>
      <c r="CJ66" s="866">
        <f t="shared" si="49"/>
        <v>2273.3955781249997</v>
      </c>
      <c r="CK66" s="866">
        <f t="shared" si="49"/>
        <v>2273.3955781249997</v>
      </c>
      <c r="CL66" s="866">
        <f t="shared" si="49"/>
        <v>2273.3955781249997</v>
      </c>
      <c r="CM66" s="866">
        <f t="shared" si="49"/>
        <v>2273.3955781249997</v>
      </c>
      <c r="CN66" s="866">
        <f t="shared" si="49"/>
        <v>2273.3955781249997</v>
      </c>
      <c r="CO66" s="867">
        <f t="shared" si="22"/>
        <v>27209.001937500005</v>
      </c>
      <c r="CP66" s="868">
        <f t="shared" si="23"/>
        <v>70201.890113541667</v>
      </c>
    </row>
    <row r="67" spans="1:94" s="838" customFormat="1">
      <c r="A67" s="856">
        <v>52</v>
      </c>
      <c r="B67" s="846" t="s">
        <v>1704</v>
      </c>
      <c r="C67" s="847">
        <v>4</v>
      </c>
      <c r="D67" s="847">
        <f>'Xpert needs'!AA90*60%</f>
        <v>900</v>
      </c>
      <c r="E67" s="847">
        <f t="shared" si="3"/>
        <v>75</v>
      </c>
      <c r="F67" s="848">
        <f t="shared" si="4"/>
        <v>3.9130434782608696</v>
      </c>
      <c r="G67" s="849">
        <f t="shared" si="5"/>
        <v>0.97826086956521741</v>
      </c>
      <c r="H67" s="847">
        <f t="shared" si="6"/>
        <v>900</v>
      </c>
      <c r="I67" s="847">
        <f t="shared" ref="I67:I69" si="50">H67/12</f>
        <v>75</v>
      </c>
      <c r="J67" s="848">
        <f t="shared" si="8"/>
        <v>3.9130434782608696</v>
      </c>
      <c r="K67" s="849">
        <f t="shared" si="9"/>
        <v>0.97826086956521741</v>
      </c>
      <c r="L67" s="858">
        <f>H67*90%</f>
        <v>810</v>
      </c>
      <c r="M67" s="847">
        <f t="shared" ref="M67:M69" si="51">L67/12</f>
        <v>67.5</v>
      </c>
      <c r="N67" s="848">
        <f t="shared" si="12"/>
        <v>3.5217391304347827</v>
      </c>
      <c r="O67" s="849">
        <f t="shared" ref="O67:O69" si="52">N67/C67</f>
        <v>0.88043478260869568</v>
      </c>
      <c r="P67" s="857">
        <v>1</v>
      </c>
      <c r="Q67" s="850">
        <v>1</v>
      </c>
      <c r="R67" s="850">
        <v>1</v>
      </c>
      <c r="S67" s="850">
        <v>1</v>
      </c>
      <c r="T67" s="850">
        <v>1</v>
      </c>
      <c r="U67" s="850">
        <v>1</v>
      </c>
      <c r="V67" s="850">
        <v>1</v>
      </c>
      <c r="W67" s="850">
        <v>1</v>
      </c>
      <c r="X67" s="850">
        <v>1</v>
      </c>
      <c r="Y67" s="850">
        <v>1</v>
      </c>
      <c r="Z67" s="850">
        <v>1</v>
      </c>
      <c r="AA67" s="850">
        <v>1</v>
      </c>
      <c r="AB67" s="851">
        <f t="shared" si="14"/>
        <v>1</v>
      </c>
      <c r="AC67" s="850">
        <v>1</v>
      </c>
      <c r="AD67" s="850">
        <v>1</v>
      </c>
      <c r="AE67" s="850">
        <v>1</v>
      </c>
      <c r="AF67" s="850">
        <v>1</v>
      </c>
      <c r="AG67" s="850">
        <v>1</v>
      </c>
      <c r="AH67" s="850">
        <v>1</v>
      </c>
      <c r="AI67" s="850">
        <v>1</v>
      </c>
      <c r="AJ67" s="850">
        <v>1</v>
      </c>
      <c r="AK67" s="850">
        <v>1</v>
      </c>
      <c r="AL67" s="850">
        <v>1</v>
      </c>
      <c r="AM67" s="850">
        <v>1</v>
      </c>
      <c r="AN67" s="850">
        <v>1</v>
      </c>
      <c r="AO67" s="851">
        <f t="shared" ref="AO67:AO69" si="53">CB67/$H67</f>
        <v>1</v>
      </c>
      <c r="AP67" s="850">
        <v>1</v>
      </c>
      <c r="AQ67" s="850">
        <v>1</v>
      </c>
      <c r="AR67" s="850">
        <v>1</v>
      </c>
      <c r="AS67" s="850">
        <v>1</v>
      </c>
      <c r="AT67" s="850">
        <v>1</v>
      </c>
      <c r="AU67" s="850">
        <v>1</v>
      </c>
      <c r="AV67" s="850">
        <v>1</v>
      </c>
      <c r="AW67" s="850">
        <v>1</v>
      </c>
      <c r="AX67" s="850">
        <v>1</v>
      </c>
      <c r="AY67" s="850">
        <v>1</v>
      </c>
      <c r="AZ67" s="850">
        <v>1</v>
      </c>
      <c r="BA67" s="850">
        <v>1</v>
      </c>
      <c r="BB67" s="851">
        <f t="shared" ref="BB67:BB69" si="54">CO67/$L67</f>
        <v>1</v>
      </c>
      <c r="BC67" s="853">
        <f t="shared" ref="BC67:BN69" si="55">$E67*P67</f>
        <v>75</v>
      </c>
      <c r="BD67" s="853">
        <f t="shared" si="55"/>
        <v>75</v>
      </c>
      <c r="BE67" s="853">
        <f t="shared" si="55"/>
        <v>75</v>
      </c>
      <c r="BF67" s="853">
        <f t="shared" si="55"/>
        <v>75</v>
      </c>
      <c r="BG67" s="853">
        <f t="shared" si="55"/>
        <v>75</v>
      </c>
      <c r="BH67" s="853">
        <f t="shared" si="55"/>
        <v>75</v>
      </c>
      <c r="BI67" s="853">
        <f t="shared" si="55"/>
        <v>75</v>
      </c>
      <c r="BJ67" s="853">
        <f t="shared" si="55"/>
        <v>75</v>
      </c>
      <c r="BK67" s="853">
        <f t="shared" si="55"/>
        <v>75</v>
      </c>
      <c r="BL67" s="853">
        <f t="shared" si="55"/>
        <v>75</v>
      </c>
      <c r="BM67" s="853">
        <f t="shared" si="55"/>
        <v>75</v>
      </c>
      <c r="BN67" s="853">
        <f t="shared" si="55"/>
        <v>75</v>
      </c>
      <c r="BO67" s="854">
        <f t="shared" si="18"/>
        <v>900</v>
      </c>
      <c r="BP67" s="853">
        <f t="shared" ref="BP67:CA69" si="56">$I67*AC67</f>
        <v>75</v>
      </c>
      <c r="BQ67" s="853">
        <f t="shared" si="56"/>
        <v>75</v>
      </c>
      <c r="BR67" s="853">
        <f t="shared" si="56"/>
        <v>75</v>
      </c>
      <c r="BS67" s="853">
        <f t="shared" si="56"/>
        <v>75</v>
      </c>
      <c r="BT67" s="853">
        <f t="shared" si="56"/>
        <v>75</v>
      </c>
      <c r="BU67" s="853">
        <f t="shared" si="56"/>
        <v>75</v>
      </c>
      <c r="BV67" s="853">
        <f t="shared" si="56"/>
        <v>75</v>
      </c>
      <c r="BW67" s="853">
        <f t="shared" si="56"/>
        <v>75</v>
      </c>
      <c r="BX67" s="853">
        <f t="shared" si="56"/>
        <v>75</v>
      </c>
      <c r="BY67" s="853">
        <f t="shared" si="56"/>
        <v>75</v>
      </c>
      <c r="BZ67" s="853">
        <f t="shared" si="56"/>
        <v>75</v>
      </c>
      <c r="CA67" s="853">
        <f t="shared" si="56"/>
        <v>75</v>
      </c>
      <c r="CB67" s="854">
        <f t="shared" si="20"/>
        <v>900</v>
      </c>
      <c r="CC67" s="853">
        <f t="shared" ref="CC67:CN69" si="57">$M67*AP67</f>
        <v>67.5</v>
      </c>
      <c r="CD67" s="853">
        <f t="shared" si="57"/>
        <v>67.5</v>
      </c>
      <c r="CE67" s="853">
        <f t="shared" si="57"/>
        <v>67.5</v>
      </c>
      <c r="CF67" s="853">
        <f t="shared" si="57"/>
        <v>67.5</v>
      </c>
      <c r="CG67" s="853">
        <f t="shared" si="57"/>
        <v>67.5</v>
      </c>
      <c r="CH67" s="853">
        <f t="shared" si="57"/>
        <v>67.5</v>
      </c>
      <c r="CI67" s="853">
        <f t="shared" si="57"/>
        <v>67.5</v>
      </c>
      <c r="CJ67" s="853">
        <f t="shared" si="57"/>
        <v>67.5</v>
      </c>
      <c r="CK67" s="853">
        <f t="shared" si="57"/>
        <v>67.5</v>
      </c>
      <c r="CL67" s="853">
        <f t="shared" si="57"/>
        <v>67.5</v>
      </c>
      <c r="CM67" s="853">
        <f t="shared" si="57"/>
        <v>67.5</v>
      </c>
      <c r="CN67" s="853">
        <f t="shared" si="57"/>
        <v>67.5</v>
      </c>
      <c r="CO67" s="854">
        <f t="shared" si="22"/>
        <v>810</v>
      </c>
      <c r="CP67" s="855">
        <f t="shared" si="23"/>
        <v>2610</v>
      </c>
    </row>
    <row r="68" spans="1:94" s="838" customFormat="1">
      <c r="A68" s="856">
        <v>53</v>
      </c>
      <c r="B68" s="846" t="s">
        <v>1705</v>
      </c>
      <c r="C68" s="847">
        <v>4</v>
      </c>
      <c r="D68" s="847">
        <f>'Xpert needs'!AA90*40%</f>
        <v>600</v>
      </c>
      <c r="E68" s="847">
        <f t="shared" si="3"/>
        <v>50</v>
      </c>
      <c r="F68" s="848">
        <f t="shared" si="4"/>
        <v>2.6086956521739131</v>
      </c>
      <c r="G68" s="849">
        <f t="shared" si="5"/>
        <v>0.65217391304347827</v>
      </c>
      <c r="H68" s="847">
        <f t="shared" si="6"/>
        <v>600</v>
      </c>
      <c r="I68" s="847">
        <f t="shared" si="50"/>
        <v>50</v>
      </c>
      <c r="J68" s="848">
        <f t="shared" si="8"/>
        <v>2.6086956521739131</v>
      </c>
      <c r="K68" s="849">
        <f t="shared" si="9"/>
        <v>0.65217391304347827</v>
      </c>
      <c r="L68" s="858">
        <f>H68*90%</f>
        <v>540</v>
      </c>
      <c r="M68" s="847">
        <f t="shared" si="51"/>
        <v>45</v>
      </c>
      <c r="N68" s="848">
        <f t="shared" si="12"/>
        <v>2.347826086956522</v>
      </c>
      <c r="O68" s="849">
        <f t="shared" si="52"/>
        <v>0.58695652173913049</v>
      </c>
      <c r="P68" s="857">
        <v>1</v>
      </c>
      <c r="Q68" s="850">
        <v>1</v>
      </c>
      <c r="R68" s="850">
        <v>1</v>
      </c>
      <c r="S68" s="850">
        <v>1</v>
      </c>
      <c r="T68" s="850">
        <v>1</v>
      </c>
      <c r="U68" s="850">
        <v>1</v>
      </c>
      <c r="V68" s="850">
        <v>1</v>
      </c>
      <c r="W68" s="850">
        <v>1</v>
      </c>
      <c r="X68" s="850">
        <v>1</v>
      </c>
      <c r="Y68" s="850">
        <v>1</v>
      </c>
      <c r="Z68" s="850">
        <v>1</v>
      </c>
      <c r="AA68" s="850">
        <v>1</v>
      </c>
      <c r="AB68" s="851">
        <f t="shared" si="14"/>
        <v>1</v>
      </c>
      <c r="AC68" s="850">
        <v>1</v>
      </c>
      <c r="AD68" s="850">
        <v>1</v>
      </c>
      <c r="AE68" s="850">
        <v>1</v>
      </c>
      <c r="AF68" s="850">
        <v>1</v>
      </c>
      <c r="AG68" s="850">
        <v>1</v>
      </c>
      <c r="AH68" s="850">
        <v>1</v>
      </c>
      <c r="AI68" s="850">
        <v>1</v>
      </c>
      <c r="AJ68" s="850">
        <v>1</v>
      </c>
      <c r="AK68" s="850">
        <v>1</v>
      </c>
      <c r="AL68" s="850">
        <v>1</v>
      </c>
      <c r="AM68" s="850">
        <v>1</v>
      </c>
      <c r="AN68" s="850">
        <v>1</v>
      </c>
      <c r="AO68" s="851">
        <f t="shared" si="53"/>
        <v>1</v>
      </c>
      <c r="AP68" s="850">
        <v>1</v>
      </c>
      <c r="AQ68" s="850">
        <v>1</v>
      </c>
      <c r="AR68" s="850">
        <v>1</v>
      </c>
      <c r="AS68" s="850">
        <v>1</v>
      </c>
      <c r="AT68" s="850">
        <v>1</v>
      </c>
      <c r="AU68" s="850">
        <v>1</v>
      </c>
      <c r="AV68" s="850">
        <v>1</v>
      </c>
      <c r="AW68" s="850">
        <v>1</v>
      </c>
      <c r="AX68" s="850">
        <v>1</v>
      </c>
      <c r="AY68" s="850">
        <v>1</v>
      </c>
      <c r="AZ68" s="850">
        <v>1</v>
      </c>
      <c r="BA68" s="850">
        <v>1</v>
      </c>
      <c r="BB68" s="851">
        <f t="shared" si="54"/>
        <v>1</v>
      </c>
      <c r="BC68" s="853">
        <f t="shared" si="55"/>
        <v>50</v>
      </c>
      <c r="BD68" s="853">
        <f t="shared" si="55"/>
        <v>50</v>
      </c>
      <c r="BE68" s="853">
        <f t="shared" si="55"/>
        <v>50</v>
      </c>
      <c r="BF68" s="853">
        <f t="shared" si="55"/>
        <v>50</v>
      </c>
      <c r="BG68" s="853">
        <f t="shared" si="55"/>
        <v>50</v>
      </c>
      <c r="BH68" s="853">
        <f t="shared" si="55"/>
        <v>50</v>
      </c>
      <c r="BI68" s="853">
        <f t="shared" si="55"/>
        <v>50</v>
      </c>
      <c r="BJ68" s="853">
        <f t="shared" si="55"/>
        <v>50</v>
      </c>
      <c r="BK68" s="853">
        <f t="shared" si="55"/>
        <v>50</v>
      </c>
      <c r="BL68" s="853">
        <f t="shared" si="55"/>
        <v>50</v>
      </c>
      <c r="BM68" s="853">
        <f t="shared" si="55"/>
        <v>50</v>
      </c>
      <c r="BN68" s="853">
        <f t="shared" si="55"/>
        <v>50</v>
      </c>
      <c r="BO68" s="854">
        <f t="shared" si="18"/>
        <v>600</v>
      </c>
      <c r="BP68" s="853">
        <f t="shared" si="56"/>
        <v>50</v>
      </c>
      <c r="BQ68" s="853">
        <f t="shared" si="56"/>
        <v>50</v>
      </c>
      <c r="BR68" s="853">
        <f t="shared" si="56"/>
        <v>50</v>
      </c>
      <c r="BS68" s="853">
        <f t="shared" si="56"/>
        <v>50</v>
      </c>
      <c r="BT68" s="853">
        <f t="shared" si="56"/>
        <v>50</v>
      </c>
      <c r="BU68" s="853">
        <f t="shared" si="56"/>
        <v>50</v>
      </c>
      <c r="BV68" s="853">
        <f t="shared" si="56"/>
        <v>50</v>
      </c>
      <c r="BW68" s="853">
        <f t="shared" si="56"/>
        <v>50</v>
      </c>
      <c r="BX68" s="853">
        <f t="shared" si="56"/>
        <v>50</v>
      </c>
      <c r="BY68" s="853">
        <f t="shared" si="56"/>
        <v>50</v>
      </c>
      <c r="BZ68" s="853">
        <f t="shared" si="56"/>
        <v>50</v>
      </c>
      <c r="CA68" s="853">
        <f t="shared" si="56"/>
        <v>50</v>
      </c>
      <c r="CB68" s="854">
        <f t="shared" si="20"/>
        <v>600</v>
      </c>
      <c r="CC68" s="853">
        <f t="shared" si="57"/>
        <v>45</v>
      </c>
      <c r="CD68" s="853">
        <f t="shared" si="57"/>
        <v>45</v>
      </c>
      <c r="CE68" s="853">
        <f t="shared" si="57"/>
        <v>45</v>
      </c>
      <c r="CF68" s="853">
        <f t="shared" si="57"/>
        <v>45</v>
      </c>
      <c r="CG68" s="853">
        <f t="shared" si="57"/>
        <v>45</v>
      </c>
      <c r="CH68" s="853">
        <f t="shared" si="57"/>
        <v>45</v>
      </c>
      <c r="CI68" s="853">
        <f t="shared" si="57"/>
        <v>45</v>
      </c>
      <c r="CJ68" s="853">
        <f t="shared" si="57"/>
        <v>45</v>
      </c>
      <c r="CK68" s="853">
        <f t="shared" si="57"/>
        <v>45</v>
      </c>
      <c r="CL68" s="853">
        <f t="shared" si="57"/>
        <v>45</v>
      </c>
      <c r="CM68" s="853">
        <f t="shared" si="57"/>
        <v>45</v>
      </c>
      <c r="CN68" s="853">
        <f t="shared" si="57"/>
        <v>45</v>
      </c>
      <c r="CO68" s="854">
        <f t="shared" si="22"/>
        <v>540</v>
      </c>
      <c r="CP68" s="855">
        <f t="shared" si="23"/>
        <v>1740</v>
      </c>
    </row>
    <row r="69" spans="1:94" s="838" customFormat="1">
      <c r="A69" s="856">
        <v>54</v>
      </c>
      <c r="B69" s="846" t="s">
        <v>1337</v>
      </c>
      <c r="C69" s="869">
        <v>4</v>
      </c>
      <c r="D69" s="847">
        <f>'Xpert needs'!AA91</f>
        <v>500</v>
      </c>
      <c r="E69" s="847">
        <f t="shared" si="3"/>
        <v>41.666666666666664</v>
      </c>
      <c r="F69" s="848">
        <f t="shared" si="4"/>
        <v>2.1739130434782608</v>
      </c>
      <c r="G69" s="849">
        <f t="shared" si="5"/>
        <v>0.54347826086956519</v>
      </c>
      <c r="H69" s="847">
        <f t="shared" si="6"/>
        <v>500</v>
      </c>
      <c r="I69" s="847">
        <f t="shared" si="50"/>
        <v>41.666666666666664</v>
      </c>
      <c r="J69" s="848">
        <f t="shared" si="8"/>
        <v>2.1739130434782608</v>
      </c>
      <c r="K69" s="849">
        <f t="shared" si="9"/>
        <v>0.54347826086956519</v>
      </c>
      <c r="L69" s="847">
        <f t="shared" si="10"/>
        <v>500</v>
      </c>
      <c r="M69" s="847">
        <f t="shared" si="51"/>
        <v>41.666666666666664</v>
      </c>
      <c r="N69" s="848">
        <f t="shared" si="12"/>
        <v>2.1739130434782608</v>
      </c>
      <c r="O69" s="849">
        <f t="shared" si="52"/>
        <v>0.54347826086956519</v>
      </c>
      <c r="P69" s="852">
        <v>0.5</v>
      </c>
      <c r="Q69" s="850">
        <v>0.5</v>
      </c>
      <c r="R69" s="850">
        <v>0.5</v>
      </c>
      <c r="S69" s="850">
        <v>0.5</v>
      </c>
      <c r="T69" s="850">
        <v>0.5</v>
      </c>
      <c r="U69" s="850">
        <v>0.5</v>
      </c>
      <c r="V69" s="850">
        <v>0.5</v>
      </c>
      <c r="W69" s="850">
        <v>0.5</v>
      </c>
      <c r="X69" s="850">
        <v>0.5</v>
      </c>
      <c r="Y69" s="850">
        <v>0.5</v>
      </c>
      <c r="Z69" s="850">
        <v>0.5</v>
      </c>
      <c r="AA69" s="850">
        <v>0.5</v>
      </c>
      <c r="AB69" s="851">
        <f t="shared" si="14"/>
        <v>0.50000000000000011</v>
      </c>
      <c r="AC69" s="850">
        <v>0.6</v>
      </c>
      <c r="AD69" s="850">
        <v>0.65</v>
      </c>
      <c r="AE69" s="850">
        <v>0.7</v>
      </c>
      <c r="AF69" s="850">
        <v>0.75</v>
      </c>
      <c r="AG69" s="850">
        <v>0.8</v>
      </c>
      <c r="AH69" s="850">
        <v>0.85</v>
      </c>
      <c r="AI69" s="850">
        <v>0.9</v>
      </c>
      <c r="AJ69" s="850">
        <v>0.95</v>
      </c>
      <c r="AK69" s="850">
        <v>1</v>
      </c>
      <c r="AL69" s="850">
        <v>1</v>
      </c>
      <c r="AM69" s="850">
        <v>1</v>
      </c>
      <c r="AN69" s="850">
        <v>1</v>
      </c>
      <c r="AO69" s="851">
        <f t="shared" si="53"/>
        <v>0.85000000000000009</v>
      </c>
      <c r="AP69" s="850">
        <v>1</v>
      </c>
      <c r="AQ69" s="850">
        <v>1</v>
      </c>
      <c r="AR69" s="850">
        <v>1</v>
      </c>
      <c r="AS69" s="850">
        <v>1</v>
      </c>
      <c r="AT69" s="850">
        <v>1</v>
      </c>
      <c r="AU69" s="850">
        <v>1</v>
      </c>
      <c r="AV69" s="850">
        <v>1</v>
      </c>
      <c r="AW69" s="850">
        <v>1</v>
      </c>
      <c r="AX69" s="850">
        <v>1</v>
      </c>
      <c r="AY69" s="850">
        <v>1</v>
      </c>
      <c r="AZ69" s="850">
        <v>1</v>
      </c>
      <c r="BA69" s="850">
        <v>1</v>
      </c>
      <c r="BB69" s="851">
        <f t="shared" si="54"/>
        <v>1.0000000000000002</v>
      </c>
      <c r="BC69" s="853">
        <f t="shared" si="55"/>
        <v>20.833333333333332</v>
      </c>
      <c r="BD69" s="853">
        <f t="shared" si="55"/>
        <v>20.833333333333332</v>
      </c>
      <c r="BE69" s="853">
        <f t="shared" si="55"/>
        <v>20.833333333333332</v>
      </c>
      <c r="BF69" s="853">
        <f t="shared" si="55"/>
        <v>20.833333333333332</v>
      </c>
      <c r="BG69" s="853">
        <f t="shared" si="55"/>
        <v>20.833333333333332</v>
      </c>
      <c r="BH69" s="853">
        <f t="shared" si="55"/>
        <v>20.833333333333332</v>
      </c>
      <c r="BI69" s="853">
        <f t="shared" si="55"/>
        <v>20.833333333333332</v>
      </c>
      <c r="BJ69" s="853">
        <f t="shared" si="55"/>
        <v>20.833333333333332</v>
      </c>
      <c r="BK69" s="853">
        <f t="shared" si="55"/>
        <v>20.833333333333332</v>
      </c>
      <c r="BL69" s="853">
        <f t="shared" si="55"/>
        <v>20.833333333333332</v>
      </c>
      <c r="BM69" s="853">
        <f t="shared" si="55"/>
        <v>20.833333333333332</v>
      </c>
      <c r="BN69" s="853">
        <f t="shared" si="55"/>
        <v>20.833333333333332</v>
      </c>
      <c r="BO69" s="854">
        <f t="shared" si="18"/>
        <v>250.00000000000003</v>
      </c>
      <c r="BP69" s="853">
        <f t="shared" si="56"/>
        <v>24.999999999999996</v>
      </c>
      <c r="BQ69" s="853">
        <f t="shared" si="56"/>
        <v>27.083333333333332</v>
      </c>
      <c r="BR69" s="853">
        <f t="shared" si="56"/>
        <v>29.166666666666664</v>
      </c>
      <c r="BS69" s="853">
        <f t="shared" si="56"/>
        <v>31.25</v>
      </c>
      <c r="BT69" s="853">
        <f t="shared" si="56"/>
        <v>33.333333333333336</v>
      </c>
      <c r="BU69" s="853">
        <f t="shared" si="56"/>
        <v>35.416666666666664</v>
      </c>
      <c r="BV69" s="853">
        <f t="shared" si="56"/>
        <v>37.5</v>
      </c>
      <c r="BW69" s="853">
        <f t="shared" si="56"/>
        <v>39.583333333333329</v>
      </c>
      <c r="BX69" s="853">
        <f t="shared" si="56"/>
        <v>41.666666666666664</v>
      </c>
      <c r="BY69" s="853">
        <f t="shared" si="56"/>
        <v>41.666666666666664</v>
      </c>
      <c r="BZ69" s="853">
        <f t="shared" si="56"/>
        <v>41.666666666666664</v>
      </c>
      <c r="CA69" s="853">
        <f t="shared" si="56"/>
        <v>41.666666666666664</v>
      </c>
      <c r="CB69" s="854">
        <f t="shared" si="20"/>
        <v>425.00000000000006</v>
      </c>
      <c r="CC69" s="853">
        <f t="shared" si="57"/>
        <v>41.666666666666664</v>
      </c>
      <c r="CD69" s="853">
        <f t="shared" si="57"/>
        <v>41.666666666666664</v>
      </c>
      <c r="CE69" s="853">
        <f t="shared" si="57"/>
        <v>41.666666666666664</v>
      </c>
      <c r="CF69" s="853">
        <f t="shared" si="57"/>
        <v>41.666666666666664</v>
      </c>
      <c r="CG69" s="853">
        <f t="shared" si="57"/>
        <v>41.666666666666664</v>
      </c>
      <c r="CH69" s="853">
        <f t="shared" si="57"/>
        <v>41.666666666666664</v>
      </c>
      <c r="CI69" s="853">
        <f t="shared" si="57"/>
        <v>41.666666666666664</v>
      </c>
      <c r="CJ69" s="853">
        <f t="shared" si="57"/>
        <v>41.666666666666664</v>
      </c>
      <c r="CK69" s="853">
        <f t="shared" si="57"/>
        <v>41.666666666666664</v>
      </c>
      <c r="CL69" s="853">
        <f t="shared" si="57"/>
        <v>41.666666666666664</v>
      </c>
      <c r="CM69" s="853">
        <f t="shared" si="57"/>
        <v>41.666666666666664</v>
      </c>
      <c r="CN69" s="853">
        <f t="shared" si="57"/>
        <v>41.666666666666664</v>
      </c>
      <c r="CO69" s="854">
        <f t="shared" si="22"/>
        <v>500.00000000000006</v>
      </c>
      <c r="CP69" s="855">
        <f t="shared" si="23"/>
        <v>1175.0000000000002</v>
      </c>
    </row>
    <row r="70" spans="1:94" s="838" customFormat="1" ht="26.65" customHeight="1">
      <c r="A70" s="860"/>
      <c r="B70" s="860" t="s">
        <v>809</v>
      </c>
      <c r="C70" s="861">
        <f>SUM(C66:C69)</f>
        <v>142</v>
      </c>
      <c r="D70" s="861">
        <f>SUM(D66:D69)</f>
        <v>31789.082499999993</v>
      </c>
      <c r="E70" s="861">
        <f>D70/12</f>
        <v>2649.0902083333326</v>
      </c>
      <c r="F70" s="862">
        <f t="shared" si="4"/>
        <v>138.21340217391301</v>
      </c>
      <c r="G70" s="863">
        <f t="shared" si="5"/>
        <v>0.97333381812614794</v>
      </c>
      <c r="H70" s="861">
        <f>SUM(H66:H69)</f>
        <v>31789.082499999993</v>
      </c>
      <c r="I70" s="861">
        <f>H70/12</f>
        <v>2649.0902083333326</v>
      </c>
      <c r="J70" s="862">
        <f t="shared" si="8"/>
        <v>138.21340217391301</v>
      </c>
      <c r="K70" s="863">
        <f>J70/C70</f>
        <v>0.97333381812614794</v>
      </c>
      <c r="L70" s="861">
        <f>SUM(L66:L69)</f>
        <v>29130.7469375</v>
      </c>
      <c r="M70" s="861">
        <f>L70/12</f>
        <v>2427.5622447916667</v>
      </c>
      <c r="N70" s="862">
        <f t="shared" si="12"/>
        <v>126.65542146739131</v>
      </c>
      <c r="O70" s="863">
        <f>N70/C70</f>
        <v>0.89193958779853033</v>
      </c>
      <c r="P70" s="864"/>
      <c r="Q70" s="864"/>
      <c r="R70" s="864"/>
      <c r="S70" s="864"/>
      <c r="T70" s="864"/>
      <c r="U70" s="864"/>
      <c r="V70" s="864"/>
      <c r="W70" s="864"/>
      <c r="X70" s="864"/>
      <c r="Y70" s="864"/>
      <c r="Z70" s="864"/>
      <c r="AA70" s="864"/>
      <c r="AB70" s="865">
        <f t="shared" si="14"/>
        <v>0.66210915048756647</v>
      </c>
      <c r="AC70" s="864"/>
      <c r="AD70" s="864"/>
      <c r="AE70" s="864"/>
      <c r="AF70" s="864"/>
      <c r="AG70" s="864"/>
      <c r="AH70" s="864"/>
      <c r="AI70" s="864"/>
      <c r="AJ70" s="864"/>
      <c r="AK70" s="864"/>
      <c r="AL70" s="864"/>
      <c r="AM70" s="864"/>
      <c r="AN70" s="864"/>
      <c r="AO70" s="865">
        <f>CB70/$H70</f>
        <v>0.8059385094611492</v>
      </c>
      <c r="AP70" s="864"/>
      <c r="AQ70" s="864"/>
      <c r="AR70" s="864"/>
      <c r="AS70" s="864"/>
      <c r="AT70" s="864"/>
      <c r="AU70" s="864"/>
      <c r="AV70" s="864"/>
      <c r="AW70" s="864"/>
      <c r="AX70" s="864"/>
      <c r="AY70" s="864"/>
      <c r="AZ70" s="864"/>
      <c r="BA70" s="864"/>
      <c r="BB70" s="865">
        <f>CO70/$L70</f>
        <v>0.99753713833174484</v>
      </c>
      <c r="BC70" s="866">
        <f>SUM(BC66:BC69)</f>
        <v>1735.3284739583335</v>
      </c>
      <c r="BD70" s="866">
        <f t="shared" ref="BD70:BN70" si="58">SUM(BD66:BD69)</f>
        <v>1740.5729973958337</v>
      </c>
      <c r="BE70" s="866">
        <f t="shared" si="58"/>
        <v>1749.9925156250001</v>
      </c>
      <c r="BF70" s="866">
        <f t="shared" si="58"/>
        <v>1759.5935572916667</v>
      </c>
      <c r="BG70" s="866">
        <f t="shared" si="58"/>
        <v>1760.1361276041669</v>
      </c>
      <c r="BH70" s="866">
        <f t="shared" si="58"/>
        <v>1762.4311276041667</v>
      </c>
      <c r="BI70" s="866">
        <f t="shared" si="58"/>
        <v>1756.6312682291662</v>
      </c>
      <c r="BJ70" s="866">
        <f t="shared" si="58"/>
        <v>1756.6312682291662</v>
      </c>
      <c r="BK70" s="866">
        <f t="shared" si="58"/>
        <v>1756.6312682291662</v>
      </c>
      <c r="BL70" s="866">
        <f t="shared" si="58"/>
        <v>1756.6312682291662</v>
      </c>
      <c r="BM70" s="866">
        <f t="shared" si="58"/>
        <v>1756.6312682291662</v>
      </c>
      <c r="BN70" s="866">
        <f t="shared" si="58"/>
        <v>1756.6312682291662</v>
      </c>
      <c r="BO70" s="867">
        <f t="shared" si="18"/>
        <v>21047.842408854161</v>
      </c>
      <c r="BP70" s="866">
        <f>SUM(BP66:BP69)</f>
        <v>1760.3429374999996</v>
      </c>
      <c r="BQ70" s="866">
        <f t="shared" ref="BQ70:CA70" si="59">SUM(BQ66:BQ69)</f>
        <v>1808.3862708333329</v>
      </c>
      <c r="BR70" s="866">
        <f t="shared" si="59"/>
        <v>1840.2398854166665</v>
      </c>
      <c r="BS70" s="866">
        <f t="shared" si="59"/>
        <v>1908.3655104166662</v>
      </c>
      <c r="BT70" s="866">
        <f t="shared" si="59"/>
        <v>1970.8680833333333</v>
      </c>
      <c r="BU70" s="866">
        <f t="shared" si="59"/>
        <v>2046.6066250000003</v>
      </c>
      <c r="BV70" s="866">
        <f t="shared" si="59"/>
        <v>2143.4887838541667</v>
      </c>
      <c r="BW70" s="866">
        <f t="shared" si="59"/>
        <v>2254.4228177083337</v>
      </c>
      <c r="BX70" s="866">
        <f t="shared" si="59"/>
        <v>2365.3568515624997</v>
      </c>
      <c r="BY70" s="866">
        <f t="shared" si="59"/>
        <v>2474.2075520833337</v>
      </c>
      <c r="BZ70" s="866">
        <f t="shared" si="59"/>
        <v>2507.052838541666</v>
      </c>
      <c r="CA70" s="866">
        <f t="shared" si="59"/>
        <v>2540.7076109374993</v>
      </c>
      <c r="CB70" s="867">
        <f t="shared" si="20"/>
        <v>25620.045767187497</v>
      </c>
      <c r="CC70" s="866">
        <f>SUM(CC66:CC69)</f>
        <v>2391.6897447916667</v>
      </c>
      <c r="CD70" s="866">
        <f t="shared" ref="CD70:CN70" si="60">SUM(CD66:CD69)</f>
        <v>2403.6472447916667</v>
      </c>
      <c r="CE70" s="866">
        <f t="shared" si="60"/>
        <v>2415.6047447916667</v>
      </c>
      <c r="CF70" s="866">
        <f t="shared" si="60"/>
        <v>2427.5622447916662</v>
      </c>
      <c r="CG70" s="866">
        <f t="shared" si="60"/>
        <v>2427.5622447916662</v>
      </c>
      <c r="CH70" s="866">
        <f t="shared" si="60"/>
        <v>2427.5622447916662</v>
      </c>
      <c r="CI70" s="866">
        <f t="shared" si="60"/>
        <v>2427.5622447916662</v>
      </c>
      <c r="CJ70" s="866">
        <f t="shared" si="60"/>
        <v>2427.5622447916662</v>
      </c>
      <c r="CK70" s="866">
        <f t="shared" si="60"/>
        <v>2427.5622447916662</v>
      </c>
      <c r="CL70" s="866">
        <f t="shared" si="60"/>
        <v>2427.5622447916662</v>
      </c>
      <c r="CM70" s="866">
        <f t="shared" si="60"/>
        <v>2427.5622447916662</v>
      </c>
      <c r="CN70" s="866">
        <f t="shared" si="60"/>
        <v>2427.5622447916662</v>
      </c>
      <c r="CO70" s="867">
        <f t="shared" si="22"/>
        <v>29059.00193749999</v>
      </c>
      <c r="CP70" s="870">
        <f t="shared" si="23"/>
        <v>75726.890113541653</v>
      </c>
    </row>
    <row r="71" spans="1:94" ht="14.45" customHeight="1">
      <c r="Z71" s="872"/>
      <c r="BM71" s="872"/>
    </row>
    <row r="72" spans="1:94" ht="23.1" customHeight="1">
      <c r="B72" s="1214" t="s">
        <v>1359</v>
      </c>
      <c r="C72" s="874" t="s">
        <v>876</v>
      </c>
      <c r="D72" s="874" t="s">
        <v>877</v>
      </c>
      <c r="E72" s="874" t="s">
        <v>1339</v>
      </c>
      <c r="G72" s="1845" t="s">
        <v>1361</v>
      </c>
      <c r="H72" s="1845"/>
      <c r="I72" s="1845"/>
      <c r="J72" s="874" t="s">
        <v>979</v>
      </c>
      <c r="K72" s="874" t="s">
        <v>980</v>
      </c>
      <c r="L72" s="874" t="s">
        <v>1360</v>
      </c>
      <c r="M72" s="834"/>
      <c r="R72" s="872"/>
      <c r="BE72" s="872"/>
      <c r="CG72" s="875"/>
    </row>
    <row r="73" spans="1:94" ht="14.45" customHeight="1">
      <c r="B73" s="876" t="s">
        <v>1265</v>
      </c>
      <c r="C73" s="1213">
        <f>COUNTIF(C14:C69,2)</f>
        <v>37</v>
      </c>
      <c r="D73" s="878">
        <v>0</v>
      </c>
      <c r="E73" s="878">
        <f>C73-D73</f>
        <v>37</v>
      </c>
      <c r="G73" s="1846" t="s">
        <v>1362</v>
      </c>
      <c r="H73" s="1847"/>
      <c r="I73" s="1848"/>
      <c r="J73" s="879">
        <f>SUM(C18,C24,C32,C33,C42,C43,C48,C49,C55,C56,C62,C63,C64,C65,C67,C68,C69)</f>
        <v>68</v>
      </c>
      <c r="K73" s="879">
        <f>C70</f>
        <v>142</v>
      </c>
      <c r="L73" s="879">
        <f>C70</f>
        <v>142</v>
      </c>
      <c r="M73" s="834"/>
      <c r="R73" s="872"/>
      <c r="BE73" s="872"/>
      <c r="CG73" s="880"/>
    </row>
    <row r="74" spans="1:94" ht="14.45" customHeight="1">
      <c r="B74" s="876" t="s">
        <v>1264</v>
      </c>
      <c r="C74" s="1213">
        <f>COUNTIF(C14:C69,4)</f>
        <v>17</v>
      </c>
      <c r="D74" s="878">
        <v>17</v>
      </c>
      <c r="E74" s="878">
        <f>C74-D74</f>
        <v>0</v>
      </c>
      <c r="G74" s="1845" t="s">
        <v>1771</v>
      </c>
      <c r="H74" s="1845"/>
      <c r="I74" s="1845"/>
      <c r="J74" s="874" t="s">
        <v>979</v>
      </c>
      <c r="K74" s="874" t="s">
        <v>980</v>
      </c>
      <c r="L74" s="874" t="s">
        <v>1360</v>
      </c>
      <c r="M74" s="834"/>
      <c r="R74" s="872"/>
      <c r="BE74" s="872"/>
      <c r="CG74" s="875"/>
    </row>
    <row r="75" spans="1:94" ht="14.45" customHeight="1">
      <c r="B75" s="1213" t="s">
        <v>4</v>
      </c>
      <c r="C75" s="1213">
        <f>SUM(C73:C74)</f>
        <v>54</v>
      </c>
      <c r="D75" s="1213">
        <f>SUM(D73:D74)</f>
        <v>17</v>
      </c>
      <c r="E75" s="1213">
        <f t="shared" ref="E75" si="61">SUM(E73:E74)</f>
        <v>37</v>
      </c>
      <c r="G75" s="1846" t="s">
        <v>1772</v>
      </c>
      <c r="H75" s="1847"/>
      <c r="I75" s="1848"/>
      <c r="J75" s="879">
        <f>COUNTA(B18,B24,B32,B42,B43,B48,B49,B55,B67)</f>
        <v>9</v>
      </c>
      <c r="K75" s="879">
        <f>COUNTA(B14,B15,B16,B17,B18,B19,B20,B21,B22,B23,B24,B25,B26,B27,B28,B29,B30,B31,B32,B34,B35,B36,B37,B38,B39,B40,B41,B42,B43,B44,B45,B46,B47,B48,B49,B50,B51,B52,B53,B54,B55,B67)</f>
        <v>42</v>
      </c>
      <c r="L75" s="879">
        <f>COUNTA(B14,B15,B16,B17,B18,B19,B20,B21,B22,B23,B24,B25,B26,B27,B28,B29,B30,B31,B32,B34,B35,B36,B37,B38,B39,B40,B41,B42,B43,B44,B45,B46,B47,B48,B49,B50,B51,B52,B53,B54,B55,B67)</f>
        <v>42</v>
      </c>
      <c r="M75" s="834"/>
      <c r="R75" s="872"/>
      <c r="BE75" s="872"/>
    </row>
    <row r="76" spans="1:94" ht="14.45" customHeight="1">
      <c r="H76" s="834"/>
      <c r="I76" s="834"/>
      <c r="L76" s="834"/>
      <c r="M76" s="834"/>
      <c r="R76" s="872"/>
      <c r="BE76" s="872"/>
    </row>
    <row r="77" spans="1:94" ht="12.4" customHeight="1">
      <c r="B77" s="837" t="s">
        <v>1332</v>
      </c>
      <c r="C77" s="838"/>
      <c r="E77" s="835"/>
      <c r="I77" s="835"/>
      <c r="M77" s="835"/>
    </row>
    <row r="78" spans="1:94" ht="16.899999999999999" customHeight="1">
      <c r="B78" s="838" t="s">
        <v>1708</v>
      </c>
      <c r="C78" s="839">
        <f>C133</f>
        <v>43</v>
      </c>
      <c r="E78" s="835"/>
      <c r="I78" s="835"/>
      <c r="M78" s="835"/>
      <c r="Q78" s="539"/>
      <c r="AD78" s="539"/>
      <c r="AQ78" s="539"/>
    </row>
    <row r="79" spans="1:94" ht="16.899999999999999" customHeight="1">
      <c r="B79" s="838" t="s">
        <v>1331</v>
      </c>
      <c r="C79" s="839">
        <f>E133</f>
        <v>26</v>
      </c>
      <c r="E79" s="835"/>
      <c r="I79" s="835"/>
      <c r="M79" s="835"/>
      <c r="Q79" s="539"/>
      <c r="AD79" s="539"/>
      <c r="AQ79" s="539"/>
    </row>
    <row r="80" spans="1:94" ht="16.5" customHeight="1">
      <c r="B80" s="838"/>
      <c r="C80" s="881"/>
      <c r="E80" s="835"/>
      <c r="I80" s="835"/>
      <c r="M80" s="835"/>
    </row>
    <row r="81" spans="1:94" ht="30.6" customHeight="1">
      <c r="A81" s="1841" t="s">
        <v>243</v>
      </c>
      <c r="B81" s="1841" t="s">
        <v>1338</v>
      </c>
      <c r="C81" s="1839" t="s">
        <v>1266</v>
      </c>
      <c r="D81" s="1836" t="s">
        <v>1349</v>
      </c>
      <c r="E81" s="1837"/>
      <c r="F81" s="1837"/>
      <c r="G81" s="1838"/>
      <c r="H81" s="1836" t="s">
        <v>1350</v>
      </c>
      <c r="I81" s="1837"/>
      <c r="J81" s="1837"/>
      <c r="K81" s="1838"/>
      <c r="L81" s="1836" t="s">
        <v>1351</v>
      </c>
      <c r="M81" s="1837"/>
      <c r="N81" s="1837"/>
      <c r="O81" s="1838"/>
      <c r="P81" s="1836" t="s">
        <v>1342</v>
      </c>
      <c r="Q81" s="1837"/>
      <c r="R81" s="1837"/>
      <c r="S81" s="1837"/>
      <c r="T81" s="1837"/>
      <c r="U81" s="1837"/>
      <c r="V81" s="1837"/>
      <c r="W81" s="1837"/>
      <c r="X81" s="1837"/>
      <c r="Y81" s="1837"/>
      <c r="Z81" s="1837"/>
      <c r="AA81" s="1837"/>
      <c r="AB81" s="1838"/>
      <c r="AC81" s="1836" t="s">
        <v>1343</v>
      </c>
      <c r="AD81" s="1837"/>
      <c r="AE81" s="1837"/>
      <c r="AF81" s="1837"/>
      <c r="AG81" s="1837"/>
      <c r="AH81" s="1837"/>
      <c r="AI81" s="1837"/>
      <c r="AJ81" s="1837"/>
      <c r="AK81" s="1837"/>
      <c r="AL81" s="1837"/>
      <c r="AM81" s="1837"/>
      <c r="AN81" s="1837"/>
      <c r="AO81" s="1838"/>
      <c r="AP81" s="1836" t="s">
        <v>1344</v>
      </c>
      <c r="AQ81" s="1837"/>
      <c r="AR81" s="1837"/>
      <c r="AS81" s="1837"/>
      <c r="AT81" s="1837"/>
      <c r="AU81" s="1837"/>
      <c r="AV81" s="1837"/>
      <c r="AW81" s="1837"/>
      <c r="AX81" s="1837"/>
      <c r="AY81" s="1837"/>
      <c r="AZ81" s="1837"/>
      <c r="BA81" s="1837"/>
      <c r="BB81" s="1838"/>
      <c r="BC81" s="1836" t="s">
        <v>1345</v>
      </c>
      <c r="BD81" s="1837"/>
      <c r="BE81" s="1837"/>
      <c r="BF81" s="1837"/>
      <c r="BG81" s="1837"/>
      <c r="BH81" s="1837"/>
      <c r="BI81" s="1837"/>
      <c r="BJ81" s="1837"/>
      <c r="BK81" s="1837"/>
      <c r="BL81" s="1837"/>
      <c r="BM81" s="1837"/>
      <c r="BN81" s="1837"/>
      <c r="BO81" s="1838"/>
      <c r="BP81" s="1836" t="s">
        <v>1346</v>
      </c>
      <c r="BQ81" s="1837"/>
      <c r="BR81" s="1837"/>
      <c r="BS81" s="1837"/>
      <c r="BT81" s="1837"/>
      <c r="BU81" s="1837"/>
      <c r="BV81" s="1837"/>
      <c r="BW81" s="1837"/>
      <c r="BX81" s="1837"/>
      <c r="BY81" s="1837"/>
      <c r="BZ81" s="1837"/>
      <c r="CA81" s="1837"/>
      <c r="CB81" s="1838"/>
      <c r="CC81" s="1836" t="s">
        <v>1347</v>
      </c>
      <c r="CD81" s="1837"/>
      <c r="CE81" s="1837"/>
      <c r="CF81" s="1837"/>
      <c r="CG81" s="1837"/>
      <c r="CH81" s="1837"/>
      <c r="CI81" s="1837"/>
      <c r="CJ81" s="1837"/>
      <c r="CK81" s="1837"/>
      <c r="CL81" s="1837"/>
      <c r="CM81" s="1837"/>
      <c r="CN81" s="1837"/>
      <c r="CO81" s="1838"/>
      <c r="CP81" s="1843" t="s">
        <v>1348</v>
      </c>
    </row>
    <row r="82" spans="1:94" ht="48">
      <c r="A82" s="1841"/>
      <c r="B82" s="1841"/>
      <c r="C82" s="1840"/>
      <c r="D82" s="842" t="s">
        <v>1267</v>
      </c>
      <c r="E82" s="842" t="s">
        <v>1268</v>
      </c>
      <c r="F82" s="842" t="s">
        <v>1340</v>
      </c>
      <c r="G82" s="842" t="s">
        <v>1341</v>
      </c>
      <c r="H82" s="842" t="s">
        <v>1267</v>
      </c>
      <c r="I82" s="842" t="s">
        <v>1268</v>
      </c>
      <c r="J82" s="842" t="s">
        <v>1340</v>
      </c>
      <c r="K82" s="842" t="s">
        <v>1341</v>
      </c>
      <c r="L82" s="842" t="s">
        <v>1267</v>
      </c>
      <c r="M82" s="842" t="s">
        <v>1268</v>
      </c>
      <c r="N82" s="842" t="s">
        <v>1340</v>
      </c>
      <c r="O82" s="842" t="s">
        <v>1341</v>
      </c>
      <c r="P82" s="843">
        <f>P13</f>
        <v>42370</v>
      </c>
      <c r="Q82" s="843">
        <f t="shared" ref="Q82:AA82" si="62">Q13</f>
        <v>42401</v>
      </c>
      <c r="R82" s="843">
        <f t="shared" si="62"/>
        <v>42430</v>
      </c>
      <c r="S82" s="843">
        <f t="shared" si="62"/>
        <v>42461</v>
      </c>
      <c r="T82" s="843">
        <f t="shared" si="62"/>
        <v>42491</v>
      </c>
      <c r="U82" s="843">
        <f t="shared" si="62"/>
        <v>42522</v>
      </c>
      <c r="V82" s="843">
        <f t="shared" si="62"/>
        <v>42552</v>
      </c>
      <c r="W82" s="843">
        <f t="shared" si="62"/>
        <v>42583</v>
      </c>
      <c r="X82" s="843">
        <f t="shared" si="62"/>
        <v>42614</v>
      </c>
      <c r="Y82" s="843">
        <f t="shared" si="62"/>
        <v>42644</v>
      </c>
      <c r="Z82" s="843">
        <f t="shared" si="62"/>
        <v>42675</v>
      </c>
      <c r="AA82" s="843">
        <f t="shared" si="62"/>
        <v>42705</v>
      </c>
      <c r="AB82" s="844" t="str">
        <f>AB13</f>
        <v>Year 1 Total</v>
      </c>
      <c r="AC82" s="843">
        <f>AC13</f>
        <v>42736</v>
      </c>
      <c r="AD82" s="843">
        <f t="shared" ref="AD82:AN82" si="63">AD13</f>
        <v>42767</v>
      </c>
      <c r="AE82" s="843">
        <f t="shared" si="63"/>
        <v>42795</v>
      </c>
      <c r="AF82" s="843">
        <f t="shared" si="63"/>
        <v>42826</v>
      </c>
      <c r="AG82" s="843">
        <f t="shared" si="63"/>
        <v>42856</v>
      </c>
      <c r="AH82" s="843">
        <f t="shared" si="63"/>
        <v>42887</v>
      </c>
      <c r="AI82" s="843">
        <f t="shared" si="63"/>
        <v>42917</v>
      </c>
      <c r="AJ82" s="843">
        <f t="shared" si="63"/>
        <v>42948</v>
      </c>
      <c r="AK82" s="843">
        <f t="shared" si="63"/>
        <v>42979</v>
      </c>
      <c r="AL82" s="843">
        <f t="shared" si="63"/>
        <v>43009</v>
      </c>
      <c r="AM82" s="843">
        <f t="shared" si="63"/>
        <v>43040</v>
      </c>
      <c r="AN82" s="843">
        <f t="shared" si="63"/>
        <v>43070</v>
      </c>
      <c r="AO82" s="844" t="str">
        <f>AO13</f>
        <v>Year 2 Total</v>
      </c>
      <c r="AP82" s="843">
        <f>AP13</f>
        <v>43101</v>
      </c>
      <c r="AQ82" s="843">
        <f t="shared" ref="AQ82:BA82" si="64">AQ13</f>
        <v>43132</v>
      </c>
      <c r="AR82" s="843">
        <f t="shared" si="64"/>
        <v>43160</v>
      </c>
      <c r="AS82" s="843">
        <f t="shared" si="64"/>
        <v>43191</v>
      </c>
      <c r="AT82" s="843">
        <f t="shared" si="64"/>
        <v>43221</v>
      </c>
      <c r="AU82" s="843">
        <f t="shared" si="64"/>
        <v>43252</v>
      </c>
      <c r="AV82" s="843">
        <f t="shared" si="64"/>
        <v>43282</v>
      </c>
      <c r="AW82" s="843">
        <f t="shared" si="64"/>
        <v>43313</v>
      </c>
      <c r="AX82" s="843">
        <f t="shared" si="64"/>
        <v>43344</v>
      </c>
      <c r="AY82" s="843">
        <f t="shared" si="64"/>
        <v>43374</v>
      </c>
      <c r="AZ82" s="843">
        <f t="shared" si="64"/>
        <v>43405</v>
      </c>
      <c r="BA82" s="843">
        <f t="shared" si="64"/>
        <v>43435</v>
      </c>
      <c r="BB82" s="844" t="str">
        <f>BB13</f>
        <v>Year 3 Total</v>
      </c>
      <c r="BC82" s="843">
        <f>BC13</f>
        <v>42370</v>
      </c>
      <c r="BD82" s="843">
        <f t="shared" ref="BD82:BN82" si="65">BD13</f>
        <v>42401</v>
      </c>
      <c r="BE82" s="843">
        <f t="shared" si="65"/>
        <v>42430</v>
      </c>
      <c r="BF82" s="843">
        <f t="shared" si="65"/>
        <v>42461</v>
      </c>
      <c r="BG82" s="843">
        <f t="shared" si="65"/>
        <v>42491</v>
      </c>
      <c r="BH82" s="843">
        <f t="shared" si="65"/>
        <v>42522</v>
      </c>
      <c r="BI82" s="843">
        <f t="shared" si="65"/>
        <v>42552</v>
      </c>
      <c r="BJ82" s="843">
        <f t="shared" si="65"/>
        <v>42583</v>
      </c>
      <c r="BK82" s="843">
        <f t="shared" si="65"/>
        <v>42614</v>
      </c>
      <c r="BL82" s="843">
        <f t="shared" si="65"/>
        <v>42644</v>
      </c>
      <c r="BM82" s="843">
        <f t="shared" si="65"/>
        <v>42675</v>
      </c>
      <c r="BN82" s="843">
        <f t="shared" si="65"/>
        <v>42705</v>
      </c>
      <c r="BO82" s="844" t="str">
        <f>BO13</f>
        <v>Year 1 Total</v>
      </c>
      <c r="BP82" s="843">
        <f>BP13</f>
        <v>42736</v>
      </c>
      <c r="BQ82" s="843">
        <f t="shared" ref="BQ82:CA82" si="66">BQ13</f>
        <v>42767</v>
      </c>
      <c r="BR82" s="843">
        <f t="shared" si="66"/>
        <v>42795</v>
      </c>
      <c r="BS82" s="843">
        <f t="shared" si="66"/>
        <v>42826</v>
      </c>
      <c r="BT82" s="843">
        <f t="shared" si="66"/>
        <v>42856</v>
      </c>
      <c r="BU82" s="843">
        <f t="shared" si="66"/>
        <v>42887</v>
      </c>
      <c r="BV82" s="843">
        <f t="shared" si="66"/>
        <v>42917</v>
      </c>
      <c r="BW82" s="843">
        <f t="shared" si="66"/>
        <v>42948</v>
      </c>
      <c r="BX82" s="843">
        <f t="shared" si="66"/>
        <v>42979</v>
      </c>
      <c r="BY82" s="843">
        <f t="shared" si="66"/>
        <v>43009</v>
      </c>
      <c r="BZ82" s="843">
        <f t="shared" si="66"/>
        <v>43040</v>
      </c>
      <c r="CA82" s="843">
        <f t="shared" si="66"/>
        <v>43070</v>
      </c>
      <c r="CB82" s="844" t="str">
        <f>CB13</f>
        <v>Year 2 Total</v>
      </c>
      <c r="CC82" s="843">
        <f>CC13</f>
        <v>43101</v>
      </c>
      <c r="CD82" s="843">
        <f t="shared" ref="CD82:CN82" si="67">CD13</f>
        <v>43132</v>
      </c>
      <c r="CE82" s="843">
        <f t="shared" si="67"/>
        <v>43160</v>
      </c>
      <c r="CF82" s="843">
        <f t="shared" si="67"/>
        <v>43191</v>
      </c>
      <c r="CG82" s="843">
        <f t="shared" si="67"/>
        <v>43221</v>
      </c>
      <c r="CH82" s="843">
        <f t="shared" si="67"/>
        <v>43252</v>
      </c>
      <c r="CI82" s="843">
        <f t="shared" si="67"/>
        <v>43282</v>
      </c>
      <c r="CJ82" s="843">
        <f t="shared" si="67"/>
        <v>43313</v>
      </c>
      <c r="CK82" s="843">
        <f t="shared" si="67"/>
        <v>43344</v>
      </c>
      <c r="CL82" s="843">
        <f t="shared" si="67"/>
        <v>43374</v>
      </c>
      <c r="CM82" s="843">
        <f t="shared" si="67"/>
        <v>43405</v>
      </c>
      <c r="CN82" s="843">
        <f t="shared" si="67"/>
        <v>43435</v>
      </c>
      <c r="CO82" s="844" t="str">
        <f>CO13</f>
        <v>Year 3 Total</v>
      </c>
      <c r="CP82" s="1844"/>
    </row>
    <row r="83" spans="1:94">
      <c r="A83" s="845">
        <v>1</v>
      </c>
      <c r="B83" s="846" t="s">
        <v>879</v>
      </c>
      <c r="C83" s="847">
        <v>2</v>
      </c>
      <c r="D83" s="847">
        <f>'Xpert needs'!AB8</f>
        <v>712.80000000000007</v>
      </c>
      <c r="E83" s="847">
        <f>D83/12</f>
        <v>59.400000000000006</v>
      </c>
      <c r="F83" s="848">
        <f>D83/230</f>
        <v>3.0991304347826092</v>
      </c>
      <c r="G83" s="849">
        <f>F83/C83</f>
        <v>1.5495652173913046</v>
      </c>
      <c r="H83" s="847">
        <f>D83</f>
        <v>712.80000000000007</v>
      </c>
      <c r="I83" s="847">
        <f>H83/12</f>
        <v>59.400000000000006</v>
      </c>
      <c r="J83" s="848">
        <f>H83/230</f>
        <v>3.0991304347826092</v>
      </c>
      <c r="K83" s="849">
        <f>J83/C83</f>
        <v>1.5495652173913046</v>
      </c>
      <c r="L83" s="847">
        <f>H83</f>
        <v>712.80000000000007</v>
      </c>
      <c r="M83" s="847">
        <f>L83/12</f>
        <v>59.400000000000006</v>
      </c>
      <c r="N83" s="848">
        <f>L83/230</f>
        <v>3.0991304347826092</v>
      </c>
      <c r="O83" s="849">
        <f>N83/C83</f>
        <v>1.5495652173913046</v>
      </c>
      <c r="P83" s="850"/>
      <c r="Q83" s="850"/>
      <c r="R83" s="850"/>
      <c r="S83" s="850"/>
      <c r="T83" s="850"/>
      <c r="U83" s="850"/>
      <c r="V83" s="850"/>
      <c r="W83" s="850"/>
      <c r="X83" s="850"/>
      <c r="Y83" s="850"/>
      <c r="Z83" s="850"/>
      <c r="AA83" s="850"/>
      <c r="AB83" s="851">
        <f>BO83/$D83</f>
        <v>0</v>
      </c>
      <c r="AC83" s="850"/>
      <c r="AD83" s="850"/>
      <c r="AE83" s="850"/>
      <c r="AF83" s="850"/>
      <c r="AG83" s="850"/>
      <c r="AH83" s="850"/>
      <c r="AI83" s="852">
        <v>0.1</v>
      </c>
      <c r="AJ83" s="850">
        <v>0.2</v>
      </c>
      <c r="AK83" s="850">
        <v>0.3</v>
      </c>
      <c r="AL83" s="850">
        <v>0.4</v>
      </c>
      <c r="AM83" s="850">
        <v>0.5</v>
      </c>
      <c r="AN83" s="850">
        <v>0.6</v>
      </c>
      <c r="AO83" s="851">
        <f>CB83/$H83</f>
        <v>0.17499999999999999</v>
      </c>
      <c r="AP83" s="850">
        <v>0.7</v>
      </c>
      <c r="AQ83" s="850">
        <v>0.8</v>
      </c>
      <c r="AR83" s="850">
        <v>0.9</v>
      </c>
      <c r="AS83" s="850">
        <v>1</v>
      </c>
      <c r="AT83" s="850">
        <v>1</v>
      </c>
      <c r="AU83" s="850">
        <v>1</v>
      </c>
      <c r="AV83" s="850">
        <v>1</v>
      </c>
      <c r="AW83" s="850">
        <v>1</v>
      </c>
      <c r="AX83" s="850">
        <v>1</v>
      </c>
      <c r="AY83" s="850">
        <v>1</v>
      </c>
      <c r="AZ83" s="850">
        <v>1</v>
      </c>
      <c r="BA83" s="850">
        <v>1</v>
      </c>
      <c r="BB83" s="851">
        <f>CO83/$L83</f>
        <v>0.94999999999999973</v>
      </c>
      <c r="BC83" s="853">
        <f>$E83*P83</f>
        <v>0</v>
      </c>
      <c r="BD83" s="853">
        <f t="shared" ref="BD83:BN106" si="68">$E83*Q83</f>
        <v>0</v>
      </c>
      <c r="BE83" s="853">
        <f t="shared" si="68"/>
        <v>0</v>
      </c>
      <c r="BF83" s="853">
        <f t="shared" si="68"/>
        <v>0</v>
      </c>
      <c r="BG83" s="853">
        <f t="shared" si="68"/>
        <v>0</v>
      </c>
      <c r="BH83" s="853">
        <f t="shared" si="68"/>
        <v>0</v>
      </c>
      <c r="BI83" s="853">
        <f t="shared" si="68"/>
        <v>0</v>
      </c>
      <c r="BJ83" s="853">
        <f t="shared" si="68"/>
        <v>0</v>
      </c>
      <c r="BK83" s="853">
        <f t="shared" si="68"/>
        <v>0</v>
      </c>
      <c r="BL83" s="853">
        <f t="shared" si="68"/>
        <v>0</v>
      </c>
      <c r="BM83" s="853">
        <f t="shared" si="68"/>
        <v>0</v>
      </c>
      <c r="BN83" s="853">
        <f t="shared" si="68"/>
        <v>0</v>
      </c>
      <c r="BO83" s="854">
        <f>SUM(BC83:BN83)</f>
        <v>0</v>
      </c>
      <c r="BP83" s="853">
        <f>$I83*AC83</f>
        <v>0</v>
      </c>
      <c r="BQ83" s="853">
        <f t="shared" ref="BQ83:CA106" si="69">$I83*AD83</f>
        <v>0</v>
      </c>
      <c r="BR83" s="853">
        <f t="shared" si="69"/>
        <v>0</v>
      </c>
      <c r="BS83" s="853">
        <f t="shared" si="69"/>
        <v>0</v>
      </c>
      <c r="BT83" s="853">
        <f t="shared" si="69"/>
        <v>0</v>
      </c>
      <c r="BU83" s="853">
        <f t="shared" si="69"/>
        <v>0</v>
      </c>
      <c r="BV83" s="853">
        <f t="shared" si="69"/>
        <v>5.9400000000000013</v>
      </c>
      <c r="BW83" s="853">
        <f t="shared" si="69"/>
        <v>11.880000000000003</v>
      </c>
      <c r="BX83" s="853">
        <f t="shared" si="69"/>
        <v>17.82</v>
      </c>
      <c r="BY83" s="853">
        <f t="shared" si="69"/>
        <v>23.760000000000005</v>
      </c>
      <c r="BZ83" s="853">
        <f t="shared" si="69"/>
        <v>29.700000000000003</v>
      </c>
      <c r="CA83" s="853">
        <f t="shared" si="69"/>
        <v>35.64</v>
      </c>
      <c r="CB83" s="854">
        <f>SUM(BP83:CA83)</f>
        <v>124.74000000000001</v>
      </c>
      <c r="CC83" s="853">
        <f>$M83*AP83</f>
        <v>41.58</v>
      </c>
      <c r="CD83" s="853">
        <f t="shared" ref="CD83:CN106" si="70">$M83*AQ83</f>
        <v>47.52000000000001</v>
      </c>
      <c r="CE83" s="853">
        <f t="shared" si="70"/>
        <v>53.460000000000008</v>
      </c>
      <c r="CF83" s="853">
        <f t="shared" si="70"/>
        <v>59.400000000000006</v>
      </c>
      <c r="CG83" s="853">
        <f t="shared" si="70"/>
        <v>59.400000000000006</v>
      </c>
      <c r="CH83" s="853">
        <f t="shared" si="70"/>
        <v>59.400000000000006</v>
      </c>
      <c r="CI83" s="853">
        <f t="shared" si="70"/>
        <v>59.400000000000006</v>
      </c>
      <c r="CJ83" s="853">
        <f t="shared" si="70"/>
        <v>59.400000000000006</v>
      </c>
      <c r="CK83" s="853">
        <f t="shared" si="70"/>
        <v>59.400000000000006</v>
      </c>
      <c r="CL83" s="853">
        <f t="shared" si="70"/>
        <v>59.400000000000006</v>
      </c>
      <c r="CM83" s="853">
        <f t="shared" si="70"/>
        <v>59.400000000000006</v>
      </c>
      <c r="CN83" s="853">
        <f t="shared" si="70"/>
        <v>59.400000000000006</v>
      </c>
      <c r="CO83" s="854">
        <f>SUM(CC83:CN83)</f>
        <v>677.15999999999985</v>
      </c>
      <c r="CP83" s="855">
        <f>SUM(BO83,CB83,CO83)</f>
        <v>801.89999999999986</v>
      </c>
    </row>
    <row r="84" spans="1:94">
      <c r="A84" s="845">
        <v>2</v>
      </c>
      <c r="B84" s="846" t="s">
        <v>887</v>
      </c>
      <c r="C84" s="847">
        <v>2</v>
      </c>
      <c r="D84" s="847">
        <f>'Xpert needs'!AB14</f>
        <v>504</v>
      </c>
      <c r="E84" s="847">
        <f t="shared" ref="E84:E118" si="71">D84/12</f>
        <v>42</v>
      </c>
      <c r="F84" s="848">
        <f t="shared" ref="F84:F128" si="72">D84/230</f>
        <v>2.1913043478260867</v>
      </c>
      <c r="G84" s="849">
        <f t="shared" ref="G84:G128" si="73">F84/C84</f>
        <v>1.0956521739130434</v>
      </c>
      <c r="H84" s="847">
        <f t="shared" ref="H84:H118" si="74">D84</f>
        <v>504</v>
      </c>
      <c r="I84" s="847">
        <f t="shared" ref="I84:I118" si="75">H84/12</f>
        <v>42</v>
      </c>
      <c r="J84" s="848">
        <f t="shared" ref="J84:J128" si="76">H84/230</f>
        <v>2.1913043478260867</v>
      </c>
      <c r="K84" s="849">
        <f t="shared" ref="K84:K118" si="77">J84/C84</f>
        <v>1.0956521739130434</v>
      </c>
      <c r="L84" s="847">
        <f t="shared" ref="L84:L88" si="78">H84</f>
        <v>504</v>
      </c>
      <c r="M84" s="847">
        <f t="shared" ref="M84:M118" si="79">L84/12</f>
        <v>42</v>
      </c>
      <c r="N84" s="848">
        <f t="shared" ref="N84:N128" si="80">L84/230</f>
        <v>2.1913043478260867</v>
      </c>
      <c r="O84" s="849">
        <f t="shared" ref="O84:O118" si="81">N84/C84</f>
        <v>1.0956521739130434</v>
      </c>
      <c r="P84" s="850"/>
      <c r="Q84" s="850"/>
      <c r="R84" s="850"/>
      <c r="S84" s="850"/>
      <c r="T84" s="850"/>
      <c r="U84" s="850"/>
      <c r="V84" s="850"/>
      <c r="W84" s="850"/>
      <c r="X84" s="850"/>
      <c r="Y84" s="850"/>
      <c r="Z84" s="850"/>
      <c r="AA84" s="850"/>
      <c r="AB84" s="851">
        <f t="shared" ref="AB84:AB128" si="82">BO84/$D84</f>
        <v>0</v>
      </c>
      <c r="AC84" s="852">
        <v>0.1</v>
      </c>
      <c r="AD84" s="850">
        <v>0.3</v>
      </c>
      <c r="AE84" s="850">
        <v>0.5</v>
      </c>
      <c r="AF84" s="850">
        <v>0.7</v>
      </c>
      <c r="AG84" s="850">
        <v>0.8</v>
      </c>
      <c r="AH84" s="850">
        <v>0.9</v>
      </c>
      <c r="AI84" s="850">
        <v>1</v>
      </c>
      <c r="AJ84" s="850">
        <v>1</v>
      </c>
      <c r="AK84" s="850">
        <v>1</v>
      </c>
      <c r="AL84" s="850">
        <v>1</v>
      </c>
      <c r="AM84" s="850">
        <v>1</v>
      </c>
      <c r="AN84" s="850">
        <v>1</v>
      </c>
      <c r="AO84" s="851">
        <f t="shared" ref="AO84:AO118" si="83">CB84/$H84</f>
        <v>0.77500000000000002</v>
      </c>
      <c r="AP84" s="850">
        <v>1</v>
      </c>
      <c r="AQ84" s="850">
        <v>1</v>
      </c>
      <c r="AR84" s="850">
        <v>1</v>
      </c>
      <c r="AS84" s="850">
        <v>1</v>
      </c>
      <c r="AT84" s="850">
        <v>1</v>
      </c>
      <c r="AU84" s="850">
        <v>1</v>
      </c>
      <c r="AV84" s="850">
        <v>1</v>
      </c>
      <c r="AW84" s="850">
        <v>1</v>
      </c>
      <c r="AX84" s="850">
        <v>1</v>
      </c>
      <c r="AY84" s="850">
        <v>1</v>
      </c>
      <c r="AZ84" s="850">
        <v>1</v>
      </c>
      <c r="BA84" s="850">
        <v>1</v>
      </c>
      <c r="BB84" s="851">
        <f t="shared" ref="BB84:BB118" si="84">CO84/$L84</f>
        <v>1</v>
      </c>
      <c r="BC84" s="853">
        <f t="shared" ref="BC84:BE118" si="85">$E84*P84</f>
        <v>0</v>
      </c>
      <c r="BD84" s="853">
        <f t="shared" si="68"/>
        <v>0</v>
      </c>
      <c r="BE84" s="853">
        <f t="shared" si="68"/>
        <v>0</v>
      </c>
      <c r="BF84" s="853">
        <f t="shared" si="68"/>
        <v>0</v>
      </c>
      <c r="BG84" s="853">
        <f t="shared" si="68"/>
        <v>0</v>
      </c>
      <c r="BH84" s="853">
        <f t="shared" si="68"/>
        <v>0</v>
      </c>
      <c r="BI84" s="853">
        <f t="shared" si="68"/>
        <v>0</v>
      </c>
      <c r="BJ84" s="853">
        <f t="shared" si="68"/>
        <v>0</v>
      </c>
      <c r="BK84" s="853">
        <f t="shared" si="68"/>
        <v>0</v>
      </c>
      <c r="BL84" s="853">
        <f t="shared" si="68"/>
        <v>0</v>
      </c>
      <c r="BM84" s="853">
        <f t="shared" si="68"/>
        <v>0</v>
      </c>
      <c r="BN84" s="853">
        <f t="shared" si="68"/>
        <v>0</v>
      </c>
      <c r="BO84" s="854">
        <f t="shared" ref="BO84:BO128" si="86">SUM(BC84:BN84)</f>
        <v>0</v>
      </c>
      <c r="BP84" s="853">
        <f t="shared" ref="BP84:BR118" si="87">$I84*AC84</f>
        <v>4.2</v>
      </c>
      <c r="BQ84" s="853">
        <f t="shared" si="69"/>
        <v>12.6</v>
      </c>
      <c r="BR84" s="853">
        <f t="shared" si="69"/>
        <v>21</v>
      </c>
      <c r="BS84" s="853">
        <f t="shared" si="69"/>
        <v>29.4</v>
      </c>
      <c r="BT84" s="853">
        <f t="shared" si="69"/>
        <v>33.6</v>
      </c>
      <c r="BU84" s="853">
        <f t="shared" si="69"/>
        <v>37.800000000000004</v>
      </c>
      <c r="BV84" s="853">
        <f t="shared" si="69"/>
        <v>42</v>
      </c>
      <c r="BW84" s="853">
        <f t="shared" si="69"/>
        <v>42</v>
      </c>
      <c r="BX84" s="853">
        <f t="shared" si="69"/>
        <v>42</v>
      </c>
      <c r="BY84" s="853">
        <f t="shared" si="69"/>
        <v>42</v>
      </c>
      <c r="BZ84" s="853">
        <f t="shared" si="69"/>
        <v>42</v>
      </c>
      <c r="CA84" s="853">
        <f t="shared" si="69"/>
        <v>42</v>
      </c>
      <c r="CB84" s="854">
        <f t="shared" ref="CB84:CB128" si="88">SUM(BP84:CA84)</f>
        <v>390.6</v>
      </c>
      <c r="CC84" s="853">
        <f t="shared" ref="CC84:CE118" si="89">$M84*AP84</f>
        <v>42</v>
      </c>
      <c r="CD84" s="853">
        <f t="shared" si="70"/>
        <v>42</v>
      </c>
      <c r="CE84" s="853">
        <f t="shared" si="70"/>
        <v>42</v>
      </c>
      <c r="CF84" s="853">
        <f t="shared" si="70"/>
        <v>42</v>
      </c>
      <c r="CG84" s="853">
        <f t="shared" si="70"/>
        <v>42</v>
      </c>
      <c r="CH84" s="853">
        <f t="shared" si="70"/>
        <v>42</v>
      </c>
      <c r="CI84" s="853">
        <f t="shared" si="70"/>
        <v>42</v>
      </c>
      <c r="CJ84" s="853">
        <f t="shared" si="70"/>
        <v>42</v>
      </c>
      <c r="CK84" s="853">
        <f t="shared" si="70"/>
        <v>42</v>
      </c>
      <c r="CL84" s="853">
        <f t="shared" si="70"/>
        <v>42</v>
      </c>
      <c r="CM84" s="853">
        <f t="shared" si="70"/>
        <v>42</v>
      </c>
      <c r="CN84" s="853">
        <f t="shared" si="70"/>
        <v>42</v>
      </c>
      <c r="CO84" s="854">
        <f t="shared" ref="CO84:CO128" si="90">SUM(CC84:CN84)</f>
        <v>504</v>
      </c>
      <c r="CP84" s="855">
        <f t="shared" ref="CP84:CP128" si="91">SUM(BO84,CB84,CO84)</f>
        <v>894.6</v>
      </c>
    </row>
    <row r="85" spans="1:94">
      <c r="A85" s="856">
        <v>3</v>
      </c>
      <c r="B85" s="846" t="s">
        <v>1691</v>
      </c>
      <c r="C85" s="847">
        <v>4</v>
      </c>
      <c r="D85" s="847">
        <f>'Xpert needs'!AB16</f>
        <v>984</v>
      </c>
      <c r="E85" s="847">
        <f t="shared" si="71"/>
        <v>82</v>
      </c>
      <c r="F85" s="848">
        <f t="shared" si="72"/>
        <v>4.2782608695652176</v>
      </c>
      <c r="G85" s="849">
        <f t="shared" si="73"/>
        <v>1.0695652173913044</v>
      </c>
      <c r="H85" s="847">
        <f t="shared" si="74"/>
        <v>984</v>
      </c>
      <c r="I85" s="847">
        <f t="shared" si="75"/>
        <v>82</v>
      </c>
      <c r="J85" s="848">
        <f t="shared" si="76"/>
        <v>4.2782608695652176</v>
      </c>
      <c r="K85" s="849">
        <f t="shared" si="77"/>
        <v>1.0695652173913044</v>
      </c>
      <c r="L85" s="847">
        <f t="shared" si="78"/>
        <v>984</v>
      </c>
      <c r="M85" s="847">
        <f t="shared" si="79"/>
        <v>82</v>
      </c>
      <c r="N85" s="848">
        <f t="shared" si="80"/>
        <v>4.2782608695652176</v>
      </c>
      <c r="O85" s="849">
        <f t="shared" si="81"/>
        <v>1.0695652173913044</v>
      </c>
      <c r="P85" s="857">
        <v>0.55000000000000004</v>
      </c>
      <c r="Q85" s="850">
        <v>0.6</v>
      </c>
      <c r="R85" s="850">
        <v>0.65</v>
      </c>
      <c r="S85" s="850">
        <v>0.7</v>
      </c>
      <c r="T85" s="850">
        <v>0.75</v>
      </c>
      <c r="U85" s="850">
        <v>0.8</v>
      </c>
      <c r="V85" s="850">
        <v>0.85</v>
      </c>
      <c r="W85" s="850">
        <v>0.85</v>
      </c>
      <c r="X85" s="850">
        <v>0.85</v>
      </c>
      <c r="Y85" s="850">
        <v>0.85</v>
      </c>
      <c r="Z85" s="850">
        <v>0.85</v>
      </c>
      <c r="AA85" s="850">
        <v>0.85</v>
      </c>
      <c r="AB85" s="851">
        <f t="shared" si="82"/>
        <v>0.76250000000000018</v>
      </c>
      <c r="AC85" s="850">
        <v>1.4</v>
      </c>
      <c r="AD85" s="850">
        <v>1.3</v>
      </c>
      <c r="AE85" s="850">
        <v>1.2</v>
      </c>
      <c r="AF85" s="850">
        <v>1</v>
      </c>
      <c r="AG85" s="850">
        <v>1</v>
      </c>
      <c r="AH85" s="850">
        <v>1</v>
      </c>
      <c r="AI85" s="850">
        <v>1</v>
      </c>
      <c r="AJ85" s="850">
        <v>1</v>
      </c>
      <c r="AK85" s="850">
        <v>1</v>
      </c>
      <c r="AL85" s="850">
        <v>1</v>
      </c>
      <c r="AM85" s="850">
        <v>1</v>
      </c>
      <c r="AN85" s="850">
        <v>1</v>
      </c>
      <c r="AO85" s="851">
        <f t="shared" si="83"/>
        <v>1.075</v>
      </c>
      <c r="AP85" s="850">
        <v>1</v>
      </c>
      <c r="AQ85" s="850">
        <v>1</v>
      </c>
      <c r="AR85" s="850">
        <v>1</v>
      </c>
      <c r="AS85" s="850">
        <v>1</v>
      </c>
      <c r="AT85" s="850">
        <v>1</v>
      </c>
      <c r="AU85" s="850">
        <v>1</v>
      </c>
      <c r="AV85" s="850">
        <v>1</v>
      </c>
      <c r="AW85" s="850">
        <v>1</v>
      </c>
      <c r="AX85" s="850">
        <v>1</v>
      </c>
      <c r="AY85" s="850">
        <v>1</v>
      </c>
      <c r="AZ85" s="850">
        <v>1</v>
      </c>
      <c r="BA85" s="850">
        <v>1</v>
      </c>
      <c r="BB85" s="851">
        <f t="shared" si="84"/>
        <v>1</v>
      </c>
      <c r="BC85" s="853">
        <f t="shared" si="85"/>
        <v>45.1</v>
      </c>
      <c r="BD85" s="853">
        <f t="shared" si="68"/>
        <v>49.199999999999996</v>
      </c>
      <c r="BE85" s="853">
        <f t="shared" si="68"/>
        <v>53.300000000000004</v>
      </c>
      <c r="BF85" s="853">
        <f t="shared" si="68"/>
        <v>57.4</v>
      </c>
      <c r="BG85" s="853">
        <f t="shared" si="68"/>
        <v>61.5</v>
      </c>
      <c r="BH85" s="853">
        <f t="shared" si="68"/>
        <v>65.600000000000009</v>
      </c>
      <c r="BI85" s="853">
        <f t="shared" si="68"/>
        <v>69.7</v>
      </c>
      <c r="BJ85" s="853">
        <f t="shared" si="68"/>
        <v>69.7</v>
      </c>
      <c r="BK85" s="853">
        <f t="shared" si="68"/>
        <v>69.7</v>
      </c>
      <c r="BL85" s="853">
        <f t="shared" si="68"/>
        <v>69.7</v>
      </c>
      <c r="BM85" s="853">
        <f t="shared" si="68"/>
        <v>69.7</v>
      </c>
      <c r="BN85" s="853">
        <f t="shared" si="68"/>
        <v>69.7</v>
      </c>
      <c r="BO85" s="854">
        <f t="shared" si="86"/>
        <v>750.30000000000018</v>
      </c>
      <c r="BP85" s="853">
        <f t="shared" si="87"/>
        <v>114.8</v>
      </c>
      <c r="BQ85" s="853">
        <f t="shared" si="69"/>
        <v>106.60000000000001</v>
      </c>
      <c r="BR85" s="853">
        <f t="shared" si="69"/>
        <v>98.399999999999991</v>
      </c>
      <c r="BS85" s="853">
        <f t="shared" si="69"/>
        <v>82</v>
      </c>
      <c r="BT85" s="853">
        <f t="shared" si="69"/>
        <v>82</v>
      </c>
      <c r="BU85" s="853">
        <f t="shared" si="69"/>
        <v>82</v>
      </c>
      <c r="BV85" s="853">
        <f t="shared" si="69"/>
        <v>82</v>
      </c>
      <c r="BW85" s="853">
        <f t="shared" si="69"/>
        <v>82</v>
      </c>
      <c r="BX85" s="853">
        <f t="shared" si="69"/>
        <v>82</v>
      </c>
      <c r="BY85" s="853">
        <f t="shared" si="69"/>
        <v>82</v>
      </c>
      <c r="BZ85" s="853">
        <f t="shared" si="69"/>
        <v>82</v>
      </c>
      <c r="CA85" s="853">
        <f t="shared" si="69"/>
        <v>82</v>
      </c>
      <c r="CB85" s="854">
        <f t="shared" si="88"/>
        <v>1057.8</v>
      </c>
      <c r="CC85" s="853">
        <f t="shared" si="89"/>
        <v>82</v>
      </c>
      <c r="CD85" s="853">
        <f t="shared" si="70"/>
        <v>82</v>
      </c>
      <c r="CE85" s="853">
        <f t="shared" si="70"/>
        <v>82</v>
      </c>
      <c r="CF85" s="853">
        <f t="shared" si="70"/>
        <v>82</v>
      </c>
      <c r="CG85" s="853">
        <f t="shared" si="70"/>
        <v>82</v>
      </c>
      <c r="CH85" s="853">
        <f t="shared" si="70"/>
        <v>82</v>
      </c>
      <c r="CI85" s="853">
        <f t="shared" si="70"/>
        <v>82</v>
      </c>
      <c r="CJ85" s="853">
        <f t="shared" si="70"/>
        <v>82</v>
      </c>
      <c r="CK85" s="853">
        <f t="shared" si="70"/>
        <v>82</v>
      </c>
      <c r="CL85" s="853">
        <f t="shared" si="70"/>
        <v>82</v>
      </c>
      <c r="CM85" s="853">
        <f t="shared" si="70"/>
        <v>82</v>
      </c>
      <c r="CN85" s="853">
        <f t="shared" si="70"/>
        <v>82</v>
      </c>
      <c r="CO85" s="854">
        <f t="shared" si="90"/>
        <v>984</v>
      </c>
      <c r="CP85" s="855">
        <f t="shared" si="91"/>
        <v>2792.1000000000004</v>
      </c>
    </row>
    <row r="86" spans="1:94">
      <c r="A86" s="845">
        <v>4</v>
      </c>
      <c r="B86" s="846" t="s">
        <v>890</v>
      </c>
      <c r="C86" s="847">
        <v>2</v>
      </c>
      <c r="D86" s="847">
        <f>'Xpert needs'!AB17</f>
        <v>393.59999999999997</v>
      </c>
      <c r="E86" s="847">
        <f t="shared" si="71"/>
        <v>32.799999999999997</v>
      </c>
      <c r="F86" s="848">
        <f t="shared" si="72"/>
        <v>1.7113043478260868</v>
      </c>
      <c r="G86" s="849">
        <f t="shared" si="73"/>
        <v>0.85565217391304338</v>
      </c>
      <c r="H86" s="847">
        <f t="shared" si="74"/>
        <v>393.59999999999997</v>
      </c>
      <c r="I86" s="847">
        <f t="shared" si="75"/>
        <v>32.799999999999997</v>
      </c>
      <c r="J86" s="848">
        <f t="shared" si="76"/>
        <v>1.7113043478260868</v>
      </c>
      <c r="K86" s="849">
        <f t="shared" si="77"/>
        <v>0.85565217391304338</v>
      </c>
      <c r="L86" s="847">
        <f t="shared" si="78"/>
        <v>393.59999999999997</v>
      </c>
      <c r="M86" s="847">
        <f t="shared" si="79"/>
        <v>32.799999999999997</v>
      </c>
      <c r="N86" s="848">
        <f t="shared" si="80"/>
        <v>1.7113043478260868</v>
      </c>
      <c r="O86" s="849">
        <f t="shared" si="81"/>
        <v>0.85565217391304338</v>
      </c>
      <c r="P86" s="850"/>
      <c r="Q86" s="850"/>
      <c r="R86" s="850"/>
      <c r="S86" s="850"/>
      <c r="T86" s="850"/>
      <c r="U86" s="850"/>
      <c r="V86" s="850"/>
      <c r="W86" s="850"/>
      <c r="X86" s="850"/>
      <c r="Y86" s="850"/>
      <c r="Z86" s="850"/>
      <c r="AA86" s="850"/>
      <c r="AB86" s="851">
        <f t="shared" si="82"/>
        <v>0</v>
      </c>
      <c r="AC86" s="852">
        <v>0.1</v>
      </c>
      <c r="AD86" s="850">
        <v>0.3</v>
      </c>
      <c r="AE86" s="850">
        <v>0.5</v>
      </c>
      <c r="AF86" s="850">
        <v>0.7</v>
      </c>
      <c r="AG86" s="850">
        <v>0.8</v>
      </c>
      <c r="AH86" s="850">
        <v>0.9</v>
      </c>
      <c r="AI86" s="850">
        <v>1</v>
      </c>
      <c r="AJ86" s="850">
        <v>1</v>
      </c>
      <c r="AK86" s="850">
        <v>1</v>
      </c>
      <c r="AL86" s="850">
        <v>1</v>
      </c>
      <c r="AM86" s="850">
        <v>1</v>
      </c>
      <c r="AN86" s="850">
        <v>1</v>
      </c>
      <c r="AO86" s="851">
        <f t="shared" si="83"/>
        <v>0.77500000000000013</v>
      </c>
      <c r="AP86" s="850">
        <v>1</v>
      </c>
      <c r="AQ86" s="850">
        <v>1</v>
      </c>
      <c r="AR86" s="850">
        <v>1</v>
      </c>
      <c r="AS86" s="850">
        <v>1</v>
      </c>
      <c r="AT86" s="850">
        <v>1</v>
      </c>
      <c r="AU86" s="850">
        <v>1</v>
      </c>
      <c r="AV86" s="850">
        <v>1</v>
      </c>
      <c r="AW86" s="850">
        <v>1</v>
      </c>
      <c r="AX86" s="850">
        <v>1</v>
      </c>
      <c r="AY86" s="850">
        <v>1</v>
      </c>
      <c r="AZ86" s="850">
        <v>1</v>
      </c>
      <c r="BA86" s="850">
        <v>1</v>
      </c>
      <c r="BB86" s="851">
        <f t="shared" si="84"/>
        <v>1.0000000000000002</v>
      </c>
      <c r="BC86" s="853">
        <f t="shared" si="85"/>
        <v>0</v>
      </c>
      <c r="BD86" s="853">
        <f t="shared" si="68"/>
        <v>0</v>
      </c>
      <c r="BE86" s="853">
        <f t="shared" si="68"/>
        <v>0</v>
      </c>
      <c r="BF86" s="853">
        <f t="shared" si="68"/>
        <v>0</v>
      </c>
      <c r="BG86" s="853">
        <f t="shared" si="68"/>
        <v>0</v>
      </c>
      <c r="BH86" s="853">
        <f t="shared" si="68"/>
        <v>0</v>
      </c>
      <c r="BI86" s="853">
        <f t="shared" si="68"/>
        <v>0</v>
      </c>
      <c r="BJ86" s="853">
        <f t="shared" si="68"/>
        <v>0</v>
      </c>
      <c r="BK86" s="853">
        <f t="shared" si="68"/>
        <v>0</v>
      </c>
      <c r="BL86" s="853">
        <f t="shared" si="68"/>
        <v>0</v>
      </c>
      <c r="BM86" s="853">
        <f t="shared" si="68"/>
        <v>0</v>
      </c>
      <c r="BN86" s="853">
        <f t="shared" si="68"/>
        <v>0</v>
      </c>
      <c r="BO86" s="854">
        <f t="shared" si="86"/>
        <v>0</v>
      </c>
      <c r="BP86" s="853">
        <f t="shared" si="87"/>
        <v>3.28</v>
      </c>
      <c r="BQ86" s="853">
        <f t="shared" si="69"/>
        <v>9.8399999999999981</v>
      </c>
      <c r="BR86" s="853">
        <f t="shared" si="69"/>
        <v>16.399999999999999</v>
      </c>
      <c r="BS86" s="853">
        <f t="shared" si="69"/>
        <v>22.959999999999997</v>
      </c>
      <c r="BT86" s="853">
        <f t="shared" si="69"/>
        <v>26.24</v>
      </c>
      <c r="BU86" s="853">
        <f t="shared" si="69"/>
        <v>29.52</v>
      </c>
      <c r="BV86" s="853">
        <f t="shared" si="69"/>
        <v>32.799999999999997</v>
      </c>
      <c r="BW86" s="853">
        <f t="shared" si="69"/>
        <v>32.799999999999997</v>
      </c>
      <c r="BX86" s="853">
        <f t="shared" si="69"/>
        <v>32.799999999999997</v>
      </c>
      <c r="BY86" s="853">
        <f t="shared" si="69"/>
        <v>32.799999999999997</v>
      </c>
      <c r="BZ86" s="853">
        <f t="shared" si="69"/>
        <v>32.799999999999997</v>
      </c>
      <c r="CA86" s="853">
        <f t="shared" si="69"/>
        <v>32.799999999999997</v>
      </c>
      <c r="CB86" s="854">
        <f t="shared" si="88"/>
        <v>305.04000000000002</v>
      </c>
      <c r="CC86" s="853">
        <f t="shared" si="89"/>
        <v>32.799999999999997</v>
      </c>
      <c r="CD86" s="853">
        <f t="shared" si="70"/>
        <v>32.799999999999997</v>
      </c>
      <c r="CE86" s="853">
        <f t="shared" si="70"/>
        <v>32.799999999999997</v>
      </c>
      <c r="CF86" s="853">
        <f t="shared" si="70"/>
        <v>32.799999999999997</v>
      </c>
      <c r="CG86" s="853">
        <f t="shared" si="70"/>
        <v>32.799999999999997</v>
      </c>
      <c r="CH86" s="853">
        <f t="shared" si="70"/>
        <v>32.799999999999997</v>
      </c>
      <c r="CI86" s="853">
        <f t="shared" si="70"/>
        <v>32.799999999999997</v>
      </c>
      <c r="CJ86" s="853">
        <f t="shared" si="70"/>
        <v>32.799999999999997</v>
      </c>
      <c r="CK86" s="853">
        <f t="shared" si="70"/>
        <v>32.799999999999997</v>
      </c>
      <c r="CL86" s="853">
        <f t="shared" si="70"/>
        <v>32.799999999999997</v>
      </c>
      <c r="CM86" s="853">
        <f t="shared" si="70"/>
        <v>32.799999999999997</v>
      </c>
      <c r="CN86" s="853">
        <f t="shared" si="70"/>
        <v>32.799999999999997</v>
      </c>
      <c r="CO86" s="854">
        <f t="shared" si="90"/>
        <v>393.60000000000008</v>
      </c>
      <c r="CP86" s="855">
        <f t="shared" si="91"/>
        <v>698.6400000000001</v>
      </c>
    </row>
    <row r="87" spans="1:94">
      <c r="A87" s="845">
        <v>5</v>
      </c>
      <c r="B87" s="846" t="s">
        <v>892</v>
      </c>
      <c r="C87" s="847">
        <v>2</v>
      </c>
      <c r="D87" s="847">
        <f>'Xpert needs'!AB19</f>
        <v>269</v>
      </c>
      <c r="E87" s="847">
        <f t="shared" si="71"/>
        <v>22.416666666666668</v>
      </c>
      <c r="F87" s="848">
        <f t="shared" si="72"/>
        <v>1.1695652173913043</v>
      </c>
      <c r="G87" s="849">
        <f t="shared" si="73"/>
        <v>0.58478260869565213</v>
      </c>
      <c r="H87" s="847">
        <f t="shared" si="74"/>
        <v>269</v>
      </c>
      <c r="I87" s="847">
        <f t="shared" si="75"/>
        <v>22.416666666666668</v>
      </c>
      <c r="J87" s="848">
        <f t="shared" si="76"/>
        <v>1.1695652173913043</v>
      </c>
      <c r="K87" s="849">
        <f t="shared" si="77"/>
        <v>0.58478260869565213</v>
      </c>
      <c r="L87" s="847">
        <f t="shared" si="78"/>
        <v>269</v>
      </c>
      <c r="M87" s="847">
        <f t="shared" si="79"/>
        <v>22.416666666666668</v>
      </c>
      <c r="N87" s="848">
        <f t="shared" si="80"/>
        <v>1.1695652173913043</v>
      </c>
      <c r="O87" s="849">
        <f t="shared" si="81"/>
        <v>0.58478260869565213</v>
      </c>
      <c r="P87" s="850"/>
      <c r="Q87" s="850"/>
      <c r="R87" s="850"/>
      <c r="S87" s="850"/>
      <c r="T87" s="850"/>
      <c r="U87" s="850"/>
      <c r="V87" s="850"/>
      <c r="W87" s="850"/>
      <c r="X87" s="850"/>
      <c r="Y87" s="850"/>
      <c r="Z87" s="850"/>
      <c r="AA87" s="850"/>
      <c r="AB87" s="851">
        <f t="shared" si="82"/>
        <v>0</v>
      </c>
      <c r="AC87" s="852">
        <v>0.1</v>
      </c>
      <c r="AD87" s="850">
        <v>0.3</v>
      </c>
      <c r="AE87" s="850">
        <v>0.5</v>
      </c>
      <c r="AF87" s="850">
        <v>0.7</v>
      </c>
      <c r="AG87" s="850">
        <v>0.8</v>
      </c>
      <c r="AH87" s="850">
        <v>0.9</v>
      </c>
      <c r="AI87" s="850">
        <v>1</v>
      </c>
      <c r="AJ87" s="850">
        <v>1</v>
      </c>
      <c r="AK87" s="850">
        <v>1</v>
      </c>
      <c r="AL87" s="850">
        <v>1</v>
      </c>
      <c r="AM87" s="850">
        <v>1</v>
      </c>
      <c r="AN87" s="850">
        <v>1</v>
      </c>
      <c r="AO87" s="851">
        <f t="shared" si="83"/>
        <v>0.77499999999999991</v>
      </c>
      <c r="AP87" s="850">
        <v>1</v>
      </c>
      <c r="AQ87" s="850">
        <v>1</v>
      </c>
      <c r="AR87" s="850">
        <v>1</v>
      </c>
      <c r="AS87" s="850">
        <v>1</v>
      </c>
      <c r="AT87" s="850">
        <v>1</v>
      </c>
      <c r="AU87" s="850">
        <v>1</v>
      </c>
      <c r="AV87" s="850">
        <v>1</v>
      </c>
      <c r="AW87" s="850">
        <v>1</v>
      </c>
      <c r="AX87" s="850">
        <v>1</v>
      </c>
      <c r="AY87" s="850">
        <v>1</v>
      </c>
      <c r="AZ87" s="850">
        <v>1</v>
      </c>
      <c r="BA87" s="850">
        <v>1</v>
      </c>
      <c r="BB87" s="851">
        <f t="shared" si="84"/>
        <v>0.99999999999999978</v>
      </c>
      <c r="BC87" s="853">
        <f t="shared" si="85"/>
        <v>0</v>
      </c>
      <c r="BD87" s="853">
        <f t="shared" si="68"/>
        <v>0</v>
      </c>
      <c r="BE87" s="853">
        <f t="shared" si="68"/>
        <v>0</v>
      </c>
      <c r="BF87" s="853">
        <f t="shared" si="68"/>
        <v>0</v>
      </c>
      <c r="BG87" s="853">
        <f t="shared" si="68"/>
        <v>0</v>
      </c>
      <c r="BH87" s="853">
        <f t="shared" si="68"/>
        <v>0</v>
      </c>
      <c r="BI87" s="853">
        <f t="shared" si="68"/>
        <v>0</v>
      </c>
      <c r="BJ87" s="853">
        <f t="shared" si="68"/>
        <v>0</v>
      </c>
      <c r="BK87" s="853">
        <f t="shared" si="68"/>
        <v>0</v>
      </c>
      <c r="BL87" s="853">
        <f t="shared" si="68"/>
        <v>0</v>
      </c>
      <c r="BM87" s="853">
        <f t="shared" si="68"/>
        <v>0</v>
      </c>
      <c r="BN87" s="853">
        <f t="shared" si="68"/>
        <v>0</v>
      </c>
      <c r="BO87" s="854">
        <f t="shared" si="86"/>
        <v>0</v>
      </c>
      <c r="BP87" s="853">
        <f t="shared" si="87"/>
        <v>2.2416666666666667</v>
      </c>
      <c r="BQ87" s="853">
        <f t="shared" si="69"/>
        <v>6.7250000000000005</v>
      </c>
      <c r="BR87" s="853">
        <f t="shared" si="69"/>
        <v>11.208333333333334</v>
      </c>
      <c r="BS87" s="853">
        <f t="shared" si="69"/>
        <v>15.691666666666666</v>
      </c>
      <c r="BT87" s="853">
        <f t="shared" si="69"/>
        <v>17.933333333333334</v>
      </c>
      <c r="BU87" s="853">
        <f t="shared" si="69"/>
        <v>20.175000000000001</v>
      </c>
      <c r="BV87" s="853">
        <f t="shared" si="69"/>
        <v>22.416666666666668</v>
      </c>
      <c r="BW87" s="853">
        <f t="shared" si="69"/>
        <v>22.416666666666668</v>
      </c>
      <c r="BX87" s="853">
        <f t="shared" si="69"/>
        <v>22.416666666666668</v>
      </c>
      <c r="BY87" s="853">
        <f t="shared" si="69"/>
        <v>22.416666666666668</v>
      </c>
      <c r="BZ87" s="853">
        <f t="shared" si="69"/>
        <v>22.416666666666668</v>
      </c>
      <c r="CA87" s="853">
        <f t="shared" si="69"/>
        <v>22.416666666666668</v>
      </c>
      <c r="CB87" s="854">
        <f t="shared" si="88"/>
        <v>208.47499999999997</v>
      </c>
      <c r="CC87" s="853">
        <f t="shared" si="89"/>
        <v>22.416666666666668</v>
      </c>
      <c r="CD87" s="853">
        <f t="shared" si="70"/>
        <v>22.416666666666668</v>
      </c>
      <c r="CE87" s="853">
        <f t="shared" si="70"/>
        <v>22.416666666666668</v>
      </c>
      <c r="CF87" s="853">
        <f t="shared" si="70"/>
        <v>22.416666666666668</v>
      </c>
      <c r="CG87" s="853">
        <f t="shared" si="70"/>
        <v>22.416666666666668</v>
      </c>
      <c r="CH87" s="853">
        <f t="shared" si="70"/>
        <v>22.416666666666668</v>
      </c>
      <c r="CI87" s="853">
        <f t="shared" si="70"/>
        <v>22.416666666666668</v>
      </c>
      <c r="CJ87" s="853">
        <f t="shared" si="70"/>
        <v>22.416666666666668</v>
      </c>
      <c r="CK87" s="853">
        <f t="shared" si="70"/>
        <v>22.416666666666668</v>
      </c>
      <c r="CL87" s="853">
        <f t="shared" si="70"/>
        <v>22.416666666666668</v>
      </c>
      <c r="CM87" s="853">
        <f t="shared" si="70"/>
        <v>22.416666666666668</v>
      </c>
      <c r="CN87" s="853">
        <f t="shared" si="70"/>
        <v>22.416666666666668</v>
      </c>
      <c r="CO87" s="854">
        <f t="shared" si="90"/>
        <v>268.99999999999994</v>
      </c>
      <c r="CP87" s="855">
        <f t="shared" si="91"/>
        <v>477.47499999999991</v>
      </c>
    </row>
    <row r="88" spans="1:94">
      <c r="A88" s="845">
        <v>6</v>
      </c>
      <c r="B88" s="846" t="s">
        <v>894</v>
      </c>
      <c r="C88" s="847">
        <v>2</v>
      </c>
      <c r="D88" s="847">
        <f>'Xpert needs'!AB21</f>
        <v>249.2</v>
      </c>
      <c r="E88" s="847">
        <f t="shared" si="71"/>
        <v>20.766666666666666</v>
      </c>
      <c r="F88" s="848">
        <f t="shared" si="72"/>
        <v>1.0834782608695652</v>
      </c>
      <c r="G88" s="849">
        <f t="shared" si="73"/>
        <v>0.54173913043478261</v>
      </c>
      <c r="H88" s="847">
        <f t="shared" si="74"/>
        <v>249.2</v>
      </c>
      <c r="I88" s="847">
        <f t="shared" si="75"/>
        <v>20.766666666666666</v>
      </c>
      <c r="J88" s="848">
        <f t="shared" si="76"/>
        <v>1.0834782608695652</v>
      </c>
      <c r="K88" s="849">
        <f t="shared" si="77"/>
        <v>0.54173913043478261</v>
      </c>
      <c r="L88" s="847">
        <f t="shared" si="78"/>
        <v>249.2</v>
      </c>
      <c r="M88" s="847">
        <f t="shared" si="79"/>
        <v>20.766666666666666</v>
      </c>
      <c r="N88" s="848">
        <f t="shared" si="80"/>
        <v>1.0834782608695652</v>
      </c>
      <c r="O88" s="849">
        <f t="shared" si="81"/>
        <v>0.54173913043478261</v>
      </c>
      <c r="P88" s="850"/>
      <c r="Q88" s="850"/>
      <c r="R88" s="850"/>
      <c r="S88" s="850"/>
      <c r="T88" s="850"/>
      <c r="U88" s="850"/>
      <c r="V88" s="850"/>
      <c r="W88" s="850"/>
      <c r="X88" s="850"/>
      <c r="Y88" s="850"/>
      <c r="Z88" s="850"/>
      <c r="AA88" s="850"/>
      <c r="AB88" s="851">
        <f t="shared" si="82"/>
        <v>0</v>
      </c>
      <c r="AC88" s="852">
        <v>0.1</v>
      </c>
      <c r="AD88" s="850">
        <v>0.3</v>
      </c>
      <c r="AE88" s="850">
        <v>0.5</v>
      </c>
      <c r="AF88" s="850">
        <v>0.7</v>
      </c>
      <c r="AG88" s="850">
        <v>0.8</v>
      </c>
      <c r="AH88" s="850">
        <v>0.9</v>
      </c>
      <c r="AI88" s="850">
        <v>1</v>
      </c>
      <c r="AJ88" s="850">
        <v>1</v>
      </c>
      <c r="AK88" s="850">
        <v>1</v>
      </c>
      <c r="AL88" s="850">
        <v>1</v>
      </c>
      <c r="AM88" s="850">
        <v>1</v>
      </c>
      <c r="AN88" s="850">
        <v>1</v>
      </c>
      <c r="AO88" s="851">
        <f t="shared" si="83"/>
        <v>0.7749999999999998</v>
      </c>
      <c r="AP88" s="850">
        <v>1</v>
      </c>
      <c r="AQ88" s="850">
        <v>1</v>
      </c>
      <c r="AR88" s="850">
        <v>1</v>
      </c>
      <c r="AS88" s="850">
        <v>1</v>
      </c>
      <c r="AT88" s="850">
        <v>1</v>
      </c>
      <c r="AU88" s="850">
        <v>1</v>
      </c>
      <c r="AV88" s="850">
        <v>1</v>
      </c>
      <c r="AW88" s="850">
        <v>1</v>
      </c>
      <c r="AX88" s="850">
        <v>1</v>
      </c>
      <c r="AY88" s="850">
        <v>1</v>
      </c>
      <c r="AZ88" s="850">
        <v>1</v>
      </c>
      <c r="BA88" s="850">
        <v>1</v>
      </c>
      <c r="BB88" s="851">
        <f t="shared" si="84"/>
        <v>0.99999999999999978</v>
      </c>
      <c r="BC88" s="853">
        <f t="shared" si="85"/>
        <v>0</v>
      </c>
      <c r="BD88" s="853">
        <f t="shared" si="68"/>
        <v>0</v>
      </c>
      <c r="BE88" s="853">
        <f t="shared" si="68"/>
        <v>0</v>
      </c>
      <c r="BF88" s="853">
        <f t="shared" si="68"/>
        <v>0</v>
      </c>
      <c r="BG88" s="853">
        <f t="shared" si="68"/>
        <v>0</v>
      </c>
      <c r="BH88" s="853">
        <f t="shared" si="68"/>
        <v>0</v>
      </c>
      <c r="BI88" s="853">
        <f t="shared" si="68"/>
        <v>0</v>
      </c>
      <c r="BJ88" s="853">
        <f t="shared" si="68"/>
        <v>0</v>
      </c>
      <c r="BK88" s="853">
        <f t="shared" si="68"/>
        <v>0</v>
      </c>
      <c r="BL88" s="853">
        <f t="shared" si="68"/>
        <v>0</v>
      </c>
      <c r="BM88" s="853">
        <f t="shared" si="68"/>
        <v>0</v>
      </c>
      <c r="BN88" s="853">
        <f t="shared" si="68"/>
        <v>0</v>
      </c>
      <c r="BO88" s="854">
        <f t="shared" si="86"/>
        <v>0</v>
      </c>
      <c r="BP88" s="853">
        <f t="shared" si="87"/>
        <v>2.0766666666666667</v>
      </c>
      <c r="BQ88" s="853">
        <f t="shared" si="69"/>
        <v>6.2299999999999995</v>
      </c>
      <c r="BR88" s="853">
        <f t="shared" si="69"/>
        <v>10.383333333333333</v>
      </c>
      <c r="BS88" s="853">
        <f t="shared" si="69"/>
        <v>14.536666666666665</v>
      </c>
      <c r="BT88" s="853">
        <f t="shared" si="69"/>
        <v>16.613333333333333</v>
      </c>
      <c r="BU88" s="853">
        <f t="shared" si="69"/>
        <v>18.690000000000001</v>
      </c>
      <c r="BV88" s="853">
        <f t="shared" si="69"/>
        <v>20.766666666666666</v>
      </c>
      <c r="BW88" s="853">
        <f t="shared" si="69"/>
        <v>20.766666666666666</v>
      </c>
      <c r="BX88" s="853">
        <f t="shared" si="69"/>
        <v>20.766666666666666</v>
      </c>
      <c r="BY88" s="853">
        <f t="shared" si="69"/>
        <v>20.766666666666666</v>
      </c>
      <c r="BZ88" s="853">
        <f t="shared" si="69"/>
        <v>20.766666666666666</v>
      </c>
      <c r="CA88" s="853">
        <f t="shared" si="69"/>
        <v>20.766666666666666</v>
      </c>
      <c r="CB88" s="854">
        <f t="shared" si="88"/>
        <v>193.12999999999994</v>
      </c>
      <c r="CC88" s="853">
        <f t="shared" si="89"/>
        <v>20.766666666666666</v>
      </c>
      <c r="CD88" s="853">
        <f t="shared" si="70"/>
        <v>20.766666666666666</v>
      </c>
      <c r="CE88" s="853">
        <f t="shared" si="70"/>
        <v>20.766666666666666</v>
      </c>
      <c r="CF88" s="853">
        <f t="shared" si="70"/>
        <v>20.766666666666666</v>
      </c>
      <c r="CG88" s="853">
        <f t="shared" si="70"/>
        <v>20.766666666666666</v>
      </c>
      <c r="CH88" s="853">
        <f t="shared" si="70"/>
        <v>20.766666666666666</v>
      </c>
      <c r="CI88" s="853">
        <f t="shared" si="70"/>
        <v>20.766666666666666</v>
      </c>
      <c r="CJ88" s="853">
        <f t="shared" si="70"/>
        <v>20.766666666666666</v>
      </c>
      <c r="CK88" s="853">
        <f t="shared" si="70"/>
        <v>20.766666666666666</v>
      </c>
      <c r="CL88" s="853">
        <f t="shared" si="70"/>
        <v>20.766666666666666</v>
      </c>
      <c r="CM88" s="853">
        <f t="shared" si="70"/>
        <v>20.766666666666666</v>
      </c>
      <c r="CN88" s="853">
        <f t="shared" si="70"/>
        <v>20.766666666666666</v>
      </c>
      <c r="CO88" s="854">
        <f t="shared" si="90"/>
        <v>249.19999999999993</v>
      </c>
      <c r="CP88" s="855">
        <f t="shared" si="91"/>
        <v>442.32999999999987</v>
      </c>
    </row>
    <row r="89" spans="1:94">
      <c r="A89" s="856">
        <v>7</v>
      </c>
      <c r="B89" s="846" t="s">
        <v>1692</v>
      </c>
      <c r="C89" s="847">
        <v>4</v>
      </c>
      <c r="D89" s="847">
        <f>'Xpert needs'!AB23</f>
        <v>1099</v>
      </c>
      <c r="E89" s="847">
        <f t="shared" si="71"/>
        <v>91.583333333333329</v>
      </c>
      <c r="F89" s="848">
        <f t="shared" si="72"/>
        <v>4.7782608695652176</v>
      </c>
      <c r="G89" s="849">
        <f t="shared" si="73"/>
        <v>1.1945652173913044</v>
      </c>
      <c r="H89" s="847">
        <f t="shared" si="74"/>
        <v>1099</v>
      </c>
      <c r="I89" s="847">
        <f t="shared" si="75"/>
        <v>91.583333333333329</v>
      </c>
      <c r="J89" s="848">
        <f t="shared" si="76"/>
        <v>4.7782608695652176</v>
      </c>
      <c r="K89" s="849">
        <f t="shared" si="77"/>
        <v>1.1945652173913044</v>
      </c>
      <c r="L89" s="858">
        <f>H89*90%</f>
        <v>989.1</v>
      </c>
      <c r="M89" s="847">
        <f t="shared" si="79"/>
        <v>82.424999999999997</v>
      </c>
      <c r="N89" s="848">
        <f t="shared" si="80"/>
        <v>4.3004347826086962</v>
      </c>
      <c r="O89" s="849">
        <f t="shared" si="81"/>
        <v>1.075108695652174</v>
      </c>
      <c r="P89" s="857">
        <v>1.2</v>
      </c>
      <c r="Q89" s="850">
        <v>1.3</v>
      </c>
      <c r="R89" s="850">
        <v>1.4</v>
      </c>
      <c r="S89" s="850">
        <v>1.5</v>
      </c>
      <c r="T89" s="850">
        <v>1.5</v>
      </c>
      <c r="U89" s="850">
        <v>1.5</v>
      </c>
      <c r="V89" s="850">
        <v>1.5</v>
      </c>
      <c r="W89" s="850">
        <v>1.5</v>
      </c>
      <c r="X89" s="850">
        <v>1.5</v>
      </c>
      <c r="Y89" s="850">
        <v>1.5</v>
      </c>
      <c r="Z89" s="850">
        <v>1.5</v>
      </c>
      <c r="AA89" s="850">
        <v>1.5</v>
      </c>
      <c r="AB89" s="851">
        <f t="shared" si="82"/>
        <v>1.45</v>
      </c>
      <c r="AC89" s="850">
        <v>1.5</v>
      </c>
      <c r="AD89" s="850">
        <v>1.5</v>
      </c>
      <c r="AE89" s="850">
        <v>1.5</v>
      </c>
      <c r="AF89" s="850">
        <v>1.3</v>
      </c>
      <c r="AG89" s="850">
        <v>1.2</v>
      </c>
      <c r="AH89" s="850">
        <v>1.1000000000000001</v>
      </c>
      <c r="AI89" s="850">
        <v>1</v>
      </c>
      <c r="AJ89" s="850">
        <v>1</v>
      </c>
      <c r="AK89" s="850">
        <v>1</v>
      </c>
      <c r="AL89" s="850">
        <v>1</v>
      </c>
      <c r="AM89" s="850">
        <v>1</v>
      </c>
      <c r="AN89" s="850">
        <v>1</v>
      </c>
      <c r="AO89" s="851">
        <f t="shared" si="83"/>
        <v>1.175</v>
      </c>
      <c r="AP89" s="850">
        <v>1</v>
      </c>
      <c r="AQ89" s="850">
        <v>1</v>
      </c>
      <c r="AR89" s="850">
        <v>1</v>
      </c>
      <c r="AS89" s="850">
        <v>1</v>
      </c>
      <c r="AT89" s="850">
        <v>1</v>
      </c>
      <c r="AU89" s="850">
        <v>1</v>
      </c>
      <c r="AV89" s="850">
        <v>1</v>
      </c>
      <c r="AW89" s="850">
        <v>1</v>
      </c>
      <c r="AX89" s="850">
        <v>1</v>
      </c>
      <c r="AY89" s="850">
        <v>1</v>
      </c>
      <c r="AZ89" s="850">
        <v>1</v>
      </c>
      <c r="BA89" s="850">
        <v>1</v>
      </c>
      <c r="BB89" s="851">
        <f t="shared" si="84"/>
        <v>0.99999999999999978</v>
      </c>
      <c r="BC89" s="853">
        <f t="shared" si="85"/>
        <v>109.89999999999999</v>
      </c>
      <c r="BD89" s="853">
        <f t="shared" si="68"/>
        <v>119.05833333333334</v>
      </c>
      <c r="BE89" s="853">
        <f t="shared" si="68"/>
        <v>128.21666666666664</v>
      </c>
      <c r="BF89" s="853">
        <f t="shared" si="68"/>
        <v>137.375</v>
      </c>
      <c r="BG89" s="853">
        <f t="shared" si="68"/>
        <v>137.375</v>
      </c>
      <c r="BH89" s="853">
        <f t="shared" si="68"/>
        <v>137.375</v>
      </c>
      <c r="BI89" s="853">
        <f t="shared" si="68"/>
        <v>137.375</v>
      </c>
      <c r="BJ89" s="853">
        <f t="shared" si="68"/>
        <v>137.375</v>
      </c>
      <c r="BK89" s="853">
        <f t="shared" si="68"/>
        <v>137.375</v>
      </c>
      <c r="BL89" s="853">
        <f t="shared" si="68"/>
        <v>137.375</v>
      </c>
      <c r="BM89" s="853">
        <f t="shared" si="68"/>
        <v>137.375</v>
      </c>
      <c r="BN89" s="853">
        <f t="shared" si="68"/>
        <v>137.375</v>
      </c>
      <c r="BO89" s="854">
        <f t="shared" si="86"/>
        <v>1593.55</v>
      </c>
      <c r="BP89" s="853">
        <f t="shared" si="87"/>
        <v>137.375</v>
      </c>
      <c r="BQ89" s="853">
        <f t="shared" si="69"/>
        <v>137.375</v>
      </c>
      <c r="BR89" s="853">
        <f t="shared" si="69"/>
        <v>137.375</v>
      </c>
      <c r="BS89" s="853">
        <f t="shared" si="69"/>
        <v>119.05833333333334</v>
      </c>
      <c r="BT89" s="853">
        <f t="shared" si="69"/>
        <v>109.89999999999999</v>
      </c>
      <c r="BU89" s="853">
        <f t="shared" si="69"/>
        <v>100.74166666666667</v>
      </c>
      <c r="BV89" s="853">
        <f t="shared" si="69"/>
        <v>91.583333333333329</v>
      </c>
      <c r="BW89" s="853">
        <f t="shared" si="69"/>
        <v>91.583333333333329</v>
      </c>
      <c r="BX89" s="853">
        <f t="shared" si="69"/>
        <v>91.583333333333329</v>
      </c>
      <c r="BY89" s="853">
        <f t="shared" si="69"/>
        <v>91.583333333333329</v>
      </c>
      <c r="BZ89" s="853">
        <f t="shared" si="69"/>
        <v>91.583333333333329</v>
      </c>
      <c r="CA89" s="853">
        <f t="shared" si="69"/>
        <v>91.583333333333329</v>
      </c>
      <c r="CB89" s="854">
        <f t="shared" si="88"/>
        <v>1291.325</v>
      </c>
      <c r="CC89" s="853">
        <f t="shared" si="89"/>
        <v>82.424999999999997</v>
      </c>
      <c r="CD89" s="853">
        <f t="shared" si="70"/>
        <v>82.424999999999997</v>
      </c>
      <c r="CE89" s="853">
        <f t="shared" si="70"/>
        <v>82.424999999999997</v>
      </c>
      <c r="CF89" s="853">
        <f t="shared" si="70"/>
        <v>82.424999999999997</v>
      </c>
      <c r="CG89" s="853">
        <f t="shared" si="70"/>
        <v>82.424999999999997</v>
      </c>
      <c r="CH89" s="853">
        <f t="shared" si="70"/>
        <v>82.424999999999997</v>
      </c>
      <c r="CI89" s="853">
        <f t="shared" si="70"/>
        <v>82.424999999999997</v>
      </c>
      <c r="CJ89" s="853">
        <f t="shared" si="70"/>
        <v>82.424999999999997</v>
      </c>
      <c r="CK89" s="853">
        <f t="shared" si="70"/>
        <v>82.424999999999997</v>
      </c>
      <c r="CL89" s="853">
        <f t="shared" si="70"/>
        <v>82.424999999999997</v>
      </c>
      <c r="CM89" s="853">
        <f t="shared" si="70"/>
        <v>82.424999999999997</v>
      </c>
      <c r="CN89" s="853">
        <f t="shared" si="70"/>
        <v>82.424999999999997</v>
      </c>
      <c r="CO89" s="854">
        <f t="shared" si="90"/>
        <v>989.0999999999998</v>
      </c>
      <c r="CP89" s="855">
        <f t="shared" si="91"/>
        <v>3873.9749999999999</v>
      </c>
    </row>
    <row r="90" spans="1:94">
      <c r="A90" s="845">
        <v>8</v>
      </c>
      <c r="B90" s="846" t="s">
        <v>897</v>
      </c>
      <c r="C90" s="847">
        <v>2</v>
      </c>
      <c r="D90" s="847">
        <f>'Xpert needs'!AB24</f>
        <v>426</v>
      </c>
      <c r="E90" s="847">
        <f t="shared" si="71"/>
        <v>35.5</v>
      </c>
      <c r="F90" s="848">
        <f t="shared" si="72"/>
        <v>1.8521739130434782</v>
      </c>
      <c r="G90" s="849">
        <f t="shared" si="73"/>
        <v>0.92608695652173911</v>
      </c>
      <c r="H90" s="847">
        <f t="shared" si="74"/>
        <v>426</v>
      </c>
      <c r="I90" s="847">
        <f t="shared" si="75"/>
        <v>35.5</v>
      </c>
      <c r="J90" s="848">
        <f t="shared" si="76"/>
        <v>1.8521739130434782</v>
      </c>
      <c r="K90" s="849">
        <f t="shared" si="77"/>
        <v>0.92608695652173911</v>
      </c>
      <c r="L90" s="847">
        <f t="shared" ref="L90:L92" si="92">H90</f>
        <v>426</v>
      </c>
      <c r="M90" s="847">
        <f t="shared" si="79"/>
        <v>35.5</v>
      </c>
      <c r="N90" s="848">
        <f t="shared" si="80"/>
        <v>1.8521739130434782</v>
      </c>
      <c r="O90" s="849">
        <f t="shared" si="81"/>
        <v>0.92608695652173911</v>
      </c>
      <c r="P90" s="850"/>
      <c r="Q90" s="850"/>
      <c r="R90" s="850"/>
      <c r="S90" s="850"/>
      <c r="T90" s="850"/>
      <c r="U90" s="850"/>
      <c r="V90" s="850"/>
      <c r="W90" s="850"/>
      <c r="X90" s="850"/>
      <c r="Y90" s="850"/>
      <c r="Z90" s="850"/>
      <c r="AA90" s="850"/>
      <c r="AB90" s="851">
        <f t="shared" si="82"/>
        <v>0</v>
      </c>
      <c r="AC90" s="850"/>
      <c r="AD90" s="850"/>
      <c r="AE90" s="850"/>
      <c r="AF90" s="852">
        <v>0.1</v>
      </c>
      <c r="AG90" s="850">
        <v>0.2</v>
      </c>
      <c r="AH90" s="850">
        <v>0.3</v>
      </c>
      <c r="AI90" s="850">
        <v>0.4</v>
      </c>
      <c r="AJ90" s="850">
        <v>0.5</v>
      </c>
      <c r="AK90" s="850">
        <v>0.6</v>
      </c>
      <c r="AL90" s="850">
        <v>0.7</v>
      </c>
      <c r="AM90" s="850">
        <v>0.8</v>
      </c>
      <c r="AN90" s="850">
        <v>0.9</v>
      </c>
      <c r="AO90" s="851">
        <f t="shared" si="83"/>
        <v>0.375</v>
      </c>
      <c r="AP90" s="850">
        <v>0.95</v>
      </c>
      <c r="AQ90" s="850">
        <v>1</v>
      </c>
      <c r="AR90" s="850">
        <v>1</v>
      </c>
      <c r="AS90" s="850">
        <v>1</v>
      </c>
      <c r="AT90" s="850">
        <v>1</v>
      </c>
      <c r="AU90" s="850">
        <v>1</v>
      </c>
      <c r="AV90" s="850">
        <v>1</v>
      </c>
      <c r="AW90" s="850">
        <v>1</v>
      </c>
      <c r="AX90" s="850">
        <v>1</v>
      </c>
      <c r="AY90" s="850">
        <v>1</v>
      </c>
      <c r="AZ90" s="850">
        <v>1</v>
      </c>
      <c r="BA90" s="850">
        <v>1</v>
      </c>
      <c r="BB90" s="851">
        <f t="shared" si="84"/>
        <v>0.99583333333333335</v>
      </c>
      <c r="BC90" s="853">
        <f t="shared" si="85"/>
        <v>0</v>
      </c>
      <c r="BD90" s="853">
        <f t="shared" si="68"/>
        <v>0</v>
      </c>
      <c r="BE90" s="853">
        <f t="shared" si="68"/>
        <v>0</v>
      </c>
      <c r="BF90" s="853">
        <f t="shared" si="68"/>
        <v>0</v>
      </c>
      <c r="BG90" s="853">
        <f t="shared" si="68"/>
        <v>0</v>
      </c>
      <c r="BH90" s="853">
        <f t="shared" si="68"/>
        <v>0</v>
      </c>
      <c r="BI90" s="853">
        <f t="shared" si="68"/>
        <v>0</v>
      </c>
      <c r="BJ90" s="853">
        <f t="shared" si="68"/>
        <v>0</v>
      </c>
      <c r="BK90" s="853">
        <f t="shared" si="68"/>
        <v>0</v>
      </c>
      <c r="BL90" s="853">
        <f t="shared" si="68"/>
        <v>0</v>
      </c>
      <c r="BM90" s="853">
        <f t="shared" si="68"/>
        <v>0</v>
      </c>
      <c r="BN90" s="853">
        <f t="shared" si="68"/>
        <v>0</v>
      </c>
      <c r="BO90" s="854">
        <f t="shared" si="86"/>
        <v>0</v>
      </c>
      <c r="BP90" s="853">
        <f t="shared" si="87"/>
        <v>0</v>
      </c>
      <c r="BQ90" s="853">
        <f t="shared" si="69"/>
        <v>0</v>
      </c>
      <c r="BR90" s="853">
        <f t="shared" si="69"/>
        <v>0</v>
      </c>
      <c r="BS90" s="853">
        <f t="shared" si="69"/>
        <v>3.5500000000000003</v>
      </c>
      <c r="BT90" s="853">
        <f t="shared" si="69"/>
        <v>7.1000000000000005</v>
      </c>
      <c r="BU90" s="853">
        <f t="shared" si="69"/>
        <v>10.65</v>
      </c>
      <c r="BV90" s="853">
        <f t="shared" si="69"/>
        <v>14.200000000000001</v>
      </c>
      <c r="BW90" s="853">
        <f t="shared" si="69"/>
        <v>17.75</v>
      </c>
      <c r="BX90" s="853">
        <f t="shared" si="69"/>
        <v>21.3</v>
      </c>
      <c r="BY90" s="853">
        <f t="shared" si="69"/>
        <v>24.849999999999998</v>
      </c>
      <c r="BZ90" s="853">
        <f t="shared" si="69"/>
        <v>28.400000000000002</v>
      </c>
      <c r="CA90" s="853">
        <f t="shared" si="69"/>
        <v>31.95</v>
      </c>
      <c r="CB90" s="854">
        <f t="shared" si="88"/>
        <v>159.75</v>
      </c>
      <c r="CC90" s="853">
        <f t="shared" si="89"/>
        <v>33.725000000000001</v>
      </c>
      <c r="CD90" s="853">
        <f t="shared" si="70"/>
        <v>35.5</v>
      </c>
      <c r="CE90" s="853">
        <f t="shared" si="70"/>
        <v>35.5</v>
      </c>
      <c r="CF90" s="853">
        <f t="shared" si="70"/>
        <v>35.5</v>
      </c>
      <c r="CG90" s="853">
        <f t="shared" si="70"/>
        <v>35.5</v>
      </c>
      <c r="CH90" s="853">
        <f t="shared" si="70"/>
        <v>35.5</v>
      </c>
      <c r="CI90" s="853">
        <f t="shared" si="70"/>
        <v>35.5</v>
      </c>
      <c r="CJ90" s="853">
        <f t="shared" si="70"/>
        <v>35.5</v>
      </c>
      <c r="CK90" s="853">
        <f t="shared" si="70"/>
        <v>35.5</v>
      </c>
      <c r="CL90" s="853">
        <f t="shared" si="70"/>
        <v>35.5</v>
      </c>
      <c r="CM90" s="853">
        <f t="shared" si="70"/>
        <v>35.5</v>
      </c>
      <c r="CN90" s="853">
        <f t="shared" si="70"/>
        <v>35.5</v>
      </c>
      <c r="CO90" s="854">
        <f t="shared" si="90"/>
        <v>424.22500000000002</v>
      </c>
      <c r="CP90" s="855">
        <f t="shared" si="91"/>
        <v>583.97500000000002</v>
      </c>
    </row>
    <row r="91" spans="1:94">
      <c r="A91" s="845">
        <v>9</v>
      </c>
      <c r="B91" s="846" t="s">
        <v>898</v>
      </c>
      <c r="C91" s="847">
        <v>2</v>
      </c>
      <c r="D91" s="847">
        <f>'Xpert needs'!AB25</f>
        <v>408</v>
      </c>
      <c r="E91" s="847">
        <f t="shared" si="71"/>
        <v>34</v>
      </c>
      <c r="F91" s="848">
        <f t="shared" si="72"/>
        <v>1.7739130434782608</v>
      </c>
      <c r="G91" s="849">
        <f t="shared" si="73"/>
        <v>0.88695652173913042</v>
      </c>
      <c r="H91" s="847">
        <f t="shared" si="74"/>
        <v>408</v>
      </c>
      <c r="I91" s="847">
        <f t="shared" si="75"/>
        <v>34</v>
      </c>
      <c r="J91" s="848">
        <f t="shared" si="76"/>
        <v>1.7739130434782608</v>
      </c>
      <c r="K91" s="849">
        <f t="shared" si="77"/>
        <v>0.88695652173913042</v>
      </c>
      <c r="L91" s="847">
        <f t="shared" si="92"/>
        <v>408</v>
      </c>
      <c r="M91" s="847">
        <f t="shared" si="79"/>
        <v>34</v>
      </c>
      <c r="N91" s="848">
        <f t="shared" si="80"/>
        <v>1.7739130434782608</v>
      </c>
      <c r="O91" s="849">
        <f t="shared" si="81"/>
        <v>0.88695652173913042</v>
      </c>
      <c r="P91" s="850"/>
      <c r="Q91" s="850"/>
      <c r="R91" s="850"/>
      <c r="S91" s="850"/>
      <c r="T91" s="850"/>
      <c r="U91" s="850"/>
      <c r="V91" s="850"/>
      <c r="W91" s="850"/>
      <c r="X91" s="850"/>
      <c r="Y91" s="850"/>
      <c r="Z91" s="850"/>
      <c r="AA91" s="850"/>
      <c r="AB91" s="851">
        <f t="shared" si="82"/>
        <v>0</v>
      </c>
      <c r="AC91" s="850"/>
      <c r="AD91" s="850"/>
      <c r="AE91" s="850"/>
      <c r="AF91" s="852">
        <v>0.1</v>
      </c>
      <c r="AG91" s="850">
        <v>0.2</v>
      </c>
      <c r="AH91" s="850">
        <v>0.3</v>
      </c>
      <c r="AI91" s="850">
        <v>0.4</v>
      </c>
      <c r="AJ91" s="850">
        <v>0.5</v>
      </c>
      <c r="AK91" s="850">
        <v>0.6</v>
      </c>
      <c r="AL91" s="850">
        <v>0.7</v>
      </c>
      <c r="AM91" s="850">
        <v>0.8</v>
      </c>
      <c r="AN91" s="850">
        <v>0.9</v>
      </c>
      <c r="AO91" s="851">
        <f t="shared" si="83"/>
        <v>0.375</v>
      </c>
      <c r="AP91" s="850">
        <v>0.95</v>
      </c>
      <c r="AQ91" s="850">
        <v>1</v>
      </c>
      <c r="AR91" s="850">
        <v>1</v>
      </c>
      <c r="AS91" s="850">
        <v>1</v>
      </c>
      <c r="AT91" s="850">
        <v>1</v>
      </c>
      <c r="AU91" s="850">
        <v>1</v>
      </c>
      <c r="AV91" s="850">
        <v>1</v>
      </c>
      <c r="AW91" s="850">
        <v>1</v>
      </c>
      <c r="AX91" s="850">
        <v>1</v>
      </c>
      <c r="AY91" s="850">
        <v>1</v>
      </c>
      <c r="AZ91" s="850">
        <v>1</v>
      </c>
      <c r="BA91" s="850">
        <v>1</v>
      </c>
      <c r="BB91" s="851">
        <f t="shared" si="84"/>
        <v>0.99583333333333335</v>
      </c>
      <c r="BC91" s="853">
        <f t="shared" si="85"/>
        <v>0</v>
      </c>
      <c r="BD91" s="853">
        <f t="shared" si="68"/>
        <v>0</v>
      </c>
      <c r="BE91" s="853">
        <f t="shared" si="68"/>
        <v>0</v>
      </c>
      <c r="BF91" s="853">
        <f t="shared" si="68"/>
        <v>0</v>
      </c>
      <c r="BG91" s="853">
        <f t="shared" si="68"/>
        <v>0</v>
      </c>
      <c r="BH91" s="853">
        <f t="shared" si="68"/>
        <v>0</v>
      </c>
      <c r="BI91" s="853">
        <f t="shared" si="68"/>
        <v>0</v>
      </c>
      <c r="BJ91" s="853">
        <f t="shared" si="68"/>
        <v>0</v>
      </c>
      <c r="BK91" s="853">
        <f t="shared" si="68"/>
        <v>0</v>
      </c>
      <c r="BL91" s="853">
        <f t="shared" si="68"/>
        <v>0</v>
      </c>
      <c r="BM91" s="853">
        <f t="shared" si="68"/>
        <v>0</v>
      </c>
      <c r="BN91" s="853">
        <f t="shared" si="68"/>
        <v>0</v>
      </c>
      <c r="BO91" s="854">
        <f t="shared" si="86"/>
        <v>0</v>
      </c>
      <c r="BP91" s="853">
        <f t="shared" si="87"/>
        <v>0</v>
      </c>
      <c r="BQ91" s="853">
        <f t="shared" si="69"/>
        <v>0</v>
      </c>
      <c r="BR91" s="853">
        <f t="shared" si="69"/>
        <v>0</v>
      </c>
      <c r="BS91" s="853">
        <f t="shared" si="69"/>
        <v>3.4000000000000004</v>
      </c>
      <c r="BT91" s="853">
        <f t="shared" si="69"/>
        <v>6.8000000000000007</v>
      </c>
      <c r="BU91" s="853">
        <f t="shared" si="69"/>
        <v>10.199999999999999</v>
      </c>
      <c r="BV91" s="853">
        <f t="shared" si="69"/>
        <v>13.600000000000001</v>
      </c>
      <c r="BW91" s="853">
        <f t="shared" si="69"/>
        <v>17</v>
      </c>
      <c r="BX91" s="853">
        <f t="shared" si="69"/>
        <v>20.399999999999999</v>
      </c>
      <c r="BY91" s="853">
        <f t="shared" si="69"/>
        <v>23.799999999999997</v>
      </c>
      <c r="BZ91" s="853">
        <f t="shared" si="69"/>
        <v>27.200000000000003</v>
      </c>
      <c r="CA91" s="853">
        <f t="shared" si="69"/>
        <v>30.6</v>
      </c>
      <c r="CB91" s="854">
        <f t="shared" si="88"/>
        <v>153</v>
      </c>
      <c r="CC91" s="853">
        <f t="shared" si="89"/>
        <v>32.299999999999997</v>
      </c>
      <c r="CD91" s="853">
        <f t="shared" si="70"/>
        <v>34</v>
      </c>
      <c r="CE91" s="853">
        <f t="shared" si="70"/>
        <v>34</v>
      </c>
      <c r="CF91" s="853">
        <f t="shared" si="70"/>
        <v>34</v>
      </c>
      <c r="CG91" s="853">
        <f t="shared" si="70"/>
        <v>34</v>
      </c>
      <c r="CH91" s="853">
        <f t="shared" si="70"/>
        <v>34</v>
      </c>
      <c r="CI91" s="853">
        <f t="shared" si="70"/>
        <v>34</v>
      </c>
      <c r="CJ91" s="853">
        <f t="shared" si="70"/>
        <v>34</v>
      </c>
      <c r="CK91" s="853">
        <f t="shared" si="70"/>
        <v>34</v>
      </c>
      <c r="CL91" s="853">
        <f t="shared" si="70"/>
        <v>34</v>
      </c>
      <c r="CM91" s="853">
        <f t="shared" si="70"/>
        <v>34</v>
      </c>
      <c r="CN91" s="853">
        <f t="shared" si="70"/>
        <v>34</v>
      </c>
      <c r="CO91" s="854">
        <f t="shared" si="90"/>
        <v>406.3</v>
      </c>
      <c r="CP91" s="855">
        <f t="shared" si="91"/>
        <v>559.29999999999995</v>
      </c>
    </row>
    <row r="92" spans="1:94">
      <c r="A92" s="845">
        <v>10</v>
      </c>
      <c r="B92" s="846" t="s">
        <v>899</v>
      </c>
      <c r="C92" s="847">
        <v>2</v>
      </c>
      <c r="D92" s="847">
        <f>'Xpert needs'!AB26</f>
        <v>453.59999999999997</v>
      </c>
      <c r="E92" s="847">
        <f t="shared" si="71"/>
        <v>37.799999999999997</v>
      </c>
      <c r="F92" s="848">
        <f t="shared" si="72"/>
        <v>1.9721739130434781</v>
      </c>
      <c r="G92" s="849">
        <f t="shared" si="73"/>
        <v>0.98608695652173906</v>
      </c>
      <c r="H92" s="847">
        <f t="shared" si="74"/>
        <v>453.59999999999997</v>
      </c>
      <c r="I92" s="847">
        <f t="shared" si="75"/>
        <v>37.799999999999997</v>
      </c>
      <c r="J92" s="848">
        <f t="shared" si="76"/>
        <v>1.9721739130434781</v>
      </c>
      <c r="K92" s="849">
        <f t="shared" si="77"/>
        <v>0.98608695652173906</v>
      </c>
      <c r="L92" s="847">
        <f t="shared" si="92"/>
        <v>453.59999999999997</v>
      </c>
      <c r="M92" s="847">
        <f t="shared" si="79"/>
        <v>37.799999999999997</v>
      </c>
      <c r="N92" s="848">
        <f t="shared" si="80"/>
        <v>1.9721739130434781</v>
      </c>
      <c r="O92" s="849">
        <f t="shared" si="81"/>
        <v>0.98608695652173906</v>
      </c>
      <c r="P92" s="850"/>
      <c r="Q92" s="850"/>
      <c r="R92" s="850"/>
      <c r="S92" s="850"/>
      <c r="T92" s="850"/>
      <c r="U92" s="850"/>
      <c r="V92" s="850"/>
      <c r="W92" s="850"/>
      <c r="X92" s="850"/>
      <c r="Y92" s="850"/>
      <c r="Z92" s="850"/>
      <c r="AA92" s="850"/>
      <c r="AB92" s="851">
        <f t="shared" si="82"/>
        <v>0</v>
      </c>
      <c r="AC92" s="850"/>
      <c r="AD92" s="850"/>
      <c r="AE92" s="850"/>
      <c r="AF92" s="852">
        <v>0.1</v>
      </c>
      <c r="AG92" s="850">
        <v>0.2</v>
      </c>
      <c r="AH92" s="850">
        <v>0.3</v>
      </c>
      <c r="AI92" s="850">
        <v>0.4</v>
      </c>
      <c r="AJ92" s="850">
        <v>0.5</v>
      </c>
      <c r="AK92" s="850">
        <v>0.6</v>
      </c>
      <c r="AL92" s="850">
        <v>0.7</v>
      </c>
      <c r="AM92" s="850">
        <v>0.8</v>
      </c>
      <c r="AN92" s="850">
        <v>0.9</v>
      </c>
      <c r="AO92" s="851">
        <f t="shared" si="83"/>
        <v>0.37499999999999994</v>
      </c>
      <c r="AP92" s="850">
        <v>0.95</v>
      </c>
      <c r="AQ92" s="850">
        <v>1</v>
      </c>
      <c r="AR92" s="850">
        <v>1</v>
      </c>
      <c r="AS92" s="850">
        <v>1</v>
      </c>
      <c r="AT92" s="850">
        <v>1</v>
      </c>
      <c r="AU92" s="850">
        <v>1</v>
      </c>
      <c r="AV92" s="850">
        <v>1</v>
      </c>
      <c r="AW92" s="850">
        <v>1</v>
      </c>
      <c r="AX92" s="850">
        <v>1</v>
      </c>
      <c r="AY92" s="850">
        <v>1</v>
      </c>
      <c r="AZ92" s="850">
        <v>1</v>
      </c>
      <c r="BA92" s="850">
        <v>1</v>
      </c>
      <c r="BB92" s="851">
        <f t="shared" si="84"/>
        <v>0.99583333333333357</v>
      </c>
      <c r="BC92" s="853">
        <f t="shared" si="85"/>
        <v>0</v>
      </c>
      <c r="BD92" s="853">
        <f t="shared" si="68"/>
        <v>0</v>
      </c>
      <c r="BE92" s="853">
        <f t="shared" si="68"/>
        <v>0</v>
      </c>
      <c r="BF92" s="853">
        <f t="shared" si="68"/>
        <v>0</v>
      </c>
      <c r="BG92" s="853">
        <f t="shared" si="68"/>
        <v>0</v>
      </c>
      <c r="BH92" s="853">
        <f t="shared" si="68"/>
        <v>0</v>
      </c>
      <c r="BI92" s="853">
        <f t="shared" si="68"/>
        <v>0</v>
      </c>
      <c r="BJ92" s="853">
        <f t="shared" si="68"/>
        <v>0</v>
      </c>
      <c r="BK92" s="853">
        <f t="shared" si="68"/>
        <v>0</v>
      </c>
      <c r="BL92" s="853">
        <f t="shared" si="68"/>
        <v>0</v>
      </c>
      <c r="BM92" s="853">
        <f t="shared" si="68"/>
        <v>0</v>
      </c>
      <c r="BN92" s="853">
        <f t="shared" si="68"/>
        <v>0</v>
      </c>
      <c r="BO92" s="854">
        <f t="shared" si="86"/>
        <v>0</v>
      </c>
      <c r="BP92" s="853">
        <f t="shared" si="87"/>
        <v>0</v>
      </c>
      <c r="BQ92" s="853">
        <f t="shared" si="69"/>
        <v>0</v>
      </c>
      <c r="BR92" s="853">
        <f t="shared" si="69"/>
        <v>0</v>
      </c>
      <c r="BS92" s="853">
        <f t="shared" si="69"/>
        <v>3.78</v>
      </c>
      <c r="BT92" s="853">
        <f t="shared" si="69"/>
        <v>7.56</v>
      </c>
      <c r="BU92" s="853">
        <f t="shared" si="69"/>
        <v>11.339999999999998</v>
      </c>
      <c r="BV92" s="853">
        <f t="shared" si="69"/>
        <v>15.12</v>
      </c>
      <c r="BW92" s="853">
        <f t="shared" si="69"/>
        <v>18.899999999999999</v>
      </c>
      <c r="BX92" s="853">
        <f t="shared" si="69"/>
        <v>22.679999999999996</v>
      </c>
      <c r="BY92" s="853">
        <f t="shared" si="69"/>
        <v>26.459999999999997</v>
      </c>
      <c r="BZ92" s="853">
        <f t="shared" si="69"/>
        <v>30.24</v>
      </c>
      <c r="CA92" s="853">
        <f t="shared" si="69"/>
        <v>34.019999999999996</v>
      </c>
      <c r="CB92" s="854">
        <f t="shared" si="88"/>
        <v>170.09999999999997</v>
      </c>
      <c r="CC92" s="853">
        <f t="shared" si="89"/>
        <v>35.909999999999997</v>
      </c>
      <c r="CD92" s="853">
        <f t="shared" si="70"/>
        <v>37.799999999999997</v>
      </c>
      <c r="CE92" s="853">
        <f t="shared" si="70"/>
        <v>37.799999999999997</v>
      </c>
      <c r="CF92" s="853">
        <f t="shared" si="70"/>
        <v>37.799999999999997</v>
      </c>
      <c r="CG92" s="853">
        <f t="shared" si="70"/>
        <v>37.799999999999997</v>
      </c>
      <c r="CH92" s="853">
        <f t="shared" si="70"/>
        <v>37.799999999999997</v>
      </c>
      <c r="CI92" s="853">
        <f t="shared" si="70"/>
        <v>37.799999999999997</v>
      </c>
      <c r="CJ92" s="853">
        <f t="shared" si="70"/>
        <v>37.799999999999997</v>
      </c>
      <c r="CK92" s="853">
        <f t="shared" si="70"/>
        <v>37.799999999999997</v>
      </c>
      <c r="CL92" s="853">
        <f t="shared" si="70"/>
        <v>37.799999999999997</v>
      </c>
      <c r="CM92" s="853">
        <f t="shared" si="70"/>
        <v>37.799999999999997</v>
      </c>
      <c r="CN92" s="853">
        <f t="shared" si="70"/>
        <v>37.799999999999997</v>
      </c>
      <c r="CO92" s="854">
        <f t="shared" si="90"/>
        <v>451.71000000000009</v>
      </c>
      <c r="CP92" s="855">
        <f t="shared" si="91"/>
        <v>621.81000000000006</v>
      </c>
    </row>
    <row r="93" spans="1:94">
      <c r="A93" s="845">
        <v>11</v>
      </c>
      <c r="B93" s="846" t="s">
        <v>901</v>
      </c>
      <c r="C93" s="859">
        <v>2</v>
      </c>
      <c r="D93" s="847">
        <f>'Xpert needs'!AB28</f>
        <v>994.40000000000009</v>
      </c>
      <c r="E93" s="847">
        <f t="shared" si="71"/>
        <v>82.866666666666674</v>
      </c>
      <c r="F93" s="848">
        <f t="shared" si="72"/>
        <v>4.3234782608695657</v>
      </c>
      <c r="G93" s="849">
        <f t="shared" si="73"/>
        <v>2.1617391304347828</v>
      </c>
      <c r="H93" s="847">
        <f t="shared" si="74"/>
        <v>994.40000000000009</v>
      </c>
      <c r="I93" s="847">
        <f t="shared" si="75"/>
        <v>82.866666666666674</v>
      </c>
      <c r="J93" s="848">
        <f t="shared" si="76"/>
        <v>4.3234782608695657</v>
      </c>
      <c r="K93" s="849">
        <f t="shared" si="77"/>
        <v>2.1617391304347828</v>
      </c>
      <c r="L93" s="847">
        <f>H93</f>
        <v>994.40000000000009</v>
      </c>
      <c r="M93" s="847">
        <f t="shared" si="79"/>
        <v>82.866666666666674</v>
      </c>
      <c r="N93" s="848">
        <f t="shared" si="80"/>
        <v>4.3234782608695657</v>
      </c>
      <c r="O93" s="849">
        <f t="shared" si="81"/>
        <v>2.1617391304347828</v>
      </c>
      <c r="P93" s="850"/>
      <c r="Q93" s="850"/>
      <c r="R93" s="850"/>
      <c r="S93" s="850"/>
      <c r="T93" s="850"/>
      <c r="U93" s="850"/>
      <c r="V93" s="850"/>
      <c r="W93" s="850"/>
      <c r="X93" s="850"/>
      <c r="Y93" s="850"/>
      <c r="Z93" s="850"/>
      <c r="AA93" s="850"/>
      <c r="AB93" s="851">
        <f t="shared" si="82"/>
        <v>0</v>
      </c>
      <c r="AC93" s="852">
        <v>0.1</v>
      </c>
      <c r="AD93" s="850">
        <v>0.3</v>
      </c>
      <c r="AE93" s="850">
        <v>0.5</v>
      </c>
      <c r="AF93" s="850">
        <v>0.7</v>
      </c>
      <c r="AG93" s="850">
        <v>0.8</v>
      </c>
      <c r="AH93" s="850">
        <v>0.9</v>
      </c>
      <c r="AI93" s="850">
        <v>1</v>
      </c>
      <c r="AJ93" s="850">
        <v>1</v>
      </c>
      <c r="AK93" s="850">
        <v>1</v>
      </c>
      <c r="AL93" s="850">
        <v>1</v>
      </c>
      <c r="AM93" s="850">
        <v>1</v>
      </c>
      <c r="AN93" s="850">
        <v>1</v>
      </c>
      <c r="AO93" s="851">
        <f t="shared" si="83"/>
        <v>0.77500000000000002</v>
      </c>
      <c r="AP93" s="850">
        <v>1</v>
      </c>
      <c r="AQ93" s="850">
        <v>1</v>
      </c>
      <c r="AR93" s="850">
        <v>1</v>
      </c>
      <c r="AS93" s="850">
        <v>1</v>
      </c>
      <c r="AT93" s="850">
        <v>1</v>
      </c>
      <c r="AU93" s="850">
        <v>1</v>
      </c>
      <c r="AV93" s="850">
        <v>1</v>
      </c>
      <c r="AW93" s="850">
        <v>1</v>
      </c>
      <c r="AX93" s="850">
        <v>1</v>
      </c>
      <c r="AY93" s="850">
        <v>1</v>
      </c>
      <c r="AZ93" s="850">
        <v>1</v>
      </c>
      <c r="BA93" s="850">
        <v>1</v>
      </c>
      <c r="BB93" s="851">
        <f t="shared" si="84"/>
        <v>1</v>
      </c>
      <c r="BC93" s="853">
        <f t="shared" si="85"/>
        <v>0</v>
      </c>
      <c r="BD93" s="853">
        <f t="shared" si="68"/>
        <v>0</v>
      </c>
      <c r="BE93" s="853">
        <f t="shared" si="68"/>
        <v>0</v>
      </c>
      <c r="BF93" s="853">
        <f t="shared" si="68"/>
        <v>0</v>
      </c>
      <c r="BG93" s="853">
        <f t="shared" si="68"/>
        <v>0</v>
      </c>
      <c r="BH93" s="853">
        <f t="shared" si="68"/>
        <v>0</v>
      </c>
      <c r="BI93" s="853">
        <f t="shared" si="68"/>
        <v>0</v>
      </c>
      <c r="BJ93" s="853">
        <f t="shared" si="68"/>
        <v>0</v>
      </c>
      <c r="BK93" s="853">
        <f t="shared" si="68"/>
        <v>0</v>
      </c>
      <c r="BL93" s="853">
        <f t="shared" si="68"/>
        <v>0</v>
      </c>
      <c r="BM93" s="853">
        <f t="shared" si="68"/>
        <v>0</v>
      </c>
      <c r="BN93" s="853">
        <f t="shared" si="68"/>
        <v>0</v>
      </c>
      <c r="BO93" s="854">
        <f t="shared" si="86"/>
        <v>0</v>
      </c>
      <c r="BP93" s="853">
        <f t="shared" si="87"/>
        <v>8.2866666666666671</v>
      </c>
      <c r="BQ93" s="853">
        <f t="shared" si="69"/>
        <v>24.860000000000003</v>
      </c>
      <c r="BR93" s="853">
        <f t="shared" si="69"/>
        <v>41.433333333333337</v>
      </c>
      <c r="BS93" s="853">
        <f t="shared" si="69"/>
        <v>58.006666666666668</v>
      </c>
      <c r="BT93" s="853">
        <f t="shared" si="69"/>
        <v>66.293333333333337</v>
      </c>
      <c r="BU93" s="853">
        <f t="shared" si="69"/>
        <v>74.580000000000013</v>
      </c>
      <c r="BV93" s="853">
        <f t="shared" si="69"/>
        <v>82.866666666666674</v>
      </c>
      <c r="BW93" s="853">
        <f t="shared" si="69"/>
        <v>82.866666666666674</v>
      </c>
      <c r="BX93" s="853">
        <f t="shared" si="69"/>
        <v>82.866666666666674</v>
      </c>
      <c r="BY93" s="853">
        <f t="shared" si="69"/>
        <v>82.866666666666674</v>
      </c>
      <c r="BZ93" s="853">
        <f t="shared" si="69"/>
        <v>82.866666666666674</v>
      </c>
      <c r="CA93" s="853">
        <f t="shared" si="69"/>
        <v>82.866666666666674</v>
      </c>
      <c r="CB93" s="854">
        <f t="shared" si="88"/>
        <v>770.66000000000008</v>
      </c>
      <c r="CC93" s="853">
        <f t="shared" si="89"/>
        <v>82.866666666666674</v>
      </c>
      <c r="CD93" s="853">
        <f t="shared" si="70"/>
        <v>82.866666666666674</v>
      </c>
      <c r="CE93" s="853">
        <f t="shared" si="70"/>
        <v>82.866666666666674</v>
      </c>
      <c r="CF93" s="853">
        <f t="shared" si="70"/>
        <v>82.866666666666674</v>
      </c>
      <c r="CG93" s="853">
        <f t="shared" si="70"/>
        <v>82.866666666666674</v>
      </c>
      <c r="CH93" s="853">
        <f t="shared" si="70"/>
        <v>82.866666666666674</v>
      </c>
      <c r="CI93" s="853">
        <f t="shared" si="70"/>
        <v>82.866666666666674</v>
      </c>
      <c r="CJ93" s="853">
        <f t="shared" si="70"/>
        <v>82.866666666666674</v>
      </c>
      <c r="CK93" s="853">
        <f t="shared" si="70"/>
        <v>82.866666666666674</v>
      </c>
      <c r="CL93" s="853">
        <f t="shared" si="70"/>
        <v>82.866666666666674</v>
      </c>
      <c r="CM93" s="853">
        <f t="shared" si="70"/>
        <v>82.866666666666674</v>
      </c>
      <c r="CN93" s="853">
        <f t="shared" si="70"/>
        <v>82.866666666666674</v>
      </c>
      <c r="CO93" s="854">
        <f t="shared" si="90"/>
        <v>994.40000000000009</v>
      </c>
      <c r="CP93" s="855">
        <f t="shared" si="91"/>
        <v>1765.0600000000002</v>
      </c>
    </row>
    <row r="94" spans="1:94">
      <c r="A94" s="845">
        <v>12</v>
      </c>
      <c r="B94" s="846" t="s">
        <v>904</v>
      </c>
      <c r="C94" s="847">
        <v>2</v>
      </c>
      <c r="D94" s="847">
        <f>'Xpert needs'!AB31</f>
        <v>373.15</v>
      </c>
      <c r="E94" s="847">
        <f t="shared" si="71"/>
        <v>31.095833333333331</v>
      </c>
      <c r="F94" s="848">
        <f t="shared" si="72"/>
        <v>1.622391304347826</v>
      </c>
      <c r="G94" s="849">
        <f t="shared" si="73"/>
        <v>0.81119565217391298</v>
      </c>
      <c r="H94" s="847">
        <f t="shared" si="74"/>
        <v>373.15</v>
      </c>
      <c r="I94" s="847">
        <f t="shared" si="75"/>
        <v>31.095833333333331</v>
      </c>
      <c r="J94" s="848">
        <f t="shared" si="76"/>
        <v>1.622391304347826</v>
      </c>
      <c r="K94" s="849">
        <f t="shared" si="77"/>
        <v>0.81119565217391298</v>
      </c>
      <c r="L94" s="847">
        <f t="shared" ref="L94:L95" si="93">H94</f>
        <v>373.15</v>
      </c>
      <c r="M94" s="847">
        <f t="shared" si="79"/>
        <v>31.095833333333331</v>
      </c>
      <c r="N94" s="848">
        <f t="shared" si="80"/>
        <v>1.622391304347826</v>
      </c>
      <c r="O94" s="849">
        <f t="shared" si="81"/>
        <v>0.81119565217391298</v>
      </c>
      <c r="P94" s="850"/>
      <c r="Q94" s="850"/>
      <c r="R94" s="850"/>
      <c r="S94" s="850"/>
      <c r="T94" s="850"/>
      <c r="U94" s="850"/>
      <c r="V94" s="850"/>
      <c r="W94" s="850"/>
      <c r="X94" s="850"/>
      <c r="Y94" s="850"/>
      <c r="Z94" s="850"/>
      <c r="AA94" s="850"/>
      <c r="AB94" s="851">
        <f t="shared" si="82"/>
        <v>0</v>
      </c>
      <c r="AC94" s="852">
        <v>0.1</v>
      </c>
      <c r="AD94" s="850">
        <v>0.2</v>
      </c>
      <c r="AE94" s="850">
        <v>0.3</v>
      </c>
      <c r="AF94" s="850">
        <v>0.4</v>
      </c>
      <c r="AG94" s="850">
        <v>0.5</v>
      </c>
      <c r="AH94" s="850">
        <v>0.6</v>
      </c>
      <c r="AI94" s="850">
        <v>0.7</v>
      </c>
      <c r="AJ94" s="850">
        <v>0.8</v>
      </c>
      <c r="AK94" s="850">
        <v>0.9</v>
      </c>
      <c r="AL94" s="850">
        <v>1</v>
      </c>
      <c r="AM94" s="850">
        <v>1</v>
      </c>
      <c r="AN94" s="850">
        <v>1</v>
      </c>
      <c r="AO94" s="851">
        <f t="shared" si="83"/>
        <v>0.625</v>
      </c>
      <c r="AP94" s="850">
        <v>1</v>
      </c>
      <c r="AQ94" s="850">
        <v>1</v>
      </c>
      <c r="AR94" s="850">
        <v>1</v>
      </c>
      <c r="AS94" s="850">
        <v>1</v>
      </c>
      <c r="AT94" s="850">
        <v>1</v>
      </c>
      <c r="AU94" s="850">
        <v>1</v>
      </c>
      <c r="AV94" s="850">
        <v>1</v>
      </c>
      <c r="AW94" s="850">
        <v>1</v>
      </c>
      <c r="AX94" s="850">
        <v>1</v>
      </c>
      <c r="AY94" s="850">
        <v>1</v>
      </c>
      <c r="AZ94" s="850">
        <v>1</v>
      </c>
      <c r="BA94" s="850">
        <v>1</v>
      </c>
      <c r="BB94" s="851">
        <f t="shared" si="84"/>
        <v>0.99999999999999967</v>
      </c>
      <c r="BC94" s="853">
        <f t="shared" si="85"/>
        <v>0</v>
      </c>
      <c r="BD94" s="853">
        <f t="shared" si="68"/>
        <v>0</v>
      </c>
      <c r="BE94" s="853">
        <f t="shared" si="68"/>
        <v>0</v>
      </c>
      <c r="BF94" s="853">
        <f t="shared" si="68"/>
        <v>0</v>
      </c>
      <c r="BG94" s="853">
        <f t="shared" si="68"/>
        <v>0</v>
      </c>
      <c r="BH94" s="853">
        <f t="shared" si="68"/>
        <v>0</v>
      </c>
      <c r="BI94" s="853">
        <f t="shared" si="68"/>
        <v>0</v>
      </c>
      <c r="BJ94" s="853">
        <f t="shared" si="68"/>
        <v>0</v>
      </c>
      <c r="BK94" s="853">
        <f t="shared" si="68"/>
        <v>0</v>
      </c>
      <c r="BL94" s="853">
        <f t="shared" si="68"/>
        <v>0</v>
      </c>
      <c r="BM94" s="853">
        <f t="shared" si="68"/>
        <v>0</v>
      </c>
      <c r="BN94" s="853">
        <f t="shared" si="68"/>
        <v>0</v>
      </c>
      <c r="BO94" s="854">
        <f t="shared" si="86"/>
        <v>0</v>
      </c>
      <c r="BP94" s="853">
        <f t="shared" si="87"/>
        <v>3.1095833333333331</v>
      </c>
      <c r="BQ94" s="853">
        <f t="shared" si="69"/>
        <v>6.2191666666666663</v>
      </c>
      <c r="BR94" s="853">
        <f t="shared" si="69"/>
        <v>9.3287499999999994</v>
      </c>
      <c r="BS94" s="853">
        <f t="shared" si="69"/>
        <v>12.438333333333333</v>
      </c>
      <c r="BT94" s="853">
        <f t="shared" si="69"/>
        <v>15.547916666666666</v>
      </c>
      <c r="BU94" s="853">
        <f t="shared" si="69"/>
        <v>18.657499999999999</v>
      </c>
      <c r="BV94" s="853">
        <f t="shared" si="69"/>
        <v>21.767083333333332</v>
      </c>
      <c r="BW94" s="853">
        <f t="shared" si="69"/>
        <v>24.876666666666665</v>
      </c>
      <c r="BX94" s="853">
        <f t="shared" si="69"/>
        <v>27.986249999999998</v>
      </c>
      <c r="BY94" s="853">
        <f t="shared" si="69"/>
        <v>31.095833333333331</v>
      </c>
      <c r="BZ94" s="853">
        <f t="shared" si="69"/>
        <v>31.095833333333331</v>
      </c>
      <c r="CA94" s="853">
        <f t="shared" si="69"/>
        <v>31.095833333333331</v>
      </c>
      <c r="CB94" s="854">
        <f t="shared" si="88"/>
        <v>233.21874999999997</v>
      </c>
      <c r="CC94" s="853">
        <f t="shared" si="89"/>
        <v>31.095833333333331</v>
      </c>
      <c r="CD94" s="853">
        <f t="shared" si="70"/>
        <v>31.095833333333331</v>
      </c>
      <c r="CE94" s="853">
        <f t="shared" si="70"/>
        <v>31.095833333333331</v>
      </c>
      <c r="CF94" s="853">
        <f t="shared" si="70"/>
        <v>31.095833333333331</v>
      </c>
      <c r="CG94" s="853">
        <f t="shared" si="70"/>
        <v>31.095833333333331</v>
      </c>
      <c r="CH94" s="853">
        <f t="shared" si="70"/>
        <v>31.095833333333331</v>
      </c>
      <c r="CI94" s="853">
        <f t="shared" si="70"/>
        <v>31.095833333333331</v>
      </c>
      <c r="CJ94" s="853">
        <f t="shared" si="70"/>
        <v>31.095833333333331</v>
      </c>
      <c r="CK94" s="853">
        <f t="shared" si="70"/>
        <v>31.095833333333331</v>
      </c>
      <c r="CL94" s="853">
        <f t="shared" si="70"/>
        <v>31.095833333333331</v>
      </c>
      <c r="CM94" s="853">
        <f t="shared" si="70"/>
        <v>31.095833333333331</v>
      </c>
      <c r="CN94" s="853">
        <f t="shared" si="70"/>
        <v>31.095833333333331</v>
      </c>
      <c r="CO94" s="854">
        <f t="shared" si="90"/>
        <v>373.14999999999986</v>
      </c>
      <c r="CP94" s="855">
        <f t="shared" si="91"/>
        <v>606.36874999999986</v>
      </c>
    </row>
    <row r="95" spans="1:94">
      <c r="A95" s="845">
        <v>13</v>
      </c>
      <c r="B95" s="846" t="s">
        <v>905</v>
      </c>
      <c r="C95" s="847">
        <v>2</v>
      </c>
      <c r="D95" s="847">
        <f>'Xpert needs'!AB32</f>
        <v>496.4</v>
      </c>
      <c r="E95" s="847">
        <f t="shared" si="71"/>
        <v>41.366666666666667</v>
      </c>
      <c r="F95" s="848">
        <f t="shared" si="72"/>
        <v>2.1582608695652175</v>
      </c>
      <c r="G95" s="849">
        <f t="shared" si="73"/>
        <v>1.0791304347826087</v>
      </c>
      <c r="H95" s="847">
        <f t="shared" si="74"/>
        <v>496.4</v>
      </c>
      <c r="I95" s="847">
        <f t="shared" si="75"/>
        <v>41.366666666666667</v>
      </c>
      <c r="J95" s="848">
        <f t="shared" si="76"/>
        <v>2.1582608695652175</v>
      </c>
      <c r="K95" s="849">
        <f t="shared" si="77"/>
        <v>1.0791304347826087</v>
      </c>
      <c r="L95" s="847">
        <f t="shared" si="93"/>
        <v>496.4</v>
      </c>
      <c r="M95" s="847">
        <f t="shared" si="79"/>
        <v>41.366666666666667</v>
      </c>
      <c r="N95" s="848">
        <f t="shared" si="80"/>
        <v>2.1582608695652175</v>
      </c>
      <c r="O95" s="849">
        <f t="shared" si="81"/>
        <v>1.0791304347826087</v>
      </c>
      <c r="P95" s="850"/>
      <c r="Q95" s="850"/>
      <c r="R95" s="850"/>
      <c r="S95" s="850"/>
      <c r="T95" s="850"/>
      <c r="U95" s="850"/>
      <c r="V95" s="850"/>
      <c r="W95" s="850"/>
      <c r="X95" s="850"/>
      <c r="Y95" s="850"/>
      <c r="Z95" s="850"/>
      <c r="AA95" s="850"/>
      <c r="AB95" s="851">
        <f t="shared" si="82"/>
        <v>0</v>
      </c>
      <c r="AC95" s="852">
        <v>0.1</v>
      </c>
      <c r="AD95" s="850">
        <v>0.2</v>
      </c>
      <c r="AE95" s="850">
        <v>0.3</v>
      </c>
      <c r="AF95" s="850">
        <v>0.4</v>
      </c>
      <c r="AG95" s="850">
        <v>0.5</v>
      </c>
      <c r="AH95" s="850">
        <v>0.6</v>
      </c>
      <c r="AI95" s="850">
        <v>0.7</v>
      </c>
      <c r="AJ95" s="850">
        <v>0.8</v>
      </c>
      <c r="AK95" s="850">
        <v>0.9</v>
      </c>
      <c r="AL95" s="850">
        <v>1</v>
      </c>
      <c r="AM95" s="850">
        <v>1</v>
      </c>
      <c r="AN95" s="850">
        <v>1</v>
      </c>
      <c r="AO95" s="851">
        <f t="shared" si="83"/>
        <v>0.62500000000000011</v>
      </c>
      <c r="AP95" s="850">
        <v>1</v>
      </c>
      <c r="AQ95" s="850">
        <v>1</v>
      </c>
      <c r="AR95" s="850">
        <v>1</v>
      </c>
      <c r="AS95" s="850">
        <v>1</v>
      </c>
      <c r="AT95" s="850">
        <v>1</v>
      </c>
      <c r="AU95" s="850">
        <v>1</v>
      </c>
      <c r="AV95" s="850">
        <v>1</v>
      </c>
      <c r="AW95" s="850">
        <v>1</v>
      </c>
      <c r="AX95" s="850">
        <v>1</v>
      </c>
      <c r="AY95" s="850">
        <v>1</v>
      </c>
      <c r="AZ95" s="850">
        <v>1</v>
      </c>
      <c r="BA95" s="850">
        <v>1</v>
      </c>
      <c r="BB95" s="851">
        <f t="shared" si="84"/>
        <v>1.0000000000000002</v>
      </c>
      <c r="BC95" s="853">
        <f t="shared" si="85"/>
        <v>0</v>
      </c>
      <c r="BD95" s="853">
        <f t="shared" si="68"/>
        <v>0</v>
      </c>
      <c r="BE95" s="853">
        <f t="shared" si="68"/>
        <v>0</v>
      </c>
      <c r="BF95" s="853">
        <f t="shared" si="68"/>
        <v>0</v>
      </c>
      <c r="BG95" s="853">
        <f t="shared" si="68"/>
        <v>0</v>
      </c>
      <c r="BH95" s="853">
        <f t="shared" si="68"/>
        <v>0</v>
      </c>
      <c r="BI95" s="853">
        <f t="shared" si="68"/>
        <v>0</v>
      </c>
      <c r="BJ95" s="853">
        <f t="shared" si="68"/>
        <v>0</v>
      </c>
      <c r="BK95" s="853">
        <f t="shared" si="68"/>
        <v>0</v>
      </c>
      <c r="BL95" s="853">
        <f t="shared" si="68"/>
        <v>0</v>
      </c>
      <c r="BM95" s="853">
        <f t="shared" si="68"/>
        <v>0</v>
      </c>
      <c r="BN95" s="853">
        <f t="shared" si="68"/>
        <v>0</v>
      </c>
      <c r="BO95" s="854">
        <f t="shared" si="86"/>
        <v>0</v>
      </c>
      <c r="BP95" s="853">
        <f t="shared" si="87"/>
        <v>4.1366666666666667</v>
      </c>
      <c r="BQ95" s="853">
        <f t="shared" si="69"/>
        <v>8.2733333333333334</v>
      </c>
      <c r="BR95" s="853">
        <f t="shared" si="69"/>
        <v>12.41</v>
      </c>
      <c r="BS95" s="853">
        <f t="shared" si="69"/>
        <v>16.546666666666667</v>
      </c>
      <c r="BT95" s="853">
        <f t="shared" si="69"/>
        <v>20.683333333333334</v>
      </c>
      <c r="BU95" s="853">
        <f t="shared" si="69"/>
        <v>24.82</v>
      </c>
      <c r="BV95" s="853">
        <f t="shared" si="69"/>
        <v>28.956666666666663</v>
      </c>
      <c r="BW95" s="853">
        <f t="shared" si="69"/>
        <v>33.093333333333334</v>
      </c>
      <c r="BX95" s="853">
        <f t="shared" si="69"/>
        <v>37.230000000000004</v>
      </c>
      <c r="BY95" s="853">
        <f t="shared" si="69"/>
        <v>41.366666666666667</v>
      </c>
      <c r="BZ95" s="853">
        <f t="shared" si="69"/>
        <v>41.366666666666667</v>
      </c>
      <c r="CA95" s="853">
        <f t="shared" si="69"/>
        <v>41.366666666666667</v>
      </c>
      <c r="CB95" s="854">
        <f t="shared" si="88"/>
        <v>310.25000000000006</v>
      </c>
      <c r="CC95" s="853">
        <f t="shared" si="89"/>
        <v>41.366666666666667</v>
      </c>
      <c r="CD95" s="853">
        <f t="shared" si="70"/>
        <v>41.366666666666667</v>
      </c>
      <c r="CE95" s="853">
        <f t="shared" si="70"/>
        <v>41.366666666666667</v>
      </c>
      <c r="CF95" s="853">
        <f t="shared" si="70"/>
        <v>41.366666666666667</v>
      </c>
      <c r="CG95" s="853">
        <f t="shared" si="70"/>
        <v>41.366666666666667</v>
      </c>
      <c r="CH95" s="853">
        <f t="shared" si="70"/>
        <v>41.366666666666667</v>
      </c>
      <c r="CI95" s="853">
        <f t="shared" si="70"/>
        <v>41.366666666666667</v>
      </c>
      <c r="CJ95" s="853">
        <f t="shared" si="70"/>
        <v>41.366666666666667</v>
      </c>
      <c r="CK95" s="853">
        <f t="shared" si="70"/>
        <v>41.366666666666667</v>
      </c>
      <c r="CL95" s="853">
        <f t="shared" si="70"/>
        <v>41.366666666666667</v>
      </c>
      <c r="CM95" s="853">
        <f t="shared" si="70"/>
        <v>41.366666666666667</v>
      </c>
      <c r="CN95" s="853">
        <f t="shared" si="70"/>
        <v>41.366666666666667</v>
      </c>
      <c r="CO95" s="854">
        <f t="shared" si="90"/>
        <v>496.40000000000003</v>
      </c>
      <c r="CP95" s="855">
        <f t="shared" si="91"/>
        <v>806.65000000000009</v>
      </c>
    </row>
    <row r="96" spans="1:94">
      <c r="A96" s="845">
        <v>14</v>
      </c>
      <c r="B96" s="846" t="s">
        <v>907</v>
      </c>
      <c r="C96" s="847">
        <v>2</v>
      </c>
      <c r="D96" s="847">
        <f>'Xpert needs'!AB34</f>
        <v>672.75</v>
      </c>
      <c r="E96" s="847">
        <f t="shared" si="71"/>
        <v>56.0625</v>
      </c>
      <c r="F96" s="848">
        <f t="shared" si="72"/>
        <v>2.9249999999999998</v>
      </c>
      <c r="G96" s="849">
        <f t="shared" si="73"/>
        <v>1.4624999999999999</v>
      </c>
      <c r="H96" s="847">
        <f t="shared" si="74"/>
        <v>672.75</v>
      </c>
      <c r="I96" s="847">
        <f t="shared" si="75"/>
        <v>56.0625</v>
      </c>
      <c r="J96" s="848">
        <f t="shared" si="76"/>
        <v>2.9249999999999998</v>
      </c>
      <c r="K96" s="849">
        <f t="shared" si="77"/>
        <v>1.4624999999999999</v>
      </c>
      <c r="L96" s="847">
        <f>H96</f>
        <v>672.75</v>
      </c>
      <c r="M96" s="847">
        <f t="shared" si="79"/>
        <v>56.0625</v>
      </c>
      <c r="N96" s="848">
        <f t="shared" si="80"/>
        <v>2.9249999999999998</v>
      </c>
      <c r="O96" s="849">
        <f t="shared" si="81"/>
        <v>1.4624999999999999</v>
      </c>
      <c r="P96" s="850"/>
      <c r="Q96" s="850"/>
      <c r="R96" s="850"/>
      <c r="S96" s="850"/>
      <c r="T96" s="850"/>
      <c r="U96" s="850"/>
      <c r="V96" s="850"/>
      <c r="W96" s="850"/>
      <c r="X96" s="850"/>
      <c r="Y96" s="850"/>
      <c r="Z96" s="850"/>
      <c r="AA96" s="850"/>
      <c r="AB96" s="851">
        <f t="shared" si="82"/>
        <v>0</v>
      </c>
      <c r="AC96" s="852">
        <v>0.1</v>
      </c>
      <c r="AD96" s="850">
        <v>0.2</v>
      </c>
      <c r="AE96" s="850">
        <v>0.3</v>
      </c>
      <c r="AF96" s="850">
        <v>0.4</v>
      </c>
      <c r="AG96" s="850">
        <v>0.5</v>
      </c>
      <c r="AH96" s="850">
        <v>0.6</v>
      </c>
      <c r="AI96" s="850">
        <v>0.7</v>
      </c>
      <c r="AJ96" s="850">
        <v>0.8</v>
      </c>
      <c r="AK96" s="850">
        <v>0.9</v>
      </c>
      <c r="AL96" s="850">
        <v>1</v>
      </c>
      <c r="AM96" s="850">
        <v>1</v>
      </c>
      <c r="AN96" s="850">
        <v>1</v>
      </c>
      <c r="AO96" s="851">
        <f t="shared" si="83"/>
        <v>0.625</v>
      </c>
      <c r="AP96" s="850">
        <v>1</v>
      </c>
      <c r="AQ96" s="850">
        <v>1</v>
      </c>
      <c r="AR96" s="850">
        <v>1</v>
      </c>
      <c r="AS96" s="850">
        <v>1</v>
      </c>
      <c r="AT96" s="850">
        <v>1</v>
      </c>
      <c r="AU96" s="850">
        <v>1</v>
      </c>
      <c r="AV96" s="850">
        <v>1</v>
      </c>
      <c r="AW96" s="850">
        <v>1</v>
      </c>
      <c r="AX96" s="850">
        <v>1</v>
      </c>
      <c r="AY96" s="850">
        <v>1</v>
      </c>
      <c r="AZ96" s="850">
        <v>1</v>
      </c>
      <c r="BA96" s="850">
        <v>1</v>
      </c>
      <c r="BB96" s="851">
        <f t="shared" si="84"/>
        <v>1</v>
      </c>
      <c r="BC96" s="853">
        <f t="shared" si="85"/>
        <v>0</v>
      </c>
      <c r="BD96" s="853">
        <f t="shared" si="68"/>
        <v>0</v>
      </c>
      <c r="BE96" s="853">
        <f t="shared" si="68"/>
        <v>0</v>
      </c>
      <c r="BF96" s="853">
        <f t="shared" si="68"/>
        <v>0</v>
      </c>
      <c r="BG96" s="853">
        <f t="shared" si="68"/>
        <v>0</v>
      </c>
      <c r="BH96" s="853">
        <f t="shared" si="68"/>
        <v>0</v>
      </c>
      <c r="BI96" s="853">
        <f t="shared" si="68"/>
        <v>0</v>
      </c>
      <c r="BJ96" s="853">
        <f t="shared" si="68"/>
        <v>0</v>
      </c>
      <c r="BK96" s="853">
        <f t="shared" si="68"/>
        <v>0</v>
      </c>
      <c r="BL96" s="853">
        <f t="shared" si="68"/>
        <v>0</v>
      </c>
      <c r="BM96" s="853">
        <f t="shared" si="68"/>
        <v>0</v>
      </c>
      <c r="BN96" s="853">
        <f t="shared" si="68"/>
        <v>0</v>
      </c>
      <c r="BO96" s="854">
        <f t="shared" si="86"/>
        <v>0</v>
      </c>
      <c r="BP96" s="853">
        <f t="shared" si="87"/>
        <v>5.6062500000000002</v>
      </c>
      <c r="BQ96" s="853">
        <f t="shared" si="69"/>
        <v>11.2125</v>
      </c>
      <c r="BR96" s="853">
        <f t="shared" si="69"/>
        <v>16.818749999999998</v>
      </c>
      <c r="BS96" s="853">
        <f t="shared" si="69"/>
        <v>22.425000000000001</v>
      </c>
      <c r="BT96" s="853">
        <f t="shared" si="69"/>
        <v>28.03125</v>
      </c>
      <c r="BU96" s="853">
        <f t="shared" si="69"/>
        <v>33.637499999999996</v>
      </c>
      <c r="BV96" s="853">
        <f t="shared" si="69"/>
        <v>39.243749999999999</v>
      </c>
      <c r="BW96" s="853">
        <f t="shared" si="69"/>
        <v>44.85</v>
      </c>
      <c r="BX96" s="853">
        <f t="shared" si="69"/>
        <v>50.456250000000004</v>
      </c>
      <c r="BY96" s="853">
        <f t="shared" si="69"/>
        <v>56.0625</v>
      </c>
      <c r="BZ96" s="853">
        <f t="shared" si="69"/>
        <v>56.0625</v>
      </c>
      <c r="CA96" s="853">
        <f t="shared" si="69"/>
        <v>56.0625</v>
      </c>
      <c r="CB96" s="854">
        <f t="shared" si="88"/>
        <v>420.46875</v>
      </c>
      <c r="CC96" s="853">
        <f t="shared" si="89"/>
        <v>56.0625</v>
      </c>
      <c r="CD96" s="853">
        <f t="shared" si="70"/>
        <v>56.0625</v>
      </c>
      <c r="CE96" s="853">
        <f t="shared" si="70"/>
        <v>56.0625</v>
      </c>
      <c r="CF96" s="853">
        <f t="shared" si="70"/>
        <v>56.0625</v>
      </c>
      <c r="CG96" s="853">
        <f t="shared" si="70"/>
        <v>56.0625</v>
      </c>
      <c r="CH96" s="853">
        <f t="shared" si="70"/>
        <v>56.0625</v>
      </c>
      <c r="CI96" s="853">
        <f t="shared" si="70"/>
        <v>56.0625</v>
      </c>
      <c r="CJ96" s="853">
        <f t="shared" si="70"/>
        <v>56.0625</v>
      </c>
      <c r="CK96" s="853">
        <f t="shared" si="70"/>
        <v>56.0625</v>
      </c>
      <c r="CL96" s="853">
        <f t="shared" si="70"/>
        <v>56.0625</v>
      </c>
      <c r="CM96" s="853">
        <f t="shared" si="70"/>
        <v>56.0625</v>
      </c>
      <c r="CN96" s="853">
        <f t="shared" si="70"/>
        <v>56.0625</v>
      </c>
      <c r="CO96" s="854">
        <f t="shared" si="90"/>
        <v>672.75</v>
      </c>
      <c r="CP96" s="855">
        <f t="shared" si="91"/>
        <v>1093.21875</v>
      </c>
    </row>
    <row r="97" spans="1:94">
      <c r="A97" s="856">
        <v>15</v>
      </c>
      <c r="B97" s="846" t="s">
        <v>1693</v>
      </c>
      <c r="C97" s="847">
        <v>4</v>
      </c>
      <c r="D97" s="847">
        <f>'Xpert needs'!AB36*55%</f>
        <v>1395.0200000000002</v>
      </c>
      <c r="E97" s="847">
        <f t="shared" si="71"/>
        <v>116.25166666666668</v>
      </c>
      <c r="F97" s="848">
        <f t="shared" si="72"/>
        <v>6.0653043478260882</v>
      </c>
      <c r="G97" s="849">
        <f t="shared" si="73"/>
        <v>1.516326086956522</v>
      </c>
      <c r="H97" s="847">
        <f t="shared" si="74"/>
        <v>1395.0200000000002</v>
      </c>
      <c r="I97" s="847">
        <f t="shared" si="75"/>
        <v>116.25166666666668</v>
      </c>
      <c r="J97" s="848">
        <f t="shared" si="76"/>
        <v>6.0653043478260882</v>
      </c>
      <c r="K97" s="849">
        <f t="shared" si="77"/>
        <v>1.516326086956522</v>
      </c>
      <c r="L97" s="858">
        <f>H97*97%</f>
        <v>1353.1694000000002</v>
      </c>
      <c r="M97" s="847">
        <f t="shared" si="79"/>
        <v>112.76411666666668</v>
      </c>
      <c r="N97" s="848">
        <f t="shared" si="80"/>
        <v>5.8833452173913052</v>
      </c>
      <c r="O97" s="849">
        <f t="shared" si="81"/>
        <v>1.4708363043478263</v>
      </c>
      <c r="P97" s="857">
        <v>1.4</v>
      </c>
      <c r="Q97" s="850">
        <v>1.4</v>
      </c>
      <c r="R97" s="850">
        <v>1.4</v>
      </c>
      <c r="S97" s="850">
        <v>1.4</v>
      </c>
      <c r="T97" s="850">
        <v>1.4</v>
      </c>
      <c r="U97" s="850">
        <v>1.4</v>
      </c>
      <c r="V97" s="850">
        <v>1.4</v>
      </c>
      <c r="W97" s="850">
        <v>1.4</v>
      </c>
      <c r="X97" s="850">
        <v>1.4</v>
      </c>
      <c r="Y97" s="850">
        <v>1.4</v>
      </c>
      <c r="Z97" s="850">
        <v>1.4</v>
      </c>
      <c r="AA97" s="850">
        <v>1.4</v>
      </c>
      <c r="AB97" s="851">
        <f t="shared" si="82"/>
        <v>1.4</v>
      </c>
      <c r="AC97" s="850">
        <v>1.4</v>
      </c>
      <c r="AD97" s="850">
        <v>1.3</v>
      </c>
      <c r="AE97" s="850">
        <v>1.2</v>
      </c>
      <c r="AF97" s="850">
        <v>1.1499999999999999</v>
      </c>
      <c r="AG97" s="850">
        <v>1.1000000000000001</v>
      </c>
      <c r="AH97" s="850">
        <v>1.05</v>
      </c>
      <c r="AI97" s="850">
        <v>1</v>
      </c>
      <c r="AJ97" s="850">
        <v>1</v>
      </c>
      <c r="AK97" s="850">
        <v>1</v>
      </c>
      <c r="AL97" s="850">
        <v>1</v>
      </c>
      <c r="AM97" s="850">
        <v>1</v>
      </c>
      <c r="AN97" s="850">
        <v>1</v>
      </c>
      <c r="AO97" s="851">
        <f t="shared" si="83"/>
        <v>1.1000000000000003</v>
      </c>
      <c r="AP97" s="850">
        <v>1</v>
      </c>
      <c r="AQ97" s="850">
        <v>1</v>
      </c>
      <c r="AR97" s="850">
        <v>1</v>
      </c>
      <c r="AS97" s="850">
        <v>1</v>
      </c>
      <c r="AT97" s="850">
        <v>1</v>
      </c>
      <c r="AU97" s="850">
        <v>1</v>
      </c>
      <c r="AV97" s="850">
        <v>1</v>
      </c>
      <c r="AW97" s="850">
        <v>1</v>
      </c>
      <c r="AX97" s="850">
        <v>1</v>
      </c>
      <c r="AY97" s="850">
        <v>1</v>
      </c>
      <c r="AZ97" s="850">
        <v>1</v>
      </c>
      <c r="BA97" s="850">
        <v>1</v>
      </c>
      <c r="BB97" s="851">
        <f t="shared" si="84"/>
        <v>1.0000000000000002</v>
      </c>
      <c r="BC97" s="853">
        <f t="shared" si="85"/>
        <v>162.75233333333335</v>
      </c>
      <c r="BD97" s="853">
        <f t="shared" si="68"/>
        <v>162.75233333333335</v>
      </c>
      <c r="BE97" s="853">
        <f t="shared" si="68"/>
        <v>162.75233333333335</v>
      </c>
      <c r="BF97" s="853">
        <f t="shared" si="68"/>
        <v>162.75233333333335</v>
      </c>
      <c r="BG97" s="853">
        <f t="shared" si="68"/>
        <v>162.75233333333335</v>
      </c>
      <c r="BH97" s="853">
        <f t="shared" si="68"/>
        <v>162.75233333333335</v>
      </c>
      <c r="BI97" s="853">
        <f t="shared" si="68"/>
        <v>162.75233333333335</v>
      </c>
      <c r="BJ97" s="853">
        <f t="shared" si="68"/>
        <v>162.75233333333335</v>
      </c>
      <c r="BK97" s="853">
        <f t="shared" si="68"/>
        <v>162.75233333333335</v>
      </c>
      <c r="BL97" s="853">
        <f t="shared" si="68"/>
        <v>162.75233333333335</v>
      </c>
      <c r="BM97" s="853">
        <f t="shared" si="68"/>
        <v>162.75233333333335</v>
      </c>
      <c r="BN97" s="853">
        <f t="shared" si="68"/>
        <v>162.75233333333335</v>
      </c>
      <c r="BO97" s="854">
        <f t="shared" si="86"/>
        <v>1953.0280000000002</v>
      </c>
      <c r="BP97" s="853">
        <f t="shared" si="87"/>
        <v>162.75233333333335</v>
      </c>
      <c r="BQ97" s="853">
        <f t="shared" si="69"/>
        <v>151.12716666666668</v>
      </c>
      <c r="BR97" s="853">
        <f t="shared" si="69"/>
        <v>139.50200000000001</v>
      </c>
      <c r="BS97" s="853">
        <f t="shared" si="69"/>
        <v>133.68941666666666</v>
      </c>
      <c r="BT97" s="853">
        <f t="shared" si="69"/>
        <v>127.87683333333335</v>
      </c>
      <c r="BU97" s="853">
        <f t="shared" si="69"/>
        <v>122.06425000000002</v>
      </c>
      <c r="BV97" s="853">
        <f t="shared" si="69"/>
        <v>116.25166666666668</v>
      </c>
      <c r="BW97" s="853">
        <f t="shared" si="69"/>
        <v>116.25166666666668</v>
      </c>
      <c r="BX97" s="853">
        <f t="shared" si="69"/>
        <v>116.25166666666668</v>
      </c>
      <c r="BY97" s="853">
        <f t="shared" si="69"/>
        <v>116.25166666666668</v>
      </c>
      <c r="BZ97" s="853">
        <f t="shared" si="69"/>
        <v>116.25166666666668</v>
      </c>
      <c r="CA97" s="853">
        <f t="shared" si="69"/>
        <v>116.25166666666668</v>
      </c>
      <c r="CB97" s="854">
        <f t="shared" si="88"/>
        <v>1534.5220000000006</v>
      </c>
      <c r="CC97" s="853">
        <f t="shared" si="89"/>
        <v>112.76411666666668</v>
      </c>
      <c r="CD97" s="853">
        <f t="shared" si="70"/>
        <v>112.76411666666668</v>
      </c>
      <c r="CE97" s="853">
        <f t="shared" si="70"/>
        <v>112.76411666666668</v>
      </c>
      <c r="CF97" s="853">
        <f t="shared" si="70"/>
        <v>112.76411666666668</v>
      </c>
      <c r="CG97" s="853">
        <f t="shared" si="70"/>
        <v>112.76411666666668</v>
      </c>
      <c r="CH97" s="853">
        <f t="shared" si="70"/>
        <v>112.76411666666668</v>
      </c>
      <c r="CI97" s="853">
        <f t="shared" si="70"/>
        <v>112.76411666666668</v>
      </c>
      <c r="CJ97" s="853">
        <f t="shared" si="70"/>
        <v>112.76411666666668</v>
      </c>
      <c r="CK97" s="853">
        <f t="shared" si="70"/>
        <v>112.76411666666668</v>
      </c>
      <c r="CL97" s="853">
        <f t="shared" si="70"/>
        <v>112.76411666666668</v>
      </c>
      <c r="CM97" s="853">
        <f t="shared" si="70"/>
        <v>112.76411666666668</v>
      </c>
      <c r="CN97" s="853">
        <f t="shared" si="70"/>
        <v>112.76411666666668</v>
      </c>
      <c r="CO97" s="854">
        <f t="shared" si="90"/>
        <v>1353.1694000000005</v>
      </c>
      <c r="CP97" s="855">
        <f t="shared" si="91"/>
        <v>4840.7194000000018</v>
      </c>
    </row>
    <row r="98" spans="1:94">
      <c r="A98" s="856">
        <v>16</v>
      </c>
      <c r="B98" s="846" t="s">
        <v>1694</v>
      </c>
      <c r="C98" s="847">
        <v>4</v>
      </c>
      <c r="D98" s="847">
        <f>'Xpert needs'!AB36*45%</f>
        <v>1141.3800000000001</v>
      </c>
      <c r="E98" s="847">
        <f t="shared" si="71"/>
        <v>95.115000000000009</v>
      </c>
      <c r="F98" s="848">
        <f t="shared" si="72"/>
        <v>4.9625217391304348</v>
      </c>
      <c r="G98" s="849">
        <f t="shared" si="73"/>
        <v>1.2406304347826087</v>
      </c>
      <c r="H98" s="847">
        <f t="shared" si="74"/>
        <v>1141.3800000000001</v>
      </c>
      <c r="I98" s="847">
        <f t="shared" si="75"/>
        <v>95.115000000000009</v>
      </c>
      <c r="J98" s="848">
        <f t="shared" si="76"/>
        <v>4.9625217391304348</v>
      </c>
      <c r="K98" s="849">
        <f t="shared" si="77"/>
        <v>1.2406304347826087</v>
      </c>
      <c r="L98" s="858">
        <f>H98*90%</f>
        <v>1027.2420000000002</v>
      </c>
      <c r="M98" s="847">
        <f t="shared" si="79"/>
        <v>85.603500000000011</v>
      </c>
      <c r="N98" s="848">
        <f t="shared" si="80"/>
        <v>4.4662695652173925</v>
      </c>
      <c r="O98" s="849">
        <f t="shared" si="81"/>
        <v>1.1165673913043481</v>
      </c>
      <c r="P98" s="857">
        <f t="shared" ref="P98:AA98" si="94">P97</f>
        <v>1.4</v>
      </c>
      <c r="Q98" s="850">
        <f t="shared" si="94"/>
        <v>1.4</v>
      </c>
      <c r="R98" s="850">
        <f t="shared" si="94"/>
        <v>1.4</v>
      </c>
      <c r="S98" s="850">
        <f t="shared" si="94"/>
        <v>1.4</v>
      </c>
      <c r="T98" s="850">
        <f t="shared" si="94"/>
        <v>1.4</v>
      </c>
      <c r="U98" s="850">
        <f t="shared" si="94"/>
        <v>1.4</v>
      </c>
      <c r="V98" s="850">
        <f t="shared" si="94"/>
        <v>1.4</v>
      </c>
      <c r="W98" s="850">
        <f t="shared" si="94"/>
        <v>1.4</v>
      </c>
      <c r="X98" s="850">
        <f t="shared" si="94"/>
        <v>1.4</v>
      </c>
      <c r="Y98" s="850">
        <f t="shared" si="94"/>
        <v>1.4</v>
      </c>
      <c r="Z98" s="850">
        <f t="shared" si="94"/>
        <v>1.4</v>
      </c>
      <c r="AA98" s="850">
        <f t="shared" si="94"/>
        <v>1.4</v>
      </c>
      <c r="AB98" s="851">
        <f t="shared" si="82"/>
        <v>1.4000000000000004</v>
      </c>
      <c r="AC98" s="850">
        <f>AC97</f>
        <v>1.4</v>
      </c>
      <c r="AD98" s="850">
        <f t="shared" ref="AD98:AN98" si="95">AD97</f>
        <v>1.3</v>
      </c>
      <c r="AE98" s="850">
        <f t="shared" si="95"/>
        <v>1.2</v>
      </c>
      <c r="AF98" s="850">
        <f t="shared" si="95"/>
        <v>1.1499999999999999</v>
      </c>
      <c r="AG98" s="850">
        <f t="shared" si="95"/>
        <v>1.1000000000000001</v>
      </c>
      <c r="AH98" s="850">
        <f t="shared" si="95"/>
        <v>1.05</v>
      </c>
      <c r="AI98" s="850">
        <f t="shared" si="95"/>
        <v>1</v>
      </c>
      <c r="AJ98" s="850">
        <f t="shared" si="95"/>
        <v>1</v>
      </c>
      <c r="AK98" s="850">
        <f t="shared" si="95"/>
        <v>1</v>
      </c>
      <c r="AL98" s="850">
        <f t="shared" si="95"/>
        <v>1</v>
      </c>
      <c r="AM98" s="850">
        <f t="shared" si="95"/>
        <v>1</v>
      </c>
      <c r="AN98" s="850">
        <f t="shared" si="95"/>
        <v>1</v>
      </c>
      <c r="AO98" s="851">
        <f t="shared" si="83"/>
        <v>1.1000000000000001</v>
      </c>
      <c r="AP98" s="850">
        <v>1</v>
      </c>
      <c r="AQ98" s="850">
        <v>1</v>
      </c>
      <c r="AR98" s="850">
        <v>1</v>
      </c>
      <c r="AS98" s="850">
        <v>1</v>
      </c>
      <c r="AT98" s="850">
        <v>1</v>
      </c>
      <c r="AU98" s="850">
        <v>1</v>
      </c>
      <c r="AV98" s="850">
        <v>1</v>
      </c>
      <c r="AW98" s="850">
        <v>1</v>
      </c>
      <c r="AX98" s="850">
        <v>1</v>
      </c>
      <c r="AY98" s="850">
        <v>1</v>
      </c>
      <c r="AZ98" s="850">
        <v>1</v>
      </c>
      <c r="BA98" s="850">
        <v>1</v>
      </c>
      <c r="BB98" s="851">
        <f t="shared" si="84"/>
        <v>1.0000000000000002</v>
      </c>
      <c r="BC98" s="853">
        <f t="shared" si="85"/>
        <v>133.161</v>
      </c>
      <c r="BD98" s="853">
        <f t="shared" si="68"/>
        <v>133.161</v>
      </c>
      <c r="BE98" s="853">
        <f t="shared" si="68"/>
        <v>133.161</v>
      </c>
      <c r="BF98" s="853">
        <f t="shared" si="68"/>
        <v>133.161</v>
      </c>
      <c r="BG98" s="853">
        <f t="shared" si="68"/>
        <v>133.161</v>
      </c>
      <c r="BH98" s="853">
        <f t="shared" si="68"/>
        <v>133.161</v>
      </c>
      <c r="BI98" s="853">
        <f t="shared" si="68"/>
        <v>133.161</v>
      </c>
      <c r="BJ98" s="853">
        <f t="shared" si="68"/>
        <v>133.161</v>
      </c>
      <c r="BK98" s="853">
        <f t="shared" si="68"/>
        <v>133.161</v>
      </c>
      <c r="BL98" s="853">
        <f t="shared" si="68"/>
        <v>133.161</v>
      </c>
      <c r="BM98" s="853">
        <f t="shared" si="68"/>
        <v>133.161</v>
      </c>
      <c r="BN98" s="853">
        <f t="shared" si="68"/>
        <v>133.161</v>
      </c>
      <c r="BO98" s="854">
        <f t="shared" si="86"/>
        <v>1597.9320000000005</v>
      </c>
      <c r="BP98" s="853">
        <f t="shared" si="87"/>
        <v>133.161</v>
      </c>
      <c r="BQ98" s="853">
        <f t="shared" si="69"/>
        <v>123.64950000000002</v>
      </c>
      <c r="BR98" s="853">
        <f t="shared" si="69"/>
        <v>114.13800000000001</v>
      </c>
      <c r="BS98" s="853">
        <f t="shared" si="69"/>
        <v>109.38225</v>
      </c>
      <c r="BT98" s="853">
        <f t="shared" si="69"/>
        <v>104.62650000000002</v>
      </c>
      <c r="BU98" s="853">
        <f t="shared" si="69"/>
        <v>99.870750000000015</v>
      </c>
      <c r="BV98" s="853">
        <f t="shared" si="69"/>
        <v>95.115000000000009</v>
      </c>
      <c r="BW98" s="853">
        <f t="shared" si="69"/>
        <v>95.115000000000009</v>
      </c>
      <c r="BX98" s="853">
        <f t="shared" si="69"/>
        <v>95.115000000000009</v>
      </c>
      <c r="BY98" s="853">
        <f t="shared" si="69"/>
        <v>95.115000000000009</v>
      </c>
      <c r="BZ98" s="853">
        <f t="shared" si="69"/>
        <v>95.115000000000009</v>
      </c>
      <c r="CA98" s="853">
        <f t="shared" si="69"/>
        <v>95.115000000000009</v>
      </c>
      <c r="CB98" s="854">
        <f t="shared" si="88"/>
        <v>1255.5180000000003</v>
      </c>
      <c r="CC98" s="853">
        <f t="shared" si="89"/>
        <v>85.603500000000011</v>
      </c>
      <c r="CD98" s="853">
        <f t="shared" si="70"/>
        <v>85.603500000000011</v>
      </c>
      <c r="CE98" s="853">
        <f t="shared" si="70"/>
        <v>85.603500000000011</v>
      </c>
      <c r="CF98" s="853">
        <f t="shared" si="70"/>
        <v>85.603500000000011</v>
      </c>
      <c r="CG98" s="853">
        <f t="shared" si="70"/>
        <v>85.603500000000011</v>
      </c>
      <c r="CH98" s="853">
        <f t="shared" si="70"/>
        <v>85.603500000000011</v>
      </c>
      <c r="CI98" s="853">
        <f t="shared" si="70"/>
        <v>85.603500000000011</v>
      </c>
      <c r="CJ98" s="853">
        <f t="shared" si="70"/>
        <v>85.603500000000011</v>
      </c>
      <c r="CK98" s="853">
        <f t="shared" si="70"/>
        <v>85.603500000000011</v>
      </c>
      <c r="CL98" s="853">
        <f t="shared" si="70"/>
        <v>85.603500000000011</v>
      </c>
      <c r="CM98" s="853">
        <f t="shared" si="70"/>
        <v>85.603500000000011</v>
      </c>
      <c r="CN98" s="853">
        <f t="shared" si="70"/>
        <v>85.603500000000011</v>
      </c>
      <c r="CO98" s="854">
        <f t="shared" si="90"/>
        <v>1027.2420000000004</v>
      </c>
      <c r="CP98" s="855">
        <f t="shared" si="91"/>
        <v>3880.6920000000009</v>
      </c>
    </row>
    <row r="99" spans="1:94">
      <c r="A99" s="845">
        <v>17</v>
      </c>
      <c r="B99" s="846" t="s">
        <v>914</v>
      </c>
      <c r="C99" s="847">
        <v>2</v>
      </c>
      <c r="D99" s="847">
        <f>'Xpert needs'!AB41</f>
        <v>514.79999999999995</v>
      </c>
      <c r="E99" s="847">
        <f t="shared" si="71"/>
        <v>42.9</v>
      </c>
      <c r="F99" s="848">
        <f t="shared" si="72"/>
        <v>2.2382608695652171</v>
      </c>
      <c r="G99" s="849">
        <f t="shared" si="73"/>
        <v>1.1191304347826085</v>
      </c>
      <c r="H99" s="847">
        <f t="shared" si="74"/>
        <v>514.79999999999995</v>
      </c>
      <c r="I99" s="847">
        <f t="shared" si="75"/>
        <v>42.9</v>
      </c>
      <c r="J99" s="848">
        <f t="shared" si="76"/>
        <v>2.2382608695652171</v>
      </c>
      <c r="K99" s="849">
        <f t="shared" si="77"/>
        <v>1.1191304347826085</v>
      </c>
      <c r="L99" s="847">
        <f t="shared" ref="L99:L104" si="96">H99</f>
        <v>514.79999999999995</v>
      </c>
      <c r="M99" s="847">
        <f t="shared" si="79"/>
        <v>42.9</v>
      </c>
      <c r="N99" s="848">
        <f t="shared" si="80"/>
        <v>2.2382608695652171</v>
      </c>
      <c r="O99" s="849">
        <f t="shared" si="81"/>
        <v>1.1191304347826085</v>
      </c>
      <c r="P99" s="850"/>
      <c r="Q99" s="850"/>
      <c r="R99" s="850"/>
      <c r="S99" s="850"/>
      <c r="T99" s="850"/>
      <c r="U99" s="850"/>
      <c r="V99" s="850"/>
      <c r="W99" s="850"/>
      <c r="X99" s="850"/>
      <c r="Y99" s="850"/>
      <c r="Z99" s="850"/>
      <c r="AA99" s="850"/>
      <c r="AB99" s="851">
        <f t="shared" si="82"/>
        <v>0</v>
      </c>
      <c r="AC99" s="850"/>
      <c r="AD99" s="850"/>
      <c r="AE99" s="850"/>
      <c r="AF99" s="852">
        <v>0.1</v>
      </c>
      <c r="AG99" s="850">
        <v>0.3</v>
      </c>
      <c r="AH99" s="850">
        <v>0.5</v>
      </c>
      <c r="AI99" s="850">
        <v>0.7</v>
      </c>
      <c r="AJ99" s="850">
        <v>0.8</v>
      </c>
      <c r="AK99" s="850">
        <v>0.9</v>
      </c>
      <c r="AL99" s="850">
        <v>1</v>
      </c>
      <c r="AM99" s="850">
        <v>1</v>
      </c>
      <c r="AN99" s="850">
        <v>1</v>
      </c>
      <c r="AO99" s="851">
        <f t="shared" si="83"/>
        <v>0.52500000000000002</v>
      </c>
      <c r="AP99" s="850">
        <v>1</v>
      </c>
      <c r="AQ99" s="850">
        <v>1</v>
      </c>
      <c r="AR99" s="850">
        <v>1</v>
      </c>
      <c r="AS99" s="850">
        <v>1</v>
      </c>
      <c r="AT99" s="850">
        <v>1</v>
      </c>
      <c r="AU99" s="850">
        <v>1</v>
      </c>
      <c r="AV99" s="850">
        <v>1</v>
      </c>
      <c r="AW99" s="850">
        <v>1</v>
      </c>
      <c r="AX99" s="850">
        <v>1</v>
      </c>
      <c r="AY99" s="850">
        <v>1</v>
      </c>
      <c r="AZ99" s="850">
        <v>1</v>
      </c>
      <c r="BA99" s="850">
        <v>1</v>
      </c>
      <c r="BB99" s="851">
        <f t="shared" si="84"/>
        <v>0.99999999999999978</v>
      </c>
      <c r="BC99" s="853">
        <f t="shared" si="85"/>
        <v>0</v>
      </c>
      <c r="BD99" s="853">
        <f t="shared" si="68"/>
        <v>0</v>
      </c>
      <c r="BE99" s="853">
        <f t="shared" si="68"/>
        <v>0</v>
      </c>
      <c r="BF99" s="853">
        <f t="shared" si="68"/>
        <v>0</v>
      </c>
      <c r="BG99" s="853">
        <f t="shared" si="68"/>
        <v>0</v>
      </c>
      <c r="BH99" s="853">
        <f t="shared" si="68"/>
        <v>0</v>
      </c>
      <c r="BI99" s="853">
        <f t="shared" si="68"/>
        <v>0</v>
      </c>
      <c r="BJ99" s="853">
        <f t="shared" si="68"/>
        <v>0</v>
      </c>
      <c r="BK99" s="853">
        <f t="shared" si="68"/>
        <v>0</v>
      </c>
      <c r="BL99" s="853">
        <f t="shared" si="68"/>
        <v>0</v>
      </c>
      <c r="BM99" s="853">
        <f t="shared" si="68"/>
        <v>0</v>
      </c>
      <c r="BN99" s="853">
        <f t="shared" si="68"/>
        <v>0</v>
      </c>
      <c r="BO99" s="854">
        <f t="shared" si="86"/>
        <v>0</v>
      </c>
      <c r="BP99" s="853">
        <f t="shared" si="87"/>
        <v>0</v>
      </c>
      <c r="BQ99" s="853">
        <f t="shared" si="69"/>
        <v>0</v>
      </c>
      <c r="BR99" s="853">
        <f t="shared" si="69"/>
        <v>0</v>
      </c>
      <c r="BS99" s="853">
        <f t="shared" si="69"/>
        <v>4.29</v>
      </c>
      <c r="BT99" s="853">
        <f t="shared" si="69"/>
        <v>12.87</v>
      </c>
      <c r="BU99" s="853">
        <f t="shared" si="69"/>
        <v>21.45</v>
      </c>
      <c r="BV99" s="853">
        <f t="shared" si="69"/>
        <v>30.029999999999998</v>
      </c>
      <c r="BW99" s="853">
        <f t="shared" si="69"/>
        <v>34.32</v>
      </c>
      <c r="BX99" s="853">
        <f t="shared" si="69"/>
        <v>38.61</v>
      </c>
      <c r="BY99" s="853">
        <f t="shared" si="69"/>
        <v>42.9</v>
      </c>
      <c r="BZ99" s="853">
        <f t="shared" si="69"/>
        <v>42.9</v>
      </c>
      <c r="CA99" s="853">
        <f t="shared" si="69"/>
        <v>42.9</v>
      </c>
      <c r="CB99" s="854">
        <f t="shared" si="88"/>
        <v>270.27</v>
      </c>
      <c r="CC99" s="853">
        <f t="shared" si="89"/>
        <v>42.9</v>
      </c>
      <c r="CD99" s="853">
        <f t="shared" si="70"/>
        <v>42.9</v>
      </c>
      <c r="CE99" s="853">
        <f t="shared" si="70"/>
        <v>42.9</v>
      </c>
      <c r="CF99" s="853">
        <f t="shared" si="70"/>
        <v>42.9</v>
      </c>
      <c r="CG99" s="853">
        <f t="shared" si="70"/>
        <v>42.9</v>
      </c>
      <c r="CH99" s="853">
        <f t="shared" si="70"/>
        <v>42.9</v>
      </c>
      <c r="CI99" s="853">
        <f t="shared" si="70"/>
        <v>42.9</v>
      </c>
      <c r="CJ99" s="853">
        <f t="shared" si="70"/>
        <v>42.9</v>
      </c>
      <c r="CK99" s="853">
        <f t="shared" si="70"/>
        <v>42.9</v>
      </c>
      <c r="CL99" s="853">
        <f t="shared" si="70"/>
        <v>42.9</v>
      </c>
      <c r="CM99" s="853">
        <f t="shared" si="70"/>
        <v>42.9</v>
      </c>
      <c r="CN99" s="853">
        <f t="shared" si="70"/>
        <v>42.9</v>
      </c>
      <c r="CO99" s="854">
        <f t="shared" si="90"/>
        <v>514.79999999999984</v>
      </c>
      <c r="CP99" s="855">
        <f t="shared" si="91"/>
        <v>785.06999999999982</v>
      </c>
    </row>
    <row r="100" spans="1:94">
      <c r="A100" s="845">
        <v>18</v>
      </c>
      <c r="B100" s="846" t="s">
        <v>915</v>
      </c>
      <c r="C100" s="847">
        <v>2</v>
      </c>
      <c r="D100" s="847">
        <f>'Xpert needs'!AB42</f>
        <v>350.4</v>
      </c>
      <c r="E100" s="847">
        <f t="shared" si="71"/>
        <v>29.2</v>
      </c>
      <c r="F100" s="848">
        <f t="shared" si="72"/>
        <v>1.5234782608695652</v>
      </c>
      <c r="G100" s="849">
        <f t="shared" si="73"/>
        <v>0.76173913043478259</v>
      </c>
      <c r="H100" s="847">
        <f t="shared" si="74"/>
        <v>350.4</v>
      </c>
      <c r="I100" s="847">
        <f t="shared" si="75"/>
        <v>29.2</v>
      </c>
      <c r="J100" s="848">
        <f t="shared" si="76"/>
        <v>1.5234782608695652</v>
      </c>
      <c r="K100" s="849">
        <f t="shared" si="77"/>
        <v>0.76173913043478259</v>
      </c>
      <c r="L100" s="847">
        <f t="shared" si="96"/>
        <v>350.4</v>
      </c>
      <c r="M100" s="847">
        <f t="shared" si="79"/>
        <v>29.2</v>
      </c>
      <c r="N100" s="848">
        <f t="shared" si="80"/>
        <v>1.5234782608695652</v>
      </c>
      <c r="O100" s="849">
        <f t="shared" si="81"/>
        <v>0.76173913043478259</v>
      </c>
      <c r="P100" s="850"/>
      <c r="Q100" s="850"/>
      <c r="R100" s="850"/>
      <c r="S100" s="850"/>
      <c r="T100" s="850"/>
      <c r="U100" s="850"/>
      <c r="V100" s="850"/>
      <c r="W100" s="850"/>
      <c r="X100" s="850"/>
      <c r="Y100" s="850"/>
      <c r="Z100" s="850"/>
      <c r="AA100" s="850"/>
      <c r="AB100" s="851">
        <f t="shared" si="82"/>
        <v>0</v>
      </c>
      <c r="AC100" s="850"/>
      <c r="AD100" s="850"/>
      <c r="AE100" s="850"/>
      <c r="AF100" s="852">
        <v>0.1</v>
      </c>
      <c r="AG100" s="850">
        <v>0.3</v>
      </c>
      <c r="AH100" s="850">
        <v>0.5</v>
      </c>
      <c r="AI100" s="850">
        <v>0.7</v>
      </c>
      <c r="AJ100" s="850">
        <v>0.8</v>
      </c>
      <c r="AK100" s="850">
        <v>0.9</v>
      </c>
      <c r="AL100" s="850">
        <v>1</v>
      </c>
      <c r="AM100" s="850">
        <v>1</v>
      </c>
      <c r="AN100" s="850">
        <v>1</v>
      </c>
      <c r="AO100" s="851">
        <f t="shared" si="83"/>
        <v>0.52500000000000002</v>
      </c>
      <c r="AP100" s="850">
        <v>1</v>
      </c>
      <c r="AQ100" s="850">
        <v>1</v>
      </c>
      <c r="AR100" s="850">
        <v>1</v>
      </c>
      <c r="AS100" s="850">
        <v>1</v>
      </c>
      <c r="AT100" s="850">
        <v>1</v>
      </c>
      <c r="AU100" s="850">
        <v>1</v>
      </c>
      <c r="AV100" s="850">
        <v>1</v>
      </c>
      <c r="AW100" s="850">
        <v>1</v>
      </c>
      <c r="AX100" s="850">
        <v>1</v>
      </c>
      <c r="AY100" s="850">
        <v>1</v>
      </c>
      <c r="AZ100" s="850">
        <v>1</v>
      </c>
      <c r="BA100" s="850">
        <v>1</v>
      </c>
      <c r="BB100" s="851">
        <f t="shared" si="84"/>
        <v>0.99999999999999989</v>
      </c>
      <c r="BC100" s="853">
        <f t="shared" si="85"/>
        <v>0</v>
      </c>
      <c r="BD100" s="853">
        <f t="shared" si="68"/>
        <v>0</v>
      </c>
      <c r="BE100" s="853">
        <f t="shared" si="68"/>
        <v>0</v>
      </c>
      <c r="BF100" s="853">
        <f t="shared" si="68"/>
        <v>0</v>
      </c>
      <c r="BG100" s="853">
        <f t="shared" si="68"/>
        <v>0</v>
      </c>
      <c r="BH100" s="853">
        <f t="shared" si="68"/>
        <v>0</v>
      </c>
      <c r="BI100" s="853">
        <f t="shared" si="68"/>
        <v>0</v>
      </c>
      <c r="BJ100" s="853">
        <f t="shared" si="68"/>
        <v>0</v>
      </c>
      <c r="BK100" s="853">
        <f t="shared" si="68"/>
        <v>0</v>
      </c>
      <c r="BL100" s="853">
        <f t="shared" si="68"/>
        <v>0</v>
      </c>
      <c r="BM100" s="853">
        <f t="shared" si="68"/>
        <v>0</v>
      </c>
      <c r="BN100" s="853">
        <f t="shared" si="68"/>
        <v>0</v>
      </c>
      <c r="BO100" s="854">
        <f t="shared" si="86"/>
        <v>0</v>
      </c>
      <c r="BP100" s="853">
        <f t="shared" si="87"/>
        <v>0</v>
      </c>
      <c r="BQ100" s="853">
        <f t="shared" si="69"/>
        <v>0</v>
      </c>
      <c r="BR100" s="853">
        <f t="shared" si="69"/>
        <v>0</v>
      </c>
      <c r="BS100" s="853">
        <f t="shared" si="69"/>
        <v>2.92</v>
      </c>
      <c r="BT100" s="853">
        <f t="shared" si="69"/>
        <v>8.76</v>
      </c>
      <c r="BU100" s="853">
        <f t="shared" si="69"/>
        <v>14.6</v>
      </c>
      <c r="BV100" s="853">
        <f t="shared" si="69"/>
        <v>20.439999999999998</v>
      </c>
      <c r="BW100" s="853">
        <f t="shared" si="69"/>
        <v>23.36</v>
      </c>
      <c r="BX100" s="853">
        <f t="shared" si="69"/>
        <v>26.28</v>
      </c>
      <c r="BY100" s="853">
        <f t="shared" si="69"/>
        <v>29.2</v>
      </c>
      <c r="BZ100" s="853">
        <f t="shared" si="69"/>
        <v>29.2</v>
      </c>
      <c r="CA100" s="853">
        <f t="shared" si="69"/>
        <v>29.2</v>
      </c>
      <c r="CB100" s="854">
        <f t="shared" si="88"/>
        <v>183.95999999999998</v>
      </c>
      <c r="CC100" s="853">
        <f t="shared" si="89"/>
        <v>29.2</v>
      </c>
      <c r="CD100" s="853">
        <f t="shared" si="70"/>
        <v>29.2</v>
      </c>
      <c r="CE100" s="853">
        <f t="shared" si="70"/>
        <v>29.2</v>
      </c>
      <c r="CF100" s="853">
        <f t="shared" si="70"/>
        <v>29.2</v>
      </c>
      <c r="CG100" s="853">
        <f t="shared" si="70"/>
        <v>29.2</v>
      </c>
      <c r="CH100" s="853">
        <f t="shared" si="70"/>
        <v>29.2</v>
      </c>
      <c r="CI100" s="853">
        <f t="shared" si="70"/>
        <v>29.2</v>
      </c>
      <c r="CJ100" s="853">
        <f t="shared" si="70"/>
        <v>29.2</v>
      </c>
      <c r="CK100" s="853">
        <f t="shared" si="70"/>
        <v>29.2</v>
      </c>
      <c r="CL100" s="853">
        <f t="shared" si="70"/>
        <v>29.2</v>
      </c>
      <c r="CM100" s="853">
        <f t="shared" si="70"/>
        <v>29.2</v>
      </c>
      <c r="CN100" s="853">
        <f t="shared" si="70"/>
        <v>29.2</v>
      </c>
      <c r="CO100" s="854">
        <f t="shared" si="90"/>
        <v>350.39999999999992</v>
      </c>
      <c r="CP100" s="855">
        <f t="shared" si="91"/>
        <v>534.3599999999999</v>
      </c>
    </row>
    <row r="101" spans="1:94">
      <c r="A101" s="845">
        <v>19</v>
      </c>
      <c r="B101" s="846" t="s">
        <v>917</v>
      </c>
      <c r="C101" s="847">
        <v>2</v>
      </c>
      <c r="D101" s="847">
        <f>'Xpert needs'!AB44</f>
        <v>365.40000000000003</v>
      </c>
      <c r="E101" s="847">
        <f t="shared" si="71"/>
        <v>30.450000000000003</v>
      </c>
      <c r="F101" s="848">
        <f t="shared" si="72"/>
        <v>1.5886956521739133</v>
      </c>
      <c r="G101" s="849">
        <f t="shared" si="73"/>
        <v>0.79434782608695664</v>
      </c>
      <c r="H101" s="847">
        <f t="shared" si="74"/>
        <v>365.40000000000003</v>
      </c>
      <c r="I101" s="847">
        <f t="shared" si="75"/>
        <v>30.450000000000003</v>
      </c>
      <c r="J101" s="848">
        <f t="shared" si="76"/>
        <v>1.5886956521739133</v>
      </c>
      <c r="K101" s="849">
        <f t="shared" si="77"/>
        <v>0.79434782608695664</v>
      </c>
      <c r="L101" s="847">
        <f t="shared" si="96"/>
        <v>365.40000000000003</v>
      </c>
      <c r="M101" s="847">
        <f t="shared" si="79"/>
        <v>30.450000000000003</v>
      </c>
      <c r="N101" s="848">
        <f t="shared" si="80"/>
        <v>1.5886956521739133</v>
      </c>
      <c r="O101" s="849">
        <f t="shared" si="81"/>
        <v>0.79434782608695664</v>
      </c>
      <c r="P101" s="850"/>
      <c r="Q101" s="850"/>
      <c r="R101" s="850"/>
      <c r="S101" s="850"/>
      <c r="T101" s="850"/>
      <c r="U101" s="850"/>
      <c r="V101" s="850"/>
      <c r="W101" s="850"/>
      <c r="X101" s="850"/>
      <c r="Y101" s="850"/>
      <c r="Z101" s="850"/>
      <c r="AA101" s="850"/>
      <c r="AB101" s="851">
        <f t="shared" si="82"/>
        <v>0</v>
      </c>
      <c r="AC101" s="850"/>
      <c r="AD101" s="850"/>
      <c r="AE101" s="850"/>
      <c r="AF101" s="852">
        <v>0.1</v>
      </c>
      <c r="AG101" s="850">
        <v>0.3</v>
      </c>
      <c r="AH101" s="850">
        <v>0.5</v>
      </c>
      <c r="AI101" s="850">
        <v>0.7</v>
      </c>
      <c r="AJ101" s="850">
        <v>0.8</v>
      </c>
      <c r="AK101" s="850">
        <v>0.9</v>
      </c>
      <c r="AL101" s="850">
        <v>1</v>
      </c>
      <c r="AM101" s="850">
        <v>1</v>
      </c>
      <c r="AN101" s="850">
        <v>1</v>
      </c>
      <c r="AO101" s="851">
        <f t="shared" si="83"/>
        <v>0.52499999999999991</v>
      </c>
      <c r="AP101" s="850">
        <v>1</v>
      </c>
      <c r="AQ101" s="850">
        <v>1</v>
      </c>
      <c r="AR101" s="850">
        <v>1</v>
      </c>
      <c r="AS101" s="850">
        <v>1</v>
      </c>
      <c r="AT101" s="850">
        <v>1</v>
      </c>
      <c r="AU101" s="850">
        <v>1</v>
      </c>
      <c r="AV101" s="850">
        <v>1</v>
      </c>
      <c r="AW101" s="850">
        <v>1</v>
      </c>
      <c r="AX101" s="850">
        <v>1</v>
      </c>
      <c r="AY101" s="850">
        <v>1</v>
      </c>
      <c r="AZ101" s="850">
        <v>1</v>
      </c>
      <c r="BA101" s="850">
        <v>1</v>
      </c>
      <c r="BB101" s="851">
        <f t="shared" si="84"/>
        <v>0.99999999999999967</v>
      </c>
      <c r="BC101" s="853">
        <f t="shared" si="85"/>
        <v>0</v>
      </c>
      <c r="BD101" s="853">
        <f t="shared" si="68"/>
        <v>0</v>
      </c>
      <c r="BE101" s="853">
        <f t="shared" si="68"/>
        <v>0</v>
      </c>
      <c r="BF101" s="853">
        <f t="shared" si="68"/>
        <v>0</v>
      </c>
      <c r="BG101" s="853">
        <f t="shared" si="68"/>
        <v>0</v>
      </c>
      <c r="BH101" s="853">
        <f t="shared" si="68"/>
        <v>0</v>
      </c>
      <c r="BI101" s="853">
        <f t="shared" si="68"/>
        <v>0</v>
      </c>
      <c r="BJ101" s="853">
        <f t="shared" si="68"/>
        <v>0</v>
      </c>
      <c r="BK101" s="853">
        <f t="shared" si="68"/>
        <v>0</v>
      </c>
      <c r="BL101" s="853">
        <f t="shared" si="68"/>
        <v>0</v>
      </c>
      <c r="BM101" s="853">
        <f t="shared" si="68"/>
        <v>0</v>
      </c>
      <c r="BN101" s="853">
        <f t="shared" si="68"/>
        <v>0</v>
      </c>
      <c r="BO101" s="854">
        <f t="shared" si="86"/>
        <v>0</v>
      </c>
      <c r="BP101" s="853">
        <f t="shared" si="87"/>
        <v>0</v>
      </c>
      <c r="BQ101" s="853">
        <f t="shared" si="69"/>
        <v>0</v>
      </c>
      <c r="BR101" s="853">
        <f t="shared" si="69"/>
        <v>0</v>
      </c>
      <c r="BS101" s="853">
        <f t="shared" si="69"/>
        <v>3.0450000000000004</v>
      </c>
      <c r="BT101" s="853">
        <f t="shared" si="69"/>
        <v>9.1349999999999998</v>
      </c>
      <c r="BU101" s="853">
        <f t="shared" si="69"/>
        <v>15.225000000000001</v>
      </c>
      <c r="BV101" s="853">
        <f t="shared" si="69"/>
        <v>21.315000000000001</v>
      </c>
      <c r="BW101" s="853">
        <f t="shared" si="69"/>
        <v>24.360000000000003</v>
      </c>
      <c r="BX101" s="853">
        <f t="shared" si="69"/>
        <v>27.405000000000005</v>
      </c>
      <c r="BY101" s="853">
        <f t="shared" si="69"/>
        <v>30.450000000000003</v>
      </c>
      <c r="BZ101" s="853">
        <f t="shared" si="69"/>
        <v>30.450000000000003</v>
      </c>
      <c r="CA101" s="853">
        <f t="shared" si="69"/>
        <v>30.450000000000003</v>
      </c>
      <c r="CB101" s="854">
        <f t="shared" si="88"/>
        <v>191.83499999999998</v>
      </c>
      <c r="CC101" s="853">
        <f t="shared" si="89"/>
        <v>30.450000000000003</v>
      </c>
      <c r="CD101" s="853">
        <f t="shared" si="70"/>
        <v>30.450000000000003</v>
      </c>
      <c r="CE101" s="853">
        <f t="shared" si="70"/>
        <v>30.450000000000003</v>
      </c>
      <c r="CF101" s="853">
        <f t="shared" si="70"/>
        <v>30.450000000000003</v>
      </c>
      <c r="CG101" s="853">
        <f t="shared" si="70"/>
        <v>30.450000000000003</v>
      </c>
      <c r="CH101" s="853">
        <f t="shared" si="70"/>
        <v>30.450000000000003</v>
      </c>
      <c r="CI101" s="853">
        <f t="shared" si="70"/>
        <v>30.450000000000003</v>
      </c>
      <c r="CJ101" s="853">
        <f t="shared" si="70"/>
        <v>30.450000000000003</v>
      </c>
      <c r="CK101" s="853">
        <f t="shared" si="70"/>
        <v>30.450000000000003</v>
      </c>
      <c r="CL101" s="853">
        <f t="shared" si="70"/>
        <v>30.450000000000003</v>
      </c>
      <c r="CM101" s="853">
        <f t="shared" si="70"/>
        <v>30.450000000000003</v>
      </c>
      <c r="CN101" s="853">
        <f t="shared" si="70"/>
        <v>30.450000000000003</v>
      </c>
      <c r="CO101" s="854">
        <f t="shared" si="90"/>
        <v>365.39999999999992</v>
      </c>
      <c r="CP101" s="855">
        <f t="shared" si="91"/>
        <v>557.2349999999999</v>
      </c>
    </row>
    <row r="102" spans="1:94">
      <c r="A102" s="845">
        <v>20</v>
      </c>
      <c r="B102" s="846" t="s">
        <v>919</v>
      </c>
      <c r="C102" s="847">
        <v>2</v>
      </c>
      <c r="D102" s="847">
        <f>'Xpert needs'!AB46</f>
        <v>414</v>
      </c>
      <c r="E102" s="847">
        <f t="shared" si="71"/>
        <v>34.5</v>
      </c>
      <c r="F102" s="848">
        <f t="shared" si="72"/>
        <v>1.8</v>
      </c>
      <c r="G102" s="849">
        <f t="shared" si="73"/>
        <v>0.9</v>
      </c>
      <c r="H102" s="847">
        <f t="shared" si="74"/>
        <v>414</v>
      </c>
      <c r="I102" s="847">
        <f t="shared" si="75"/>
        <v>34.5</v>
      </c>
      <c r="J102" s="848">
        <f t="shared" si="76"/>
        <v>1.8</v>
      </c>
      <c r="K102" s="849">
        <f t="shared" si="77"/>
        <v>0.9</v>
      </c>
      <c r="L102" s="847">
        <f t="shared" si="96"/>
        <v>414</v>
      </c>
      <c r="M102" s="847">
        <f t="shared" si="79"/>
        <v>34.5</v>
      </c>
      <c r="N102" s="848">
        <f t="shared" si="80"/>
        <v>1.8</v>
      </c>
      <c r="O102" s="849">
        <f t="shared" si="81"/>
        <v>0.9</v>
      </c>
      <c r="P102" s="850"/>
      <c r="Q102" s="850"/>
      <c r="R102" s="850"/>
      <c r="S102" s="850"/>
      <c r="T102" s="850"/>
      <c r="U102" s="850"/>
      <c r="V102" s="850"/>
      <c r="W102" s="850"/>
      <c r="X102" s="850"/>
      <c r="Y102" s="850"/>
      <c r="Z102" s="850"/>
      <c r="AA102" s="850"/>
      <c r="AB102" s="851">
        <f t="shared" si="82"/>
        <v>0</v>
      </c>
      <c r="AC102" s="850"/>
      <c r="AD102" s="850"/>
      <c r="AE102" s="850"/>
      <c r="AF102" s="852">
        <v>0.1</v>
      </c>
      <c r="AG102" s="850">
        <v>0.3</v>
      </c>
      <c r="AH102" s="850">
        <v>0.5</v>
      </c>
      <c r="AI102" s="850">
        <v>0.7</v>
      </c>
      <c r="AJ102" s="850">
        <v>0.8</v>
      </c>
      <c r="AK102" s="850">
        <v>0.9</v>
      </c>
      <c r="AL102" s="850">
        <v>1</v>
      </c>
      <c r="AM102" s="850">
        <v>1</v>
      </c>
      <c r="AN102" s="850">
        <v>1</v>
      </c>
      <c r="AO102" s="851">
        <f t="shared" si="83"/>
        <v>0.52500000000000002</v>
      </c>
      <c r="AP102" s="850">
        <v>1</v>
      </c>
      <c r="AQ102" s="850">
        <v>1</v>
      </c>
      <c r="AR102" s="850">
        <v>1</v>
      </c>
      <c r="AS102" s="850">
        <v>1</v>
      </c>
      <c r="AT102" s="850">
        <v>1</v>
      </c>
      <c r="AU102" s="850">
        <v>1</v>
      </c>
      <c r="AV102" s="850">
        <v>1</v>
      </c>
      <c r="AW102" s="850">
        <v>1</v>
      </c>
      <c r="AX102" s="850">
        <v>1</v>
      </c>
      <c r="AY102" s="850">
        <v>1</v>
      </c>
      <c r="AZ102" s="850">
        <v>1</v>
      </c>
      <c r="BA102" s="850">
        <v>1</v>
      </c>
      <c r="BB102" s="851">
        <f t="shared" si="84"/>
        <v>1</v>
      </c>
      <c r="BC102" s="853">
        <f t="shared" si="85"/>
        <v>0</v>
      </c>
      <c r="BD102" s="853">
        <f t="shared" si="68"/>
        <v>0</v>
      </c>
      <c r="BE102" s="853">
        <f t="shared" si="68"/>
        <v>0</v>
      </c>
      <c r="BF102" s="853">
        <f t="shared" si="68"/>
        <v>0</v>
      </c>
      <c r="BG102" s="853">
        <f t="shared" si="68"/>
        <v>0</v>
      </c>
      <c r="BH102" s="853">
        <f t="shared" si="68"/>
        <v>0</v>
      </c>
      <c r="BI102" s="853">
        <f t="shared" si="68"/>
        <v>0</v>
      </c>
      <c r="BJ102" s="853">
        <f t="shared" si="68"/>
        <v>0</v>
      </c>
      <c r="BK102" s="853">
        <f t="shared" si="68"/>
        <v>0</v>
      </c>
      <c r="BL102" s="853">
        <f t="shared" si="68"/>
        <v>0</v>
      </c>
      <c r="BM102" s="853">
        <f t="shared" si="68"/>
        <v>0</v>
      </c>
      <c r="BN102" s="853">
        <f t="shared" si="68"/>
        <v>0</v>
      </c>
      <c r="BO102" s="854">
        <f t="shared" si="86"/>
        <v>0</v>
      </c>
      <c r="BP102" s="853">
        <f t="shared" si="87"/>
        <v>0</v>
      </c>
      <c r="BQ102" s="853">
        <f t="shared" si="69"/>
        <v>0</v>
      </c>
      <c r="BR102" s="853">
        <f t="shared" si="69"/>
        <v>0</v>
      </c>
      <c r="BS102" s="853">
        <f t="shared" si="69"/>
        <v>3.45</v>
      </c>
      <c r="BT102" s="853">
        <f t="shared" si="69"/>
        <v>10.35</v>
      </c>
      <c r="BU102" s="853">
        <f t="shared" si="69"/>
        <v>17.25</v>
      </c>
      <c r="BV102" s="853">
        <f t="shared" si="69"/>
        <v>24.15</v>
      </c>
      <c r="BW102" s="853">
        <f t="shared" si="69"/>
        <v>27.6</v>
      </c>
      <c r="BX102" s="853">
        <f t="shared" si="69"/>
        <v>31.05</v>
      </c>
      <c r="BY102" s="853">
        <f t="shared" si="69"/>
        <v>34.5</v>
      </c>
      <c r="BZ102" s="853">
        <f t="shared" si="69"/>
        <v>34.5</v>
      </c>
      <c r="CA102" s="853">
        <f t="shared" si="69"/>
        <v>34.5</v>
      </c>
      <c r="CB102" s="854">
        <f t="shared" si="88"/>
        <v>217.35000000000002</v>
      </c>
      <c r="CC102" s="853">
        <f t="shared" si="89"/>
        <v>34.5</v>
      </c>
      <c r="CD102" s="853">
        <f t="shared" si="70"/>
        <v>34.5</v>
      </c>
      <c r="CE102" s="853">
        <f t="shared" si="70"/>
        <v>34.5</v>
      </c>
      <c r="CF102" s="853">
        <f t="shared" si="70"/>
        <v>34.5</v>
      </c>
      <c r="CG102" s="853">
        <f t="shared" si="70"/>
        <v>34.5</v>
      </c>
      <c r="CH102" s="853">
        <f t="shared" si="70"/>
        <v>34.5</v>
      </c>
      <c r="CI102" s="853">
        <f t="shared" si="70"/>
        <v>34.5</v>
      </c>
      <c r="CJ102" s="853">
        <f t="shared" si="70"/>
        <v>34.5</v>
      </c>
      <c r="CK102" s="853">
        <f t="shared" si="70"/>
        <v>34.5</v>
      </c>
      <c r="CL102" s="853">
        <f t="shared" si="70"/>
        <v>34.5</v>
      </c>
      <c r="CM102" s="853">
        <f t="shared" si="70"/>
        <v>34.5</v>
      </c>
      <c r="CN102" s="853">
        <f t="shared" si="70"/>
        <v>34.5</v>
      </c>
      <c r="CO102" s="854">
        <f t="shared" si="90"/>
        <v>414</v>
      </c>
      <c r="CP102" s="855">
        <f t="shared" si="91"/>
        <v>631.35</v>
      </c>
    </row>
    <row r="103" spans="1:94">
      <c r="A103" s="845">
        <v>21</v>
      </c>
      <c r="B103" s="846" t="s">
        <v>920</v>
      </c>
      <c r="C103" s="847">
        <v>2</v>
      </c>
      <c r="D103" s="847">
        <f>'Xpert needs'!AB47</f>
        <v>423</v>
      </c>
      <c r="E103" s="847">
        <f t="shared" si="71"/>
        <v>35.25</v>
      </c>
      <c r="F103" s="848">
        <f t="shared" si="72"/>
        <v>1.8391304347826087</v>
      </c>
      <c r="G103" s="849">
        <f t="shared" si="73"/>
        <v>0.91956521739130437</v>
      </c>
      <c r="H103" s="847">
        <f t="shared" si="74"/>
        <v>423</v>
      </c>
      <c r="I103" s="847">
        <f t="shared" si="75"/>
        <v>35.25</v>
      </c>
      <c r="J103" s="848">
        <f t="shared" si="76"/>
        <v>1.8391304347826087</v>
      </c>
      <c r="K103" s="849">
        <f t="shared" si="77"/>
        <v>0.91956521739130437</v>
      </c>
      <c r="L103" s="847">
        <f t="shared" si="96"/>
        <v>423</v>
      </c>
      <c r="M103" s="847">
        <f t="shared" si="79"/>
        <v>35.25</v>
      </c>
      <c r="N103" s="848">
        <f t="shared" si="80"/>
        <v>1.8391304347826087</v>
      </c>
      <c r="O103" s="849">
        <f t="shared" si="81"/>
        <v>0.91956521739130437</v>
      </c>
      <c r="P103" s="850"/>
      <c r="Q103" s="850"/>
      <c r="R103" s="850"/>
      <c r="S103" s="850"/>
      <c r="T103" s="850"/>
      <c r="U103" s="850"/>
      <c r="V103" s="850"/>
      <c r="W103" s="850"/>
      <c r="X103" s="850"/>
      <c r="Y103" s="850"/>
      <c r="Z103" s="850"/>
      <c r="AA103" s="850"/>
      <c r="AB103" s="851">
        <f t="shared" si="82"/>
        <v>0</v>
      </c>
      <c r="AC103" s="850"/>
      <c r="AD103" s="850"/>
      <c r="AE103" s="850"/>
      <c r="AF103" s="852">
        <v>0.1</v>
      </c>
      <c r="AG103" s="850">
        <v>0.3</v>
      </c>
      <c r="AH103" s="850">
        <v>0.5</v>
      </c>
      <c r="AI103" s="850">
        <v>0.7</v>
      </c>
      <c r="AJ103" s="850">
        <v>0.8</v>
      </c>
      <c r="AK103" s="850">
        <v>0.9</v>
      </c>
      <c r="AL103" s="850">
        <v>1</v>
      </c>
      <c r="AM103" s="850">
        <v>1</v>
      </c>
      <c r="AN103" s="850">
        <v>1</v>
      </c>
      <c r="AO103" s="851">
        <f t="shared" si="83"/>
        <v>0.52500000000000002</v>
      </c>
      <c r="AP103" s="850">
        <v>1</v>
      </c>
      <c r="AQ103" s="850">
        <v>1</v>
      </c>
      <c r="AR103" s="850">
        <v>1</v>
      </c>
      <c r="AS103" s="850">
        <v>1</v>
      </c>
      <c r="AT103" s="850">
        <v>1</v>
      </c>
      <c r="AU103" s="850">
        <v>1</v>
      </c>
      <c r="AV103" s="850">
        <v>1</v>
      </c>
      <c r="AW103" s="850">
        <v>1</v>
      </c>
      <c r="AX103" s="850">
        <v>1</v>
      </c>
      <c r="AY103" s="850">
        <v>1</v>
      </c>
      <c r="AZ103" s="850">
        <v>1</v>
      </c>
      <c r="BA103" s="850">
        <v>1</v>
      </c>
      <c r="BB103" s="851">
        <f t="shared" si="84"/>
        <v>1</v>
      </c>
      <c r="BC103" s="853">
        <f t="shared" si="85"/>
        <v>0</v>
      </c>
      <c r="BD103" s="853">
        <f t="shared" si="68"/>
        <v>0</v>
      </c>
      <c r="BE103" s="853">
        <f t="shared" si="68"/>
        <v>0</v>
      </c>
      <c r="BF103" s="853">
        <f t="shared" si="68"/>
        <v>0</v>
      </c>
      <c r="BG103" s="853">
        <f t="shared" si="68"/>
        <v>0</v>
      </c>
      <c r="BH103" s="853">
        <f t="shared" si="68"/>
        <v>0</v>
      </c>
      <c r="BI103" s="853">
        <f t="shared" si="68"/>
        <v>0</v>
      </c>
      <c r="BJ103" s="853">
        <f t="shared" si="68"/>
        <v>0</v>
      </c>
      <c r="BK103" s="853">
        <f t="shared" si="68"/>
        <v>0</v>
      </c>
      <c r="BL103" s="853">
        <f t="shared" si="68"/>
        <v>0</v>
      </c>
      <c r="BM103" s="853">
        <f t="shared" si="68"/>
        <v>0</v>
      </c>
      <c r="BN103" s="853">
        <f t="shared" si="68"/>
        <v>0</v>
      </c>
      <c r="BO103" s="854">
        <f t="shared" si="86"/>
        <v>0</v>
      </c>
      <c r="BP103" s="853">
        <f t="shared" si="87"/>
        <v>0</v>
      </c>
      <c r="BQ103" s="853">
        <f t="shared" si="69"/>
        <v>0</v>
      </c>
      <c r="BR103" s="853">
        <f t="shared" si="69"/>
        <v>0</v>
      </c>
      <c r="BS103" s="853">
        <f t="shared" si="69"/>
        <v>3.5250000000000004</v>
      </c>
      <c r="BT103" s="853">
        <f t="shared" si="69"/>
        <v>10.574999999999999</v>
      </c>
      <c r="BU103" s="853">
        <f t="shared" si="69"/>
        <v>17.625</v>
      </c>
      <c r="BV103" s="853">
        <f t="shared" si="69"/>
        <v>24.674999999999997</v>
      </c>
      <c r="BW103" s="853">
        <f t="shared" si="69"/>
        <v>28.200000000000003</v>
      </c>
      <c r="BX103" s="853">
        <f t="shared" si="69"/>
        <v>31.725000000000001</v>
      </c>
      <c r="BY103" s="853">
        <f t="shared" si="69"/>
        <v>35.25</v>
      </c>
      <c r="BZ103" s="853">
        <f t="shared" si="69"/>
        <v>35.25</v>
      </c>
      <c r="CA103" s="853">
        <f t="shared" si="69"/>
        <v>35.25</v>
      </c>
      <c r="CB103" s="854">
        <f t="shared" si="88"/>
        <v>222.07499999999999</v>
      </c>
      <c r="CC103" s="853">
        <f t="shared" si="89"/>
        <v>35.25</v>
      </c>
      <c r="CD103" s="853">
        <f t="shared" si="70"/>
        <v>35.25</v>
      </c>
      <c r="CE103" s="853">
        <f t="shared" si="70"/>
        <v>35.25</v>
      </c>
      <c r="CF103" s="853">
        <f t="shared" si="70"/>
        <v>35.25</v>
      </c>
      <c r="CG103" s="853">
        <f t="shared" si="70"/>
        <v>35.25</v>
      </c>
      <c r="CH103" s="853">
        <f t="shared" si="70"/>
        <v>35.25</v>
      </c>
      <c r="CI103" s="853">
        <f t="shared" si="70"/>
        <v>35.25</v>
      </c>
      <c r="CJ103" s="853">
        <f t="shared" si="70"/>
        <v>35.25</v>
      </c>
      <c r="CK103" s="853">
        <f t="shared" si="70"/>
        <v>35.25</v>
      </c>
      <c r="CL103" s="853">
        <f t="shared" si="70"/>
        <v>35.25</v>
      </c>
      <c r="CM103" s="853">
        <f t="shared" si="70"/>
        <v>35.25</v>
      </c>
      <c r="CN103" s="853">
        <f t="shared" si="70"/>
        <v>35.25</v>
      </c>
      <c r="CO103" s="854">
        <f t="shared" si="90"/>
        <v>423</v>
      </c>
      <c r="CP103" s="855">
        <f t="shared" si="91"/>
        <v>645.07500000000005</v>
      </c>
    </row>
    <row r="104" spans="1:94">
      <c r="A104" s="845">
        <v>22</v>
      </c>
      <c r="B104" s="846" t="s">
        <v>927</v>
      </c>
      <c r="C104" s="847">
        <v>2</v>
      </c>
      <c r="D104" s="847">
        <f>'Xpert needs'!AB54</f>
        <v>342</v>
      </c>
      <c r="E104" s="847">
        <f t="shared" si="71"/>
        <v>28.5</v>
      </c>
      <c r="F104" s="848">
        <f t="shared" si="72"/>
        <v>1.4869565217391305</v>
      </c>
      <c r="G104" s="849">
        <f t="shared" si="73"/>
        <v>0.74347826086956526</v>
      </c>
      <c r="H104" s="847">
        <f t="shared" si="74"/>
        <v>342</v>
      </c>
      <c r="I104" s="847">
        <f t="shared" si="75"/>
        <v>28.5</v>
      </c>
      <c r="J104" s="848">
        <f t="shared" si="76"/>
        <v>1.4869565217391305</v>
      </c>
      <c r="K104" s="849">
        <f t="shared" si="77"/>
        <v>0.74347826086956526</v>
      </c>
      <c r="L104" s="847">
        <f t="shared" si="96"/>
        <v>342</v>
      </c>
      <c r="M104" s="847">
        <f t="shared" si="79"/>
        <v>28.5</v>
      </c>
      <c r="N104" s="848">
        <f t="shared" si="80"/>
        <v>1.4869565217391305</v>
      </c>
      <c r="O104" s="849">
        <f t="shared" si="81"/>
        <v>0.74347826086956526</v>
      </c>
      <c r="P104" s="850"/>
      <c r="Q104" s="850"/>
      <c r="R104" s="850"/>
      <c r="S104" s="850"/>
      <c r="T104" s="850"/>
      <c r="U104" s="850"/>
      <c r="V104" s="850"/>
      <c r="W104" s="850"/>
      <c r="X104" s="850"/>
      <c r="Y104" s="850"/>
      <c r="Z104" s="850"/>
      <c r="AA104" s="850"/>
      <c r="AB104" s="851">
        <f t="shared" si="82"/>
        <v>0</v>
      </c>
      <c r="AC104" s="850"/>
      <c r="AD104" s="850"/>
      <c r="AE104" s="850"/>
      <c r="AF104" s="850"/>
      <c r="AG104" s="850"/>
      <c r="AH104" s="850"/>
      <c r="AI104" s="852">
        <v>0.1</v>
      </c>
      <c r="AJ104" s="850">
        <v>0.3</v>
      </c>
      <c r="AK104" s="850">
        <v>0.5</v>
      </c>
      <c r="AL104" s="850">
        <v>0.7</v>
      </c>
      <c r="AM104" s="850">
        <v>0.8</v>
      </c>
      <c r="AN104" s="850">
        <v>0.9</v>
      </c>
      <c r="AO104" s="851">
        <f t="shared" si="83"/>
        <v>0.27499999999999997</v>
      </c>
      <c r="AP104" s="850">
        <v>0.95</v>
      </c>
      <c r="AQ104" s="850">
        <v>1</v>
      </c>
      <c r="AR104" s="850">
        <v>1</v>
      </c>
      <c r="AS104" s="850">
        <v>1</v>
      </c>
      <c r="AT104" s="850">
        <v>1</v>
      </c>
      <c r="AU104" s="850">
        <v>1</v>
      </c>
      <c r="AV104" s="850">
        <v>1</v>
      </c>
      <c r="AW104" s="850">
        <v>1</v>
      </c>
      <c r="AX104" s="850">
        <v>1</v>
      </c>
      <c r="AY104" s="850">
        <v>1</v>
      </c>
      <c r="AZ104" s="850">
        <v>1</v>
      </c>
      <c r="BA104" s="850">
        <v>1</v>
      </c>
      <c r="BB104" s="851">
        <f t="shared" si="84"/>
        <v>0.99583333333333335</v>
      </c>
      <c r="BC104" s="853">
        <f t="shared" si="85"/>
        <v>0</v>
      </c>
      <c r="BD104" s="853">
        <f t="shared" si="68"/>
        <v>0</v>
      </c>
      <c r="BE104" s="853">
        <f t="shared" si="68"/>
        <v>0</v>
      </c>
      <c r="BF104" s="853">
        <f t="shared" si="68"/>
        <v>0</v>
      </c>
      <c r="BG104" s="853">
        <f t="shared" si="68"/>
        <v>0</v>
      </c>
      <c r="BH104" s="853">
        <f t="shared" si="68"/>
        <v>0</v>
      </c>
      <c r="BI104" s="853">
        <f t="shared" si="68"/>
        <v>0</v>
      </c>
      <c r="BJ104" s="853">
        <f t="shared" si="68"/>
        <v>0</v>
      </c>
      <c r="BK104" s="853">
        <f t="shared" si="68"/>
        <v>0</v>
      </c>
      <c r="BL104" s="853">
        <f t="shared" si="68"/>
        <v>0</v>
      </c>
      <c r="BM104" s="853">
        <f t="shared" si="68"/>
        <v>0</v>
      </c>
      <c r="BN104" s="853">
        <f t="shared" si="68"/>
        <v>0</v>
      </c>
      <c r="BO104" s="854">
        <f t="shared" si="86"/>
        <v>0</v>
      </c>
      <c r="BP104" s="853">
        <f t="shared" si="87"/>
        <v>0</v>
      </c>
      <c r="BQ104" s="853">
        <f t="shared" si="69"/>
        <v>0</v>
      </c>
      <c r="BR104" s="853">
        <f t="shared" si="69"/>
        <v>0</v>
      </c>
      <c r="BS104" s="853">
        <f t="shared" si="69"/>
        <v>0</v>
      </c>
      <c r="BT104" s="853">
        <f t="shared" si="69"/>
        <v>0</v>
      </c>
      <c r="BU104" s="853">
        <f t="shared" si="69"/>
        <v>0</v>
      </c>
      <c r="BV104" s="853">
        <f t="shared" si="69"/>
        <v>2.85</v>
      </c>
      <c r="BW104" s="853">
        <f t="shared" si="69"/>
        <v>8.5499999999999989</v>
      </c>
      <c r="BX104" s="853">
        <f t="shared" si="69"/>
        <v>14.25</v>
      </c>
      <c r="BY104" s="853">
        <f t="shared" si="69"/>
        <v>19.95</v>
      </c>
      <c r="BZ104" s="853">
        <f t="shared" si="69"/>
        <v>22.8</v>
      </c>
      <c r="CA104" s="853">
        <f t="shared" si="69"/>
        <v>25.650000000000002</v>
      </c>
      <c r="CB104" s="854">
        <f t="shared" si="88"/>
        <v>94.05</v>
      </c>
      <c r="CC104" s="853">
        <f t="shared" si="89"/>
        <v>27.074999999999999</v>
      </c>
      <c r="CD104" s="853">
        <f t="shared" si="70"/>
        <v>28.5</v>
      </c>
      <c r="CE104" s="853">
        <f t="shared" si="70"/>
        <v>28.5</v>
      </c>
      <c r="CF104" s="853">
        <f t="shared" si="70"/>
        <v>28.5</v>
      </c>
      <c r="CG104" s="853">
        <f t="shared" si="70"/>
        <v>28.5</v>
      </c>
      <c r="CH104" s="853">
        <f t="shared" si="70"/>
        <v>28.5</v>
      </c>
      <c r="CI104" s="853">
        <f t="shared" si="70"/>
        <v>28.5</v>
      </c>
      <c r="CJ104" s="853">
        <f t="shared" si="70"/>
        <v>28.5</v>
      </c>
      <c r="CK104" s="853">
        <f t="shared" si="70"/>
        <v>28.5</v>
      </c>
      <c r="CL104" s="853">
        <f t="shared" si="70"/>
        <v>28.5</v>
      </c>
      <c r="CM104" s="853">
        <f t="shared" si="70"/>
        <v>28.5</v>
      </c>
      <c r="CN104" s="853">
        <f t="shared" si="70"/>
        <v>28.5</v>
      </c>
      <c r="CO104" s="854">
        <f t="shared" si="90"/>
        <v>340.57499999999999</v>
      </c>
      <c r="CP104" s="855">
        <f t="shared" si="91"/>
        <v>434.625</v>
      </c>
    </row>
    <row r="105" spans="1:94">
      <c r="A105" s="856">
        <v>23</v>
      </c>
      <c r="B105" s="846" t="s">
        <v>1695</v>
      </c>
      <c r="C105" s="847">
        <v>4</v>
      </c>
      <c r="D105" s="847">
        <f>'Xpert needs'!AB56</f>
        <v>741</v>
      </c>
      <c r="E105" s="847">
        <f t="shared" si="71"/>
        <v>61.75</v>
      </c>
      <c r="F105" s="848">
        <f t="shared" si="72"/>
        <v>3.2217391304347824</v>
      </c>
      <c r="G105" s="849">
        <f t="shared" si="73"/>
        <v>0.80543478260869561</v>
      </c>
      <c r="H105" s="847">
        <f t="shared" si="74"/>
        <v>741</v>
      </c>
      <c r="I105" s="847">
        <f t="shared" si="75"/>
        <v>61.75</v>
      </c>
      <c r="J105" s="848">
        <f t="shared" si="76"/>
        <v>3.2217391304347824</v>
      </c>
      <c r="K105" s="849">
        <f t="shared" si="77"/>
        <v>0.80543478260869561</v>
      </c>
      <c r="L105" s="847">
        <f>H105</f>
        <v>741</v>
      </c>
      <c r="M105" s="847">
        <f t="shared" si="79"/>
        <v>61.75</v>
      </c>
      <c r="N105" s="848">
        <f t="shared" si="80"/>
        <v>3.2217391304347824</v>
      </c>
      <c r="O105" s="849">
        <f t="shared" si="81"/>
        <v>0.80543478260869561</v>
      </c>
      <c r="P105" s="857">
        <v>0.6</v>
      </c>
      <c r="Q105" s="850">
        <v>0.7</v>
      </c>
      <c r="R105" s="850">
        <v>0.8</v>
      </c>
      <c r="S105" s="850">
        <v>0.8</v>
      </c>
      <c r="T105" s="850">
        <v>0.8</v>
      </c>
      <c r="U105" s="850">
        <v>0.8</v>
      </c>
      <c r="V105" s="850">
        <v>0.8</v>
      </c>
      <c r="W105" s="850">
        <v>0.8</v>
      </c>
      <c r="X105" s="850">
        <v>0.8</v>
      </c>
      <c r="Y105" s="850">
        <v>0.8</v>
      </c>
      <c r="Z105" s="850">
        <v>0.8</v>
      </c>
      <c r="AA105" s="850">
        <v>0.8</v>
      </c>
      <c r="AB105" s="851">
        <f t="shared" si="82"/>
        <v>0.7749999999999998</v>
      </c>
      <c r="AC105" s="850">
        <v>1</v>
      </c>
      <c r="AD105" s="850">
        <v>1</v>
      </c>
      <c r="AE105" s="850">
        <v>1</v>
      </c>
      <c r="AF105" s="850">
        <v>1</v>
      </c>
      <c r="AG105" s="850">
        <v>1</v>
      </c>
      <c r="AH105" s="850">
        <v>1</v>
      </c>
      <c r="AI105" s="850">
        <v>1</v>
      </c>
      <c r="AJ105" s="850">
        <v>1</v>
      </c>
      <c r="AK105" s="850">
        <v>1</v>
      </c>
      <c r="AL105" s="850">
        <v>1</v>
      </c>
      <c r="AM105" s="850">
        <v>1</v>
      </c>
      <c r="AN105" s="850">
        <v>1</v>
      </c>
      <c r="AO105" s="851">
        <f t="shared" si="83"/>
        <v>1</v>
      </c>
      <c r="AP105" s="850">
        <v>1</v>
      </c>
      <c r="AQ105" s="850">
        <v>1</v>
      </c>
      <c r="AR105" s="850">
        <v>1</v>
      </c>
      <c r="AS105" s="850">
        <v>1</v>
      </c>
      <c r="AT105" s="850">
        <v>1</v>
      </c>
      <c r="AU105" s="850">
        <v>1</v>
      </c>
      <c r="AV105" s="850">
        <v>1</v>
      </c>
      <c r="AW105" s="850">
        <v>1</v>
      </c>
      <c r="AX105" s="850">
        <v>1</v>
      </c>
      <c r="AY105" s="850">
        <v>1</v>
      </c>
      <c r="AZ105" s="850">
        <v>1</v>
      </c>
      <c r="BA105" s="850">
        <v>1</v>
      </c>
      <c r="BB105" s="851">
        <f t="shared" si="84"/>
        <v>1</v>
      </c>
      <c r="BC105" s="853">
        <f t="shared" si="85"/>
        <v>37.049999999999997</v>
      </c>
      <c r="BD105" s="853">
        <f t="shared" si="68"/>
        <v>43.224999999999994</v>
      </c>
      <c r="BE105" s="853">
        <f t="shared" si="68"/>
        <v>49.400000000000006</v>
      </c>
      <c r="BF105" s="853">
        <f t="shared" si="68"/>
        <v>49.400000000000006</v>
      </c>
      <c r="BG105" s="853">
        <f t="shared" si="68"/>
        <v>49.400000000000006</v>
      </c>
      <c r="BH105" s="853">
        <f t="shared" si="68"/>
        <v>49.400000000000006</v>
      </c>
      <c r="BI105" s="853">
        <f t="shared" si="68"/>
        <v>49.400000000000006</v>
      </c>
      <c r="BJ105" s="853">
        <f t="shared" si="68"/>
        <v>49.400000000000006</v>
      </c>
      <c r="BK105" s="853">
        <f t="shared" si="68"/>
        <v>49.400000000000006</v>
      </c>
      <c r="BL105" s="853">
        <f t="shared" si="68"/>
        <v>49.400000000000006</v>
      </c>
      <c r="BM105" s="853">
        <f t="shared" si="68"/>
        <v>49.400000000000006</v>
      </c>
      <c r="BN105" s="853">
        <f t="shared" si="68"/>
        <v>49.400000000000006</v>
      </c>
      <c r="BO105" s="854">
        <f t="shared" si="86"/>
        <v>574.27499999999986</v>
      </c>
      <c r="BP105" s="853">
        <f t="shared" si="87"/>
        <v>61.75</v>
      </c>
      <c r="BQ105" s="853">
        <f t="shared" si="69"/>
        <v>61.75</v>
      </c>
      <c r="BR105" s="853">
        <f t="shared" si="69"/>
        <v>61.75</v>
      </c>
      <c r="BS105" s="853">
        <f t="shared" si="69"/>
        <v>61.75</v>
      </c>
      <c r="BT105" s="853">
        <f t="shared" si="69"/>
        <v>61.75</v>
      </c>
      <c r="BU105" s="853">
        <f t="shared" si="69"/>
        <v>61.75</v>
      </c>
      <c r="BV105" s="853">
        <f t="shared" si="69"/>
        <v>61.75</v>
      </c>
      <c r="BW105" s="853">
        <f t="shared" si="69"/>
        <v>61.75</v>
      </c>
      <c r="BX105" s="853">
        <f t="shared" si="69"/>
        <v>61.75</v>
      </c>
      <c r="BY105" s="853">
        <f t="shared" si="69"/>
        <v>61.75</v>
      </c>
      <c r="BZ105" s="853">
        <f t="shared" si="69"/>
        <v>61.75</v>
      </c>
      <c r="CA105" s="853">
        <f t="shared" si="69"/>
        <v>61.75</v>
      </c>
      <c r="CB105" s="854">
        <f t="shared" si="88"/>
        <v>741</v>
      </c>
      <c r="CC105" s="853">
        <f t="shared" si="89"/>
        <v>61.75</v>
      </c>
      <c r="CD105" s="853">
        <f t="shared" si="70"/>
        <v>61.75</v>
      </c>
      <c r="CE105" s="853">
        <f t="shared" si="70"/>
        <v>61.75</v>
      </c>
      <c r="CF105" s="853">
        <f t="shared" si="70"/>
        <v>61.75</v>
      </c>
      <c r="CG105" s="853">
        <f t="shared" si="70"/>
        <v>61.75</v>
      </c>
      <c r="CH105" s="853">
        <f t="shared" si="70"/>
        <v>61.75</v>
      </c>
      <c r="CI105" s="853">
        <f t="shared" si="70"/>
        <v>61.75</v>
      </c>
      <c r="CJ105" s="853">
        <f t="shared" si="70"/>
        <v>61.75</v>
      </c>
      <c r="CK105" s="853">
        <f t="shared" si="70"/>
        <v>61.75</v>
      </c>
      <c r="CL105" s="853">
        <f t="shared" si="70"/>
        <v>61.75</v>
      </c>
      <c r="CM105" s="853">
        <f t="shared" si="70"/>
        <v>61.75</v>
      </c>
      <c r="CN105" s="853">
        <f t="shared" si="70"/>
        <v>61.75</v>
      </c>
      <c r="CO105" s="854">
        <f t="shared" si="90"/>
        <v>741</v>
      </c>
      <c r="CP105" s="855">
        <f t="shared" si="91"/>
        <v>2056.2749999999996</v>
      </c>
    </row>
    <row r="106" spans="1:94">
      <c r="A106" s="856">
        <v>24</v>
      </c>
      <c r="B106" s="846" t="s">
        <v>838</v>
      </c>
      <c r="C106" s="847">
        <v>4</v>
      </c>
      <c r="D106" s="847">
        <f>'Xpert needs'!AB58</f>
        <v>2045.3999999999999</v>
      </c>
      <c r="E106" s="847">
        <f t="shared" si="71"/>
        <v>170.45</v>
      </c>
      <c r="F106" s="848">
        <f t="shared" si="72"/>
        <v>8.8930434782608696</v>
      </c>
      <c r="G106" s="849">
        <f t="shared" si="73"/>
        <v>2.2232608695652174</v>
      </c>
      <c r="H106" s="847">
        <f t="shared" si="74"/>
        <v>2045.3999999999999</v>
      </c>
      <c r="I106" s="847">
        <f t="shared" si="75"/>
        <v>170.45</v>
      </c>
      <c r="J106" s="848">
        <f t="shared" si="76"/>
        <v>8.8930434782608696</v>
      </c>
      <c r="K106" s="849">
        <f t="shared" si="77"/>
        <v>2.2232608695652174</v>
      </c>
      <c r="L106" s="847">
        <f>H106*95%</f>
        <v>1943.1299999999999</v>
      </c>
      <c r="M106" s="847">
        <f t="shared" si="79"/>
        <v>161.92749999999998</v>
      </c>
      <c r="N106" s="848">
        <f t="shared" si="80"/>
        <v>8.448391304347826</v>
      </c>
      <c r="O106" s="849">
        <f t="shared" si="81"/>
        <v>2.1120978260869565</v>
      </c>
      <c r="P106" s="857">
        <v>0.8</v>
      </c>
      <c r="Q106" s="850">
        <v>0.8</v>
      </c>
      <c r="R106" s="850">
        <v>0.8</v>
      </c>
      <c r="S106" s="850">
        <v>0.8</v>
      </c>
      <c r="T106" s="850">
        <v>0.8</v>
      </c>
      <c r="U106" s="850">
        <v>0.8</v>
      </c>
      <c r="V106" s="850">
        <v>0.8</v>
      </c>
      <c r="W106" s="850">
        <v>0.8</v>
      </c>
      <c r="X106" s="850">
        <v>0.8</v>
      </c>
      <c r="Y106" s="850">
        <v>0.85</v>
      </c>
      <c r="Z106" s="850">
        <v>0.85</v>
      </c>
      <c r="AA106" s="850">
        <v>0.85</v>
      </c>
      <c r="AB106" s="851">
        <f t="shared" si="82"/>
        <v>0.81249999999999989</v>
      </c>
      <c r="AC106" s="850">
        <v>1</v>
      </c>
      <c r="AD106" s="850">
        <v>1</v>
      </c>
      <c r="AE106" s="850">
        <v>1</v>
      </c>
      <c r="AF106" s="850">
        <v>1</v>
      </c>
      <c r="AG106" s="850">
        <v>1</v>
      </c>
      <c r="AH106" s="850">
        <v>1</v>
      </c>
      <c r="AI106" s="850">
        <v>1</v>
      </c>
      <c r="AJ106" s="850">
        <v>1</v>
      </c>
      <c r="AK106" s="850">
        <v>1</v>
      </c>
      <c r="AL106" s="850">
        <v>1</v>
      </c>
      <c r="AM106" s="850">
        <v>1</v>
      </c>
      <c r="AN106" s="850">
        <v>1</v>
      </c>
      <c r="AO106" s="851">
        <f t="shared" si="83"/>
        <v>1.0000000000000002</v>
      </c>
      <c r="AP106" s="850">
        <v>1</v>
      </c>
      <c r="AQ106" s="850">
        <v>1</v>
      </c>
      <c r="AR106" s="850">
        <v>1</v>
      </c>
      <c r="AS106" s="850">
        <v>1</v>
      </c>
      <c r="AT106" s="850">
        <v>1</v>
      </c>
      <c r="AU106" s="850">
        <v>1</v>
      </c>
      <c r="AV106" s="850">
        <v>1</v>
      </c>
      <c r="AW106" s="850">
        <v>1</v>
      </c>
      <c r="AX106" s="850">
        <v>1</v>
      </c>
      <c r="AY106" s="850">
        <v>1</v>
      </c>
      <c r="AZ106" s="850">
        <v>1</v>
      </c>
      <c r="BA106" s="850">
        <v>1</v>
      </c>
      <c r="BB106" s="851">
        <f t="shared" si="84"/>
        <v>1</v>
      </c>
      <c r="BC106" s="853">
        <f t="shared" si="85"/>
        <v>136.35999999999999</v>
      </c>
      <c r="BD106" s="853">
        <f t="shared" si="68"/>
        <v>136.35999999999999</v>
      </c>
      <c r="BE106" s="853">
        <f t="shared" si="68"/>
        <v>136.35999999999999</v>
      </c>
      <c r="BF106" s="853">
        <f t="shared" ref="BF106:BN118" si="97">$E106*S106</f>
        <v>136.35999999999999</v>
      </c>
      <c r="BG106" s="853">
        <f t="shared" si="97"/>
        <v>136.35999999999999</v>
      </c>
      <c r="BH106" s="853">
        <f t="shared" si="97"/>
        <v>136.35999999999999</v>
      </c>
      <c r="BI106" s="853">
        <f t="shared" si="97"/>
        <v>136.35999999999999</v>
      </c>
      <c r="BJ106" s="853">
        <f t="shared" si="97"/>
        <v>136.35999999999999</v>
      </c>
      <c r="BK106" s="853">
        <f t="shared" si="97"/>
        <v>136.35999999999999</v>
      </c>
      <c r="BL106" s="853">
        <f t="shared" si="97"/>
        <v>144.88249999999999</v>
      </c>
      <c r="BM106" s="853">
        <f t="shared" si="97"/>
        <v>144.88249999999999</v>
      </c>
      <c r="BN106" s="853">
        <f t="shared" si="97"/>
        <v>144.88249999999999</v>
      </c>
      <c r="BO106" s="854">
        <f t="shared" si="86"/>
        <v>1661.8874999999996</v>
      </c>
      <c r="BP106" s="853">
        <f t="shared" si="87"/>
        <v>170.45</v>
      </c>
      <c r="BQ106" s="853">
        <f t="shared" si="69"/>
        <v>170.45</v>
      </c>
      <c r="BR106" s="853">
        <f t="shared" si="69"/>
        <v>170.45</v>
      </c>
      <c r="BS106" s="853">
        <f t="shared" ref="BS106:CA118" si="98">$I106*AF106</f>
        <v>170.45</v>
      </c>
      <c r="BT106" s="853">
        <f t="shared" si="98"/>
        <v>170.45</v>
      </c>
      <c r="BU106" s="853">
        <f t="shared" si="98"/>
        <v>170.45</v>
      </c>
      <c r="BV106" s="853">
        <f t="shared" si="98"/>
        <v>170.45</v>
      </c>
      <c r="BW106" s="853">
        <f t="shared" si="98"/>
        <v>170.45</v>
      </c>
      <c r="BX106" s="853">
        <f t="shared" si="98"/>
        <v>170.45</v>
      </c>
      <c r="BY106" s="853">
        <f t="shared" si="98"/>
        <v>170.45</v>
      </c>
      <c r="BZ106" s="853">
        <f t="shared" si="98"/>
        <v>170.45</v>
      </c>
      <c r="CA106" s="853">
        <f t="shared" si="98"/>
        <v>170.45</v>
      </c>
      <c r="CB106" s="854">
        <f t="shared" si="88"/>
        <v>2045.4000000000003</v>
      </c>
      <c r="CC106" s="853">
        <f t="shared" si="89"/>
        <v>161.92749999999998</v>
      </c>
      <c r="CD106" s="853">
        <f t="shared" si="70"/>
        <v>161.92749999999998</v>
      </c>
      <c r="CE106" s="853">
        <f t="shared" si="70"/>
        <v>161.92749999999998</v>
      </c>
      <c r="CF106" s="853">
        <f t="shared" ref="CF106:CN118" si="99">$M106*AS106</f>
        <v>161.92749999999998</v>
      </c>
      <c r="CG106" s="853">
        <f t="shared" si="99"/>
        <v>161.92749999999998</v>
      </c>
      <c r="CH106" s="853">
        <f t="shared" si="99"/>
        <v>161.92749999999998</v>
      </c>
      <c r="CI106" s="853">
        <f t="shared" si="99"/>
        <v>161.92749999999998</v>
      </c>
      <c r="CJ106" s="853">
        <f t="shared" si="99"/>
        <v>161.92749999999998</v>
      </c>
      <c r="CK106" s="853">
        <f t="shared" si="99"/>
        <v>161.92749999999998</v>
      </c>
      <c r="CL106" s="853">
        <f t="shared" si="99"/>
        <v>161.92749999999998</v>
      </c>
      <c r="CM106" s="853">
        <f t="shared" si="99"/>
        <v>161.92749999999998</v>
      </c>
      <c r="CN106" s="853">
        <f t="shared" si="99"/>
        <v>161.92749999999998</v>
      </c>
      <c r="CO106" s="854">
        <f t="shared" si="90"/>
        <v>1943.1299999999999</v>
      </c>
      <c r="CP106" s="855">
        <f t="shared" si="91"/>
        <v>5650.4174999999996</v>
      </c>
    </row>
    <row r="107" spans="1:94">
      <c r="A107" s="845">
        <v>25</v>
      </c>
      <c r="B107" s="846" t="s">
        <v>934</v>
      </c>
      <c r="C107" s="847">
        <v>2</v>
      </c>
      <c r="D107" s="847">
        <f>'Xpert needs'!AB61</f>
        <v>490.1</v>
      </c>
      <c r="E107" s="847">
        <f t="shared" si="71"/>
        <v>40.841666666666669</v>
      </c>
      <c r="F107" s="848">
        <f t="shared" si="72"/>
        <v>2.1308695652173912</v>
      </c>
      <c r="G107" s="849">
        <f t="shared" si="73"/>
        <v>1.0654347826086956</v>
      </c>
      <c r="H107" s="847">
        <f t="shared" si="74"/>
        <v>490.1</v>
      </c>
      <c r="I107" s="847">
        <f t="shared" si="75"/>
        <v>40.841666666666669</v>
      </c>
      <c r="J107" s="848">
        <f t="shared" si="76"/>
        <v>2.1308695652173912</v>
      </c>
      <c r="K107" s="849">
        <f t="shared" si="77"/>
        <v>1.0654347826086956</v>
      </c>
      <c r="L107" s="847">
        <f t="shared" ref="L107" si="100">H107</f>
        <v>490.1</v>
      </c>
      <c r="M107" s="847">
        <f t="shared" si="79"/>
        <v>40.841666666666669</v>
      </c>
      <c r="N107" s="848">
        <f t="shared" si="80"/>
        <v>2.1308695652173912</v>
      </c>
      <c r="O107" s="849">
        <f t="shared" si="81"/>
        <v>1.0654347826086956</v>
      </c>
      <c r="P107" s="850"/>
      <c r="Q107" s="850"/>
      <c r="R107" s="850"/>
      <c r="S107" s="850"/>
      <c r="T107" s="850"/>
      <c r="U107" s="850"/>
      <c r="V107" s="850"/>
      <c r="W107" s="850"/>
      <c r="X107" s="850"/>
      <c r="Y107" s="850"/>
      <c r="Z107" s="850"/>
      <c r="AA107" s="850"/>
      <c r="AB107" s="851">
        <f t="shared" si="82"/>
        <v>0</v>
      </c>
      <c r="AC107" s="850"/>
      <c r="AD107" s="850"/>
      <c r="AE107" s="850"/>
      <c r="AF107" s="850"/>
      <c r="AG107" s="850"/>
      <c r="AH107" s="850"/>
      <c r="AI107" s="852">
        <v>0.1</v>
      </c>
      <c r="AJ107" s="850">
        <v>0.3</v>
      </c>
      <c r="AK107" s="850">
        <v>0.5</v>
      </c>
      <c r="AL107" s="850">
        <v>0.7</v>
      </c>
      <c r="AM107" s="850">
        <v>0.8</v>
      </c>
      <c r="AN107" s="850">
        <v>0.9</v>
      </c>
      <c r="AO107" s="851">
        <f t="shared" si="83"/>
        <v>0.27499999999999997</v>
      </c>
      <c r="AP107" s="850">
        <v>1</v>
      </c>
      <c r="AQ107" s="850">
        <v>1</v>
      </c>
      <c r="AR107" s="850">
        <v>1</v>
      </c>
      <c r="AS107" s="850">
        <v>1</v>
      </c>
      <c r="AT107" s="850">
        <v>1</v>
      </c>
      <c r="AU107" s="850">
        <v>1</v>
      </c>
      <c r="AV107" s="850">
        <v>1</v>
      </c>
      <c r="AW107" s="850">
        <v>1</v>
      </c>
      <c r="AX107" s="850">
        <v>1</v>
      </c>
      <c r="AY107" s="850">
        <v>1</v>
      </c>
      <c r="AZ107" s="850">
        <v>1</v>
      </c>
      <c r="BA107" s="850">
        <v>1</v>
      </c>
      <c r="BB107" s="851">
        <f t="shared" si="84"/>
        <v>1.0000000000000002</v>
      </c>
      <c r="BC107" s="853">
        <f t="shared" si="85"/>
        <v>0</v>
      </c>
      <c r="BD107" s="853">
        <f t="shared" si="85"/>
        <v>0</v>
      </c>
      <c r="BE107" s="853">
        <f t="shared" si="85"/>
        <v>0</v>
      </c>
      <c r="BF107" s="853">
        <f t="shared" si="97"/>
        <v>0</v>
      </c>
      <c r="BG107" s="853">
        <f t="shared" si="97"/>
        <v>0</v>
      </c>
      <c r="BH107" s="853">
        <f t="shared" si="97"/>
        <v>0</v>
      </c>
      <c r="BI107" s="853">
        <f t="shared" si="97"/>
        <v>0</v>
      </c>
      <c r="BJ107" s="853">
        <f t="shared" si="97"/>
        <v>0</v>
      </c>
      <c r="BK107" s="853">
        <f t="shared" si="97"/>
        <v>0</v>
      </c>
      <c r="BL107" s="853">
        <f t="shared" si="97"/>
        <v>0</v>
      </c>
      <c r="BM107" s="853">
        <f t="shared" si="97"/>
        <v>0</v>
      </c>
      <c r="BN107" s="853">
        <f t="shared" si="97"/>
        <v>0</v>
      </c>
      <c r="BO107" s="854">
        <f t="shared" si="86"/>
        <v>0</v>
      </c>
      <c r="BP107" s="853">
        <f t="shared" si="87"/>
        <v>0</v>
      </c>
      <c r="BQ107" s="853">
        <f t="shared" si="87"/>
        <v>0</v>
      </c>
      <c r="BR107" s="853">
        <f t="shared" si="87"/>
        <v>0</v>
      </c>
      <c r="BS107" s="853">
        <f t="shared" si="98"/>
        <v>0</v>
      </c>
      <c r="BT107" s="853">
        <f t="shared" si="98"/>
        <v>0</v>
      </c>
      <c r="BU107" s="853">
        <f t="shared" si="98"/>
        <v>0</v>
      </c>
      <c r="BV107" s="853">
        <f t="shared" si="98"/>
        <v>4.0841666666666674</v>
      </c>
      <c r="BW107" s="853">
        <f t="shared" si="98"/>
        <v>12.2525</v>
      </c>
      <c r="BX107" s="853">
        <f t="shared" si="98"/>
        <v>20.420833333333334</v>
      </c>
      <c r="BY107" s="853">
        <f t="shared" si="98"/>
        <v>28.589166666666667</v>
      </c>
      <c r="BZ107" s="853">
        <f t="shared" si="98"/>
        <v>32.673333333333339</v>
      </c>
      <c r="CA107" s="853">
        <f t="shared" si="98"/>
        <v>36.7575</v>
      </c>
      <c r="CB107" s="854">
        <f t="shared" si="88"/>
        <v>134.7775</v>
      </c>
      <c r="CC107" s="853">
        <f t="shared" si="89"/>
        <v>40.841666666666669</v>
      </c>
      <c r="CD107" s="853">
        <f t="shared" si="89"/>
        <v>40.841666666666669</v>
      </c>
      <c r="CE107" s="853">
        <f t="shared" si="89"/>
        <v>40.841666666666669</v>
      </c>
      <c r="CF107" s="853">
        <f t="shared" si="99"/>
        <v>40.841666666666669</v>
      </c>
      <c r="CG107" s="853">
        <f t="shared" si="99"/>
        <v>40.841666666666669</v>
      </c>
      <c r="CH107" s="853">
        <f t="shared" si="99"/>
        <v>40.841666666666669</v>
      </c>
      <c r="CI107" s="853">
        <f t="shared" si="99"/>
        <v>40.841666666666669</v>
      </c>
      <c r="CJ107" s="853">
        <f t="shared" si="99"/>
        <v>40.841666666666669</v>
      </c>
      <c r="CK107" s="853">
        <f t="shared" si="99"/>
        <v>40.841666666666669</v>
      </c>
      <c r="CL107" s="853">
        <f t="shared" si="99"/>
        <v>40.841666666666669</v>
      </c>
      <c r="CM107" s="853">
        <f t="shared" si="99"/>
        <v>40.841666666666669</v>
      </c>
      <c r="CN107" s="853">
        <f t="shared" si="99"/>
        <v>40.841666666666669</v>
      </c>
      <c r="CO107" s="854">
        <f t="shared" si="90"/>
        <v>490.10000000000014</v>
      </c>
      <c r="CP107" s="855">
        <f t="shared" si="91"/>
        <v>624.87750000000017</v>
      </c>
    </row>
    <row r="108" spans="1:94" s="838" customFormat="1">
      <c r="A108" s="856">
        <v>26</v>
      </c>
      <c r="B108" s="846" t="s">
        <v>1696</v>
      </c>
      <c r="C108" s="847">
        <v>4</v>
      </c>
      <c r="D108" s="847">
        <f>'Xpert needs'!AB66</f>
        <v>617.1</v>
      </c>
      <c r="E108" s="847">
        <f t="shared" si="71"/>
        <v>51.425000000000004</v>
      </c>
      <c r="F108" s="848">
        <f t="shared" si="72"/>
        <v>2.6830434782608696</v>
      </c>
      <c r="G108" s="849">
        <f t="shared" si="73"/>
        <v>0.67076086956521741</v>
      </c>
      <c r="H108" s="847">
        <f t="shared" si="74"/>
        <v>617.1</v>
      </c>
      <c r="I108" s="847">
        <f t="shared" si="75"/>
        <v>51.425000000000004</v>
      </c>
      <c r="J108" s="848">
        <f t="shared" si="76"/>
        <v>2.6830434782608696</v>
      </c>
      <c r="K108" s="849">
        <f t="shared" si="77"/>
        <v>0.67076086956521741</v>
      </c>
      <c r="L108" s="858">
        <f>H108*95%</f>
        <v>586.245</v>
      </c>
      <c r="M108" s="847">
        <f t="shared" si="79"/>
        <v>48.853749999999998</v>
      </c>
      <c r="N108" s="848">
        <f t="shared" si="80"/>
        <v>2.5488913043478263</v>
      </c>
      <c r="O108" s="849">
        <f t="shared" si="81"/>
        <v>0.63722282608695657</v>
      </c>
      <c r="P108" s="857">
        <v>0.8</v>
      </c>
      <c r="Q108" s="850">
        <v>0.9</v>
      </c>
      <c r="R108" s="850">
        <v>1</v>
      </c>
      <c r="S108" s="850">
        <v>1</v>
      </c>
      <c r="T108" s="850">
        <v>1</v>
      </c>
      <c r="U108" s="850">
        <v>1</v>
      </c>
      <c r="V108" s="850">
        <v>1</v>
      </c>
      <c r="W108" s="850">
        <v>1</v>
      </c>
      <c r="X108" s="850">
        <v>1</v>
      </c>
      <c r="Y108" s="850">
        <v>1</v>
      </c>
      <c r="Z108" s="850">
        <v>1</v>
      </c>
      <c r="AA108" s="850">
        <v>1</v>
      </c>
      <c r="AB108" s="851">
        <f t="shared" si="82"/>
        <v>0.97499999999999998</v>
      </c>
      <c r="AC108" s="850">
        <v>1</v>
      </c>
      <c r="AD108" s="850">
        <v>1</v>
      </c>
      <c r="AE108" s="850">
        <v>1</v>
      </c>
      <c r="AF108" s="850">
        <v>1</v>
      </c>
      <c r="AG108" s="850">
        <v>1</v>
      </c>
      <c r="AH108" s="850">
        <v>1</v>
      </c>
      <c r="AI108" s="850">
        <v>1</v>
      </c>
      <c r="AJ108" s="850">
        <v>1</v>
      </c>
      <c r="AK108" s="850">
        <v>1</v>
      </c>
      <c r="AL108" s="850">
        <v>1</v>
      </c>
      <c r="AM108" s="850">
        <v>1</v>
      </c>
      <c r="AN108" s="850">
        <v>1</v>
      </c>
      <c r="AO108" s="851">
        <f t="shared" si="83"/>
        <v>0.99999999999999978</v>
      </c>
      <c r="AP108" s="850">
        <v>1</v>
      </c>
      <c r="AQ108" s="850">
        <v>1</v>
      </c>
      <c r="AR108" s="850">
        <v>1</v>
      </c>
      <c r="AS108" s="850">
        <v>1</v>
      </c>
      <c r="AT108" s="850">
        <v>1</v>
      </c>
      <c r="AU108" s="850">
        <v>1</v>
      </c>
      <c r="AV108" s="850">
        <v>1</v>
      </c>
      <c r="AW108" s="850">
        <v>1</v>
      </c>
      <c r="AX108" s="850">
        <v>1</v>
      </c>
      <c r="AY108" s="850">
        <v>1</v>
      </c>
      <c r="AZ108" s="850">
        <v>1</v>
      </c>
      <c r="BA108" s="850">
        <v>1</v>
      </c>
      <c r="BB108" s="851">
        <f t="shared" si="84"/>
        <v>1</v>
      </c>
      <c r="BC108" s="853">
        <f t="shared" si="85"/>
        <v>41.140000000000008</v>
      </c>
      <c r="BD108" s="853">
        <f t="shared" si="85"/>
        <v>46.282500000000006</v>
      </c>
      <c r="BE108" s="853">
        <f t="shared" si="85"/>
        <v>51.425000000000004</v>
      </c>
      <c r="BF108" s="853">
        <f t="shared" si="97"/>
        <v>51.425000000000004</v>
      </c>
      <c r="BG108" s="853">
        <f t="shared" si="97"/>
        <v>51.425000000000004</v>
      </c>
      <c r="BH108" s="853">
        <f t="shared" si="97"/>
        <v>51.425000000000004</v>
      </c>
      <c r="BI108" s="853">
        <f t="shared" si="97"/>
        <v>51.425000000000004</v>
      </c>
      <c r="BJ108" s="853">
        <f t="shared" si="97"/>
        <v>51.425000000000004</v>
      </c>
      <c r="BK108" s="853">
        <f t="shared" si="97"/>
        <v>51.425000000000004</v>
      </c>
      <c r="BL108" s="853">
        <f t="shared" si="97"/>
        <v>51.425000000000004</v>
      </c>
      <c r="BM108" s="853">
        <f t="shared" si="97"/>
        <v>51.425000000000004</v>
      </c>
      <c r="BN108" s="853">
        <f t="shared" si="97"/>
        <v>51.425000000000004</v>
      </c>
      <c r="BO108" s="854">
        <f t="shared" si="86"/>
        <v>601.67250000000001</v>
      </c>
      <c r="BP108" s="853">
        <f t="shared" si="87"/>
        <v>51.425000000000004</v>
      </c>
      <c r="BQ108" s="853">
        <f t="shared" si="87"/>
        <v>51.425000000000004</v>
      </c>
      <c r="BR108" s="853">
        <f t="shared" si="87"/>
        <v>51.425000000000004</v>
      </c>
      <c r="BS108" s="853">
        <f t="shared" si="98"/>
        <v>51.425000000000004</v>
      </c>
      <c r="BT108" s="853">
        <f t="shared" si="98"/>
        <v>51.425000000000004</v>
      </c>
      <c r="BU108" s="853">
        <f t="shared" si="98"/>
        <v>51.425000000000004</v>
      </c>
      <c r="BV108" s="853">
        <f t="shared" si="98"/>
        <v>51.425000000000004</v>
      </c>
      <c r="BW108" s="853">
        <f t="shared" si="98"/>
        <v>51.425000000000004</v>
      </c>
      <c r="BX108" s="853">
        <f t="shared" si="98"/>
        <v>51.425000000000004</v>
      </c>
      <c r="BY108" s="853">
        <f t="shared" si="98"/>
        <v>51.425000000000004</v>
      </c>
      <c r="BZ108" s="853">
        <f t="shared" si="98"/>
        <v>51.425000000000004</v>
      </c>
      <c r="CA108" s="853">
        <f t="shared" si="98"/>
        <v>51.425000000000004</v>
      </c>
      <c r="CB108" s="854">
        <f t="shared" si="88"/>
        <v>617.09999999999991</v>
      </c>
      <c r="CC108" s="853">
        <f t="shared" si="89"/>
        <v>48.853749999999998</v>
      </c>
      <c r="CD108" s="853">
        <f t="shared" si="89"/>
        <v>48.853749999999998</v>
      </c>
      <c r="CE108" s="853">
        <f t="shared" si="89"/>
        <v>48.853749999999998</v>
      </c>
      <c r="CF108" s="853">
        <f t="shared" si="99"/>
        <v>48.853749999999998</v>
      </c>
      <c r="CG108" s="853">
        <f t="shared" si="99"/>
        <v>48.853749999999998</v>
      </c>
      <c r="CH108" s="853">
        <f t="shared" si="99"/>
        <v>48.853749999999998</v>
      </c>
      <c r="CI108" s="853">
        <f t="shared" si="99"/>
        <v>48.853749999999998</v>
      </c>
      <c r="CJ108" s="853">
        <f t="shared" si="99"/>
        <v>48.853749999999998</v>
      </c>
      <c r="CK108" s="853">
        <f t="shared" si="99"/>
        <v>48.853749999999998</v>
      </c>
      <c r="CL108" s="853">
        <f t="shared" si="99"/>
        <v>48.853749999999998</v>
      </c>
      <c r="CM108" s="853">
        <f t="shared" si="99"/>
        <v>48.853749999999998</v>
      </c>
      <c r="CN108" s="853">
        <f t="shared" si="99"/>
        <v>48.853749999999998</v>
      </c>
      <c r="CO108" s="854">
        <f t="shared" si="90"/>
        <v>586.245</v>
      </c>
      <c r="CP108" s="855">
        <f t="shared" si="91"/>
        <v>1805.0174999999999</v>
      </c>
    </row>
    <row r="109" spans="1:94">
      <c r="A109" s="856">
        <v>27</v>
      </c>
      <c r="B109" s="846" t="s">
        <v>1697</v>
      </c>
      <c r="C109" s="847">
        <v>4</v>
      </c>
      <c r="D109" s="847">
        <f>'Xpert needs'!AB70</f>
        <v>853.4</v>
      </c>
      <c r="E109" s="847">
        <f t="shared" si="71"/>
        <v>71.11666666666666</v>
      </c>
      <c r="F109" s="848">
        <f t="shared" si="72"/>
        <v>3.7104347826086954</v>
      </c>
      <c r="G109" s="849">
        <f t="shared" si="73"/>
        <v>0.92760869565217385</v>
      </c>
      <c r="H109" s="847">
        <f t="shared" si="74"/>
        <v>853.4</v>
      </c>
      <c r="I109" s="847">
        <f t="shared" si="75"/>
        <v>71.11666666666666</v>
      </c>
      <c r="J109" s="848">
        <f t="shared" si="76"/>
        <v>3.7104347826086954</v>
      </c>
      <c r="K109" s="849">
        <f t="shared" si="77"/>
        <v>0.92760869565217385</v>
      </c>
      <c r="L109" s="847">
        <f>H109</f>
        <v>853.4</v>
      </c>
      <c r="M109" s="847">
        <f t="shared" si="79"/>
        <v>71.11666666666666</v>
      </c>
      <c r="N109" s="848">
        <f t="shared" si="80"/>
        <v>3.7104347826086954</v>
      </c>
      <c r="O109" s="849">
        <f t="shared" si="81"/>
        <v>0.92760869565217385</v>
      </c>
      <c r="P109" s="857">
        <v>0.65</v>
      </c>
      <c r="Q109" s="850">
        <v>0.7</v>
      </c>
      <c r="R109" s="850">
        <v>0.75</v>
      </c>
      <c r="S109" s="850">
        <v>0.8</v>
      </c>
      <c r="T109" s="850">
        <v>0.8</v>
      </c>
      <c r="U109" s="850">
        <v>0.8</v>
      </c>
      <c r="V109" s="850">
        <v>0.85</v>
      </c>
      <c r="W109" s="850">
        <v>0.85</v>
      </c>
      <c r="X109" s="850">
        <v>0.85</v>
      </c>
      <c r="Y109" s="850">
        <v>0.85</v>
      </c>
      <c r="Z109" s="850">
        <v>0.85</v>
      </c>
      <c r="AA109" s="850">
        <v>0.85</v>
      </c>
      <c r="AB109" s="851">
        <f t="shared" si="82"/>
        <v>0.79999999999999982</v>
      </c>
      <c r="AC109" s="850">
        <v>1.1000000000000001</v>
      </c>
      <c r="AD109" s="850">
        <v>1.1499999999999999</v>
      </c>
      <c r="AE109" s="850">
        <v>1.2</v>
      </c>
      <c r="AF109" s="850">
        <v>1.1499999999999999</v>
      </c>
      <c r="AG109" s="850">
        <v>1.1000000000000001</v>
      </c>
      <c r="AH109" s="850">
        <v>1</v>
      </c>
      <c r="AI109" s="850">
        <v>1</v>
      </c>
      <c r="AJ109" s="850">
        <v>1</v>
      </c>
      <c r="AK109" s="850">
        <v>1</v>
      </c>
      <c r="AL109" s="850">
        <v>1</v>
      </c>
      <c r="AM109" s="850">
        <v>1</v>
      </c>
      <c r="AN109" s="850">
        <v>1</v>
      </c>
      <c r="AO109" s="851">
        <f t="shared" si="83"/>
        <v>1.0583333333333333</v>
      </c>
      <c r="AP109" s="850">
        <v>1</v>
      </c>
      <c r="AQ109" s="850">
        <v>1</v>
      </c>
      <c r="AR109" s="850">
        <v>1</v>
      </c>
      <c r="AS109" s="850">
        <v>1</v>
      </c>
      <c r="AT109" s="850">
        <v>1</v>
      </c>
      <c r="AU109" s="850">
        <v>1</v>
      </c>
      <c r="AV109" s="850">
        <v>1</v>
      </c>
      <c r="AW109" s="850">
        <v>1</v>
      </c>
      <c r="AX109" s="850">
        <v>1</v>
      </c>
      <c r="AY109" s="850">
        <v>1</v>
      </c>
      <c r="AZ109" s="850">
        <v>1</v>
      </c>
      <c r="BA109" s="850">
        <v>1</v>
      </c>
      <c r="BB109" s="851">
        <f t="shared" si="84"/>
        <v>1</v>
      </c>
      <c r="BC109" s="853">
        <f t="shared" si="85"/>
        <v>46.225833333333334</v>
      </c>
      <c r="BD109" s="853">
        <f t="shared" si="85"/>
        <v>49.781666666666659</v>
      </c>
      <c r="BE109" s="853">
        <f t="shared" si="85"/>
        <v>53.337499999999991</v>
      </c>
      <c r="BF109" s="853">
        <f t="shared" si="97"/>
        <v>56.893333333333331</v>
      </c>
      <c r="BG109" s="853">
        <f t="shared" si="97"/>
        <v>56.893333333333331</v>
      </c>
      <c r="BH109" s="853">
        <f t="shared" si="97"/>
        <v>56.893333333333331</v>
      </c>
      <c r="BI109" s="853">
        <f t="shared" si="97"/>
        <v>60.449166666666656</v>
      </c>
      <c r="BJ109" s="853">
        <f t="shared" si="97"/>
        <v>60.449166666666656</v>
      </c>
      <c r="BK109" s="853">
        <f t="shared" si="97"/>
        <v>60.449166666666656</v>
      </c>
      <c r="BL109" s="853">
        <f t="shared" si="97"/>
        <v>60.449166666666656</v>
      </c>
      <c r="BM109" s="853">
        <f t="shared" si="97"/>
        <v>60.449166666666656</v>
      </c>
      <c r="BN109" s="853">
        <f t="shared" si="97"/>
        <v>60.449166666666656</v>
      </c>
      <c r="BO109" s="854">
        <f t="shared" si="86"/>
        <v>682.7199999999998</v>
      </c>
      <c r="BP109" s="853">
        <f t="shared" si="87"/>
        <v>78.228333333333339</v>
      </c>
      <c r="BQ109" s="853">
        <f t="shared" si="87"/>
        <v>81.78416666666665</v>
      </c>
      <c r="BR109" s="853">
        <f t="shared" si="87"/>
        <v>85.339999999999989</v>
      </c>
      <c r="BS109" s="853">
        <f t="shared" si="98"/>
        <v>81.78416666666665</v>
      </c>
      <c r="BT109" s="853">
        <f t="shared" si="98"/>
        <v>78.228333333333339</v>
      </c>
      <c r="BU109" s="853">
        <f t="shared" si="98"/>
        <v>71.11666666666666</v>
      </c>
      <c r="BV109" s="853">
        <f t="shared" si="98"/>
        <v>71.11666666666666</v>
      </c>
      <c r="BW109" s="853">
        <f t="shared" si="98"/>
        <v>71.11666666666666</v>
      </c>
      <c r="BX109" s="853">
        <f t="shared" si="98"/>
        <v>71.11666666666666</v>
      </c>
      <c r="BY109" s="853">
        <f t="shared" si="98"/>
        <v>71.11666666666666</v>
      </c>
      <c r="BZ109" s="853">
        <f t="shared" si="98"/>
        <v>71.11666666666666</v>
      </c>
      <c r="CA109" s="853">
        <f t="shared" si="98"/>
        <v>71.11666666666666</v>
      </c>
      <c r="CB109" s="854">
        <f t="shared" si="88"/>
        <v>903.18166666666662</v>
      </c>
      <c r="CC109" s="853">
        <f t="shared" si="89"/>
        <v>71.11666666666666</v>
      </c>
      <c r="CD109" s="853">
        <f t="shared" si="89"/>
        <v>71.11666666666666</v>
      </c>
      <c r="CE109" s="853">
        <f t="shared" si="89"/>
        <v>71.11666666666666</v>
      </c>
      <c r="CF109" s="853">
        <f t="shared" si="99"/>
        <v>71.11666666666666</v>
      </c>
      <c r="CG109" s="853">
        <f t="shared" si="99"/>
        <v>71.11666666666666</v>
      </c>
      <c r="CH109" s="853">
        <f t="shared" si="99"/>
        <v>71.11666666666666</v>
      </c>
      <c r="CI109" s="853">
        <f t="shared" si="99"/>
        <v>71.11666666666666</v>
      </c>
      <c r="CJ109" s="853">
        <f t="shared" si="99"/>
        <v>71.11666666666666</v>
      </c>
      <c r="CK109" s="853">
        <f t="shared" si="99"/>
        <v>71.11666666666666</v>
      </c>
      <c r="CL109" s="853">
        <f t="shared" si="99"/>
        <v>71.11666666666666</v>
      </c>
      <c r="CM109" s="853">
        <f t="shared" si="99"/>
        <v>71.11666666666666</v>
      </c>
      <c r="CN109" s="853">
        <f t="shared" si="99"/>
        <v>71.11666666666666</v>
      </c>
      <c r="CO109" s="854">
        <f t="shared" si="90"/>
        <v>853.4</v>
      </c>
      <c r="CP109" s="855">
        <f t="shared" si="91"/>
        <v>2439.3016666666663</v>
      </c>
    </row>
    <row r="110" spans="1:94">
      <c r="A110" s="845">
        <v>28</v>
      </c>
      <c r="B110" s="846" t="s">
        <v>944</v>
      </c>
      <c r="C110" s="847">
        <v>2</v>
      </c>
      <c r="D110" s="847">
        <f>'Xpert needs'!AB71</f>
        <v>409.5</v>
      </c>
      <c r="E110" s="847">
        <f t="shared" si="71"/>
        <v>34.125</v>
      </c>
      <c r="F110" s="848">
        <f t="shared" si="72"/>
        <v>1.7804347826086957</v>
      </c>
      <c r="G110" s="849">
        <f t="shared" si="73"/>
        <v>0.89021739130434785</v>
      </c>
      <c r="H110" s="847">
        <f t="shared" si="74"/>
        <v>409.5</v>
      </c>
      <c r="I110" s="847">
        <f t="shared" si="75"/>
        <v>34.125</v>
      </c>
      <c r="J110" s="848">
        <f t="shared" si="76"/>
        <v>1.7804347826086957</v>
      </c>
      <c r="K110" s="849">
        <f t="shared" si="77"/>
        <v>0.89021739130434785</v>
      </c>
      <c r="L110" s="847">
        <f t="shared" ref="L110:L112" si="101">H110</f>
        <v>409.5</v>
      </c>
      <c r="M110" s="847">
        <f t="shared" si="79"/>
        <v>34.125</v>
      </c>
      <c r="N110" s="848">
        <f t="shared" si="80"/>
        <v>1.7804347826086957</v>
      </c>
      <c r="O110" s="849">
        <f t="shared" si="81"/>
        <v>0.89021739130434785</v>
      </c>
      <c r="P110" s="850"/>
      <c r="Q110" s="850"/>
      <c r="R110" s="850"/>
      <c r="S110" s="850"/>
      <c r="T110" s="850"/>
      <c r="U110" s="850"/>
      <c r="V110" s="850"/>
      <c r="W110" s="850"/>
      <c r="X110" s="850"/>
      <c r="Y110" s="850"/>
      <c r="Z110" s="850"/>
      <c r="AA110" s="850"/>
      <c r="AB110" s="851">
        <f t="shared" si="82"/>
        <v>0</v>
      </c>
      <c r="AC110" s="850"/>
      <c r="AD110" s="850"/>
      <c r="AE110" s="850"/>
      <c r="AF110" s="850"/>
      <c r="AG110" s="850"/>
      <c r="AH110" s="850"/>
      <c r="AI110" s="852">
        <v>0.1</v>
      </c>
      <c r="AJ110" s="850">
        <v>0.2</v>
      </c>
      <c r="AK110" s="850">
        <v>0.3</v>
      </c>
      <c r="AL110" s="850">
        <v>0.4</v>
      </c>
      <c r="AM110" s="850">
        <v>0.5</v>
      </c>
      <c r="AN110" s="850">
        <v>0.6</v>
      </c>
      <c r="AO110" s="851">
        <f t="shared" si="83"/>
        <v>0.17499999999999999</v>
      </c>
      <c r="AP110" s="850">
        <v>0.7</v>
      </c>
      <c r="AQ110" s="850">
        <v>0.8</v>
      </c>
      <c r="AR110" s="850">
        <v>0.9</v>
      </c>
      <c r="AS110" s="850">
        <v>1</v>
      </c>
      <c r="AT110" s="850">
        <v>1</v>
      </c>
      <c r="AU110" s="850">
        <v>1</v>
      </c>
      <c r="AV110" s="850">
        <v>1</v>
      </c>
      <c r="AW110" s="850">
        <v>1</v>
      </c>
      <c r="AX110" s="850">
        <v>1</v>
      </c>
      <c r="AY110" s="850">
        <v>1</v>
      </c>
      <c r="AZ110" s="850">
        <v>1</v>
      </c>
      <c r="BA110" s="850">
        <v>1</v>
      </c>
      <c r="BB110" s="851">
        <f t="shared" si="84"/>
        <v>0.95</v>
      </c>
      <c r="BC110" s="853">
        <f t="shared" si="85"/>
        <v>0</v>
      </c>
      <c r="BD110" s="853">
        <f t="shared" si="85"/>
        <v>0</v>
      </c>
      <c r="BE110" s="853">
        <f t="shared" si="85"/>
        <v>0</v>
      </c>
      <c r="BF110" s="853">
        <f t="shared" si="97"/>
        <v>0</v>
      </c>
      <c r="BG110" s="853">
        <f t="shared" si="97"/>
        <v>0</v>
      </c>
      <c r="BH110" s="853">
        <f t="shared" si="97"/>
        <v>0</v>
      </c>
      <c r="BI110" s="853">
        <f t="shared" si="97"/>
        <v>0</v>
      </c>
      <c r="BJ110" s="853">
        <f t="shared" si="97"/>
        <v>0</v>
      </c>
      <c r="BK110" s="853">
        <f t="shared" si="97"/>
        <v>0</v>
      </c>
      <c r="BL110" s="853">
        <f t="shared" si="97"/>
        <v>0</v>
      </c>
      <c r="BM110" s="853">
        <f t="shared" si="97"/>
        <v>0</v>
      </c>
      <c r="BN110" s="853">
        <f t="shared" si="97"/>
        <v>0</v>
      </c>
      <c r="BO110" s="854">
        <f t="shared" si="86"/>
        <v>0</v>
      </c>
      <c r="BP110" s="853">
        <f t="shared" si="87"/>
        <v>0</v>
      </c>
      <c r="BQ110" s="853">
        <f t="shared" si="87"/>
        <v>0</v>
      </c>
      <c r="BR110" s="853">
        <f t="shared" si="87"/>
        <v>0</v>
      </c>
      <c r="BS110" s="853">
        <f t="shared" si="98"/>
        <v>0</v>
      </c>
      <c r="BT110" s="853">
        <f t="shared" si="98"/>
        <v>0</v>
      </c>
      <c r="BU110" s="853">
        <f t="shared" si="98"/>
        <v>0</v>
      </c>
      <c r="BV110" s="853">
        <f t="shared" si="98"/>
        <v>3.4125000000000001</v>
      </c>
      <c r="BW110" s="853">
        <f t="shared" si="98"/>
        <v>6.8250000000000002</v>
      </c>
      <c r="BX110" s="853">
        <f t="shared" si="98"/>
        <v>10.237499999999999</v>
      </c>
      <c r="BY110" s="853">
        <f t="shared" si="98"/>
        <v>13.65</v>
      </c>
      <c r="BZ110" s="853">
        <f t="shared" si="98"/>
        <v>17.0625</v>
      </c>
      <c r="CA110" s="853">
        <f t="shared" si="98"/>
        <v>20.474999999999998</v>
      </c>
      <c r="CB110" s="854">
        <f t="shared" si="88"/>
        <v>71.662499999999994</v>
      </c>
      <c r="CC110" s="853">
        <f t="shared" si="89"/>
        <v>23.887499999999999</v>
      </c>
      <c r="CD110" s="853">
        <f t="shared" si="89"/>
        <v>27.3</v>
      </c>
      <c r="CE110" s="853">
        <f t="shared" si="89"/>
        <v>30.712500000000002</v>
      </c>
      <c r="CF110" s="853">
        <f t="shared" si="99"/>
        <v>34.125</v>
      </c>
      <c r="CG110" s="853">
        <f t="shared" si="99"/>
        <v>34.125</v>
      </c>
      <c r="CH110" s="853">
        <f t="shared" si="99"/>
        <v>34.125</v>
      </c>
      <c r="CI110" s="853">
        <f t="shared" si="99"/>
        <v>34.125</v>
      </c>
      <c r="CJ110" s="853">
        <f t="shared" si="99"/>
        <v>34.125</v>
      </c>
      <c r="CK110" s="853">
        <f t="shared" si="99"/>
        <v>34.125</v>
      </c>
      <c r="CL110" s="853">
        <f t="shared" si="99"/>
        <v>34.125</v>
      </c>
      <c r="CM110" s="853">
        <f t="shared" si="99"/>
        <v>34.125</v>
      </c>
      <c r="CN110" s="853">
        <f t="shared" si="99"/>
        <v>34.125</v>
      </c>
      <c r="CO110" s="854">
        <f t="shared" si="90"/>
        <v>389.02499999999998</v>
      </c>
      <c r="CP110" s="855">
        <f t="shared" si="91"/>
        <v>460.6875</v>
      </c>
    </row>
    <row r="111" spans="1:94">
      <c r="A111" s="845">
        <v>29</v>
      </c>
      <c r="B111" s="846" t="s">
        <v>949</v>
      </c>
      <c r="C111" s="847">
        <v>2</v>
      </c>
      <c r="D111" s="847">
        <f>'Xpert needs'!AB76</f>
        <v>401</v>
      </c>
      <c r="E111" s="847">
        <f t="shared" si="71"/>
        <v>33.416666666666664</v>
      </c>
      <c r="F111" s="848">
        <f t="shared" si="72"/>
        <v>1.7434782608695651</v>
      </c>
      <c r="G111" s="849">
        <f t="shared" si="73"/>
        <v>0.87173913043478257</v>
      </c>
      <c r="H111" s="847">
        <f t="shared" si="74"/>
        <v>401</v>
      </c>
      <c r="I111" s="847">
        <f t="shared" si="75"/>
        <v>33.416666666666664</v>
      </c>
      <c r="J111" s="848">
        <f t="shared" si="76"/>
        <v>1.7434782608695651</v>
      </c>
      <c r="K111" s="849">
        <f t="shared" si="77"/>
        <v>0.87173913043478257</v>
      </c>
      <c r="L111" s="847">
        <f t="shared" si="101"/>
        <v>401</v>
      </c>
      <c r="M111" s="847">
        <f t="shared" si="79"/>
        <v>33.416666666666664</v>
      </c>
      <c r="N111" s="848">
        <f t="shared" si="80"/>
        <v>1.7434782608695651</v>
      </c>
      <c r="O111" s="849">
        <f t="shared" si="81"/>
        <v>0.87173913043478257</v>
      </c>
      <c r="P111" s="850"/>
      <c r="Q111" s="850"/>
      <c r="R111" s="850"/>
      <c r="S111" s="850"/>
      <c r="T111" s="850"/>
      <c r="U111" s="850"/>
      <c r="V111" s="850"/>
      <c r="W111" s="850"/>
      <c r="X111" s="850"/>
      <c r="Y111" s="850"/>
      <c r="Z111" s="850"/>
      <c r="AA111" s="850"/>
      <c r="AB111" s="851">
        <f t="shared" si="82"/>
        <v>0</v>
      </c>
      <c r="AC111" s="850"/>
      <c r="AD111" s="850"/>
      <c r="AE111" s="850"/>
      <c r="AF111" s="852">
        <v>0.1</v>
      </c>
      <c r="AG111" s="850">
        <v>0.2</v>
      </c>
      <c r="AH111" s="850">
        <v>0.3</v>
      </c>
      <c r="AI111" s="850">
        <v>0.4</v>
      </c>
      <c r="AJ111" s="850">
        <v>0.5</v>
      </c>
      <c r="AK111" s="850">
        <v>0.6</v>
      </c>
      <c r="AL111" s="850">
        <v>0.7</v>
      </c>
      <c r="AM111" s="850">
        <v>0.8</v>
      </c>
      <c r="AN111" s="850">
        <v>0.9</v>
      </c>
      <c r="AO111" s="851">
        <f t="shared" si="83"/>
        <v>0.375</v>
      </c>
      <c r="AP111" s="850">
        <v>0.95</v>
      </c>
      <c r="AQ111" s="850">
        <v>1</v>
      </c>
      <c r="AR111" s="850">
        <v>1</v>
      </c>
      <c r="AS111" s="850">
        <v>1</v>
      </c>
      <c r="AT111" s="850">
        <v>1</v>
      </c>
      <c r="AU111" s="850">
        <v>1</v>
      </c>
      <c r="AV111" s="850">
        <v>1</v>
      </c>
      <c r="AW111" s="850">
        <v>1</v>
      </c>
      <c r="AX111" s="850">
        <v>1</v>
      </c>
      <c r="AY111" s="850">
        <v>1</v>
      </c>
      <c r="AZ111" s="850">
        <v>1</v>
      </c>
      <c r="BA111" s="850">
        <v>1</v>
      </c>
      <c r="BB111" s="851">
        <f t="shared" si="84"/>
        <v>0.99583333333333346</v>
      </c>
      <c r="BC111" s="853">
        <f t="shared" si="85"/>
        <v>0</v>
      </c>
      <c r="BD111" s="853">
        <f t="shared" si="85"/>
        <v>0</v>
      </c>
      <c r="BE111" s="853">
        <f t="shared" si="85"/>
        <v>0</v>
      </c>
      <c r="BF111" s="853">
        <f t="shared" si="97"/>
        <v>0</v>
      </c>
      <c r="BG111" s="853">
        <f t="shared" si="97"/>
        <v>0</v>
      </c>
      <c r="BH111" s="853">
        <f t="shared" si="97"/>
        <v>0</v>
      </c>
      <c r="BI111" s="853">
        <f t="shared" si="97"/>
        <v>0</v>
      </c>
      <c r="BJ111" s="853">
        <f t="shared" si="97"/>
        <v>0</v>
      </c>
      <c r="BK111" s="853">
        <f t="shared" si="97"/>
        <v>0</v>
      </c>
      <c r="BL111" s="853">
        <f t="shared" si="97"/>
        <v>0</v>
      </c>
      <c r="BM111" s="853">
        <f t="shared" si="97"/>
        <v>0</v>
      </c>
      <c r="BN111" s="853">
        <f t="shared" si="97"/>
        <v>0</v>
      </c>
      <c r="BO111" s="854">
        <f t="shared" si="86"/>
        <v>0</v>
      </c>
      <c r="BP111" s="853">
        <f t="shared" si="87"/>
        <v>0</v>
      </c>
      <c r="BQ111" s="853">
        <f t="shared" si="87"/>
        <v>0</v>
      </c>
      <c r="BR111" s="853">
        <f t="shared" si="87"/>
        <v>0</v>
      </c>
      <c r="BS111" s="853">
        <f t="shared" si="98"/>
        <v>3.3416666666666668</v>
      </c>
      <c r="BT111" s="853">
        <f t="shared" si="98"/>
        <v>6.6833333333333336</v>
      </c>
      <c r="BU111" s="853">
        <f t="shared" si="98"/>
        <v>10.024999999999999</v>
      </c>
      <c r="BV111" s="853">
        <f t="shared" si="98"/>
        <v>13.366666666666667</v>
      </c>
      <c r="BW111" s="853">
        <f t="shared" si="98"/>
        <v>16.708333333333332</v>
      </c>
      <c r="BX111" s="853">
        <f t="shared" si="98"/>
        <v>20.049999999999997</v>
      </c>
      <c r="BY111" s="853">
        <f t="shared" si="98"/>
        <v>23.391666666666662</v>
      </c>
      <c r="BZ111" s="853">
        <f t="shared" si="98"/>
        <v>26.733333333333334</v>
      </c>
      <c r="CA111" s="853">
        <f t="shared" si="98"/>
        <v>30.074999999999999</v>
      </c>
      <c r="CB111" s="854">
        <f t="shared" si="88"/>
        <v>150.375</v>
      </c>
      <c r="CC111" s="853">
        <f t="shared" si="89"/>
        <v>31.74583333333333</v>
      </c>
      <c r="CD111" s="853">
        <f t="shared" si="89"/>
        <v>33.416666666666664</v>
      </c>
      <c r="CE111" s="853">
        <f t="shared" si="89"/>
        <v>33.416666666666664</v>
      </c>
      <c r="CF111" s="853">
        <f t="shared" si="99"/>
        <v>33.416666666666664</v>
      </c>
      <c r="CG111" s="853">
        <f t="shared" si="99"/>
        <v>33.416666666666664</v>
      </c>
      <c r="CH111" s="853">
        <f t="shared" si="99"/>
        <v>33.416666666666664</v>
      </c>
      <c r="CI111" s="853">
        <f t="shared" si="99"/>
        <v>33.416666666666664</v>
      </c>
      <c r="CJ111" s="853">
        <f t="shared" si="99"/>
        <v>33.416666666666664</v>
      </c>
      <c r="CK111" s="853">
        <f t="shared" si="99"/>
        <v>33.416666666666664</v>
      </c>
      <c r="CL111" s="853">
        <f t="shared" si="99"/>
        <v>33.416666666666664</v>
      </c>
      <c r="CM111" s="853">
        <f t="shared" si="99"/>
        <v>33.416666666666664</v>
      </c>
      <c r="CN111" s="853">
        <f t="shared" si="99"/>
        <v>33.416666666666664</v>
      </c>
      <c r="CO111" s="854">
        <f t="shared" si="90"/>
        <v>399.32916666666671</v>
      </c>
      <c r="CP111" s="855">
        <f t="shared" si="91"/>
        <v>549.70416666666665</v>
      </c>
    </row>
    <row r="112" spans="1:94">
      <c r="A112" s="845">
        <v>30</v>
      </c>
      <c r="B112" s="846" t="s">
        <v>953</v>
      </c>
      <c r="C112" s="847">
        <v>2</v>
      </c>
      <c r="D112" s="847">
        <f>'Xpert needs'!AB80</f>
        <v>420</v>
      </c>
      <c r="E112" s="847">
        <f t="shared" si="71"/>
        <v>35</v>
      </c>
      <c r="F112" s="848">
        <f t="shared" si="72"/>
        <v>1.826086956521739</v>
      </c>
      <c r="G112" s="849">
        <f t="shared" si="73"/>
        <v>0.91304347826086951</v>
      </c>
      <c r="H112" s="847">
        <f t="shared" si="74"/>
        <v>420</v>
      </c>
      <c r="I112" s="847">
        <f t="shared" si="75"/>
        <v>35</v>
      </c>
      <c r="J112" s="848">
        <f t="shared" si="76"/>
        <v>1.826086956521739</v>
      </c>
      <c r="K112" s="849">
        <f t="shared" si="77"/>
        <v>0.91304347826086951</v>
      </c>
      <c r="L112" s="847">
        <f t="shared" si="101"/>
        <v>420</v>
      </c>
      <c r="M112" s="847">
        <f t="shared" si="79"/>
        <v>35</v>
      </c>
      <c r="N112" s="848">
        <f t="shared" si="80"/>
        <v>1.826086956521739</v>
      </c>
      <c r="O112" s="849">
        <f t="shared" si="81"/>
        <v>0.91304347826086951</v>
      </c>
      <c r="P112" s="850"/>
      <c r="Q112" s="850"/>
      <c r="R112" s="850"/>
      <c r="S112" s="850"/>
      <c r="T112" s="850"/>
      <c r="U112" s="850"/>
      <c r="V112" s="850"/>
      <c r="W112" s="850"/>
      <c r="X112" s="850"/>
      <c r="Y112" s="850"/>
      <c r="Z112" s="850"/>
      <c r="AA112" s="850"/>
      <c r="AB112" s="851">
        <f t="shared" si="82"/>
        <v>0</v>
      </c>
      <c r="AC112" s="850"/>
      <c r="AD112" s="850"/>
      <c r="AE112" s="850"/>
      <c r="AF112" s="852">
        <v>0.1</v>
      </c>
      <c r="AG112" s="850">
        <v>0.2</v>
      </c>
      <c r="AH112" s="850">
        <v>0.3</v>
      </c>
      <c r="AI112" s="850">
        <v>0.4</v>
      </c>
      <c r="AJ112" s="850">
        <v>0.5</v>
      </c>
      <c r="AK112" s="850">
        <v>0.6</v>
      </c>
      <c r="AL112" s="850">
        <v>0.7</v>
      </c>
      <c r="AM112" s="850">
        <v>0.8</v>
      </c>
      <c r="AN112" s="850">
        <v>0.9</v>
      </c>
      <c r="AO112" s="851">
        <f t="shared" si="83"/>
        <v>0.375</v>
      </c>
      <c r="AP112" s="850">
        <v>0.95</v>
      </c>
      <c r="AQ112" s="850">
        <v>1</v>
      </c>
      <c r="AR112" s="850">
        <v>1</v>
      </c>
      <c r="AS112" s="850">
        <v>1</v>
      </c>
      <c r="AT112" s="850">
        <v>1</v>
      </c>
      <c r="AU112" s="850">
        <v>1</v>
      </c>
      <c r="AV112" s="850">
        <v>1</v>
      </c>
      <c r="AW112" s="850">
        <v>1</v>
      </c>
      <c r="AX112" s="850">
        <v>1</v>
      </c>
      <c r="AY112" s="850">
        <v>1</v>
      </c>
      <c r="AZ112" s="850">
        <v>1</v>
      </c>
      <c r="BA112" s="850">
        <v>1</v>
      </c>
      <c r="BB112" s="851">
        <f t="shared" si="84"/>
        <v>0.99583333333333335</v>
      </c>
      <c r="BC112" s="853">
        <f t="shared" si="85"/>
        <v>0</v>
      </c>
      <c r="BD112" s="853">
        <f t="shared" si="85"/>
        <v>0</v>
      </c>
      <c r="BE112" s="853">
        <f t="shared" si="85"/>
        <v>0</v>
      </c>
      <c r="BF112" s="853">
        <f t="shared" si="97"/>
        <v>0</v>
      </c>
      <c r="BG112" s="853">
        <f t="shared" si="97"/>
        <v>0</v>
      </c>
      <c r="BH112" s="853">
        <f t="shared" si="97"/>
        <v>0</v>
      </c>
      <c r="BI112" s="853">
        <f t="shared" si="97"/>
        <v>0</v>
      </c>
      <c r="BJ112" s="853">
        <f t="shared" si="97"/>
        <v>0</v>
      </c>
      <c r="BK112" s="853">
        <f t="shared" si="97"/>
        <v>0</v>
      </c>
      <c r="BL112" s="853">
        <f t="shared" si="97"/>
        <v>0</v>
      </c>
      <c r="BM112" s="853">
        <f t="shared" si="97"/>
        <v>0</v>
      </c>
      <c r="BN112" s="853">
        <f t="shared" si="97"/>
        <v>0</v>
      </c>
      <c r="BO112" s="854">
        <f t="shared" si="86"/>
        <v>0</v>
      </c>
      <c r="BP112" s="853">
        <f t="shared" si="87"/>
        <v>0</v>
      </c>
      <c r="BQ112" s="853">
        <f t="shared" si="87"/>
        <v>0</v>
      </c>
      <c r="BR112" s="853">
        <f t="shared" si="87"/>
        <v>0</v>
      </c>
      <c r="BS112" s="853">
        <f t="shared" si="98"/>
        <v>3.5</v>
      </c>
      <c r="BT112" s="853">
        <f t="shared" si="98"/>
        <v>7</v>
      </c>
      <c r="BU112" s="853">
        <f t="shared" si="98"/>
        <v>10.5</v>
      </c>
      <c r="BV112" s="853">
        <f t="shared" si="98"/>
        <v>14</v>
      </c>
      <c r="BW112" s="853">
        <f t="shared" si="98"/>
        <v>17.5</v>
      </c>
      <c r="BX112" s="853">
        <f t="shared" si="98"/>
        <v>21</v>
      </c>
      <c r="BY112" s="853">
        <f t="shared" si="98"/>
        <v>24.5</v>
      </c>
      <c r="BZ112" s="853">
        <f t="shared" si="98"/>
        <v>28</v>
      </c>
      <c r="CA112" s="853">
        <f t="shared" si="98"/>
        <v>31.5</v>
      </c>
      <c r="CB112" s="854">
        <f t="shared" si="88"/>
        <v>157.5</v>
      </c>
      <c r="CC112" s="853">
        <f t="shared" si="89"/>
        <v>33.25</v>
      </c>
      <c r="CD112" s="853">
        <f t="shared" si="89"/>
        <v>35</v>
      </c>
      <c r="CE112" s="853">
        <f t="shared" si="89"/>
        <v>35</v>
      </c>
      <c r="CF112" s="853">
        <f t="shared" si="99"/>
        <v>35</v>
      </c>
      <c r="CG112" s="853">
        <f t="shared" si="99"/>
        <v>35</v>
      </c>
      <c r="CH112" s="853">
        <f t="shared" si="99"/>
        <v>35</v>
      </c>
      <c r="CI112" s="853">
        <f t="shared" si="99"/>
        <v>35</v>
      </c>
      <c r="CJ112" s="853">
        <f t="shared" si="99"/>
        <v>35</v>
      </c>
      <c r="CK112" s="853">
        <f t="shared" si="99"/>
        <v>35</v>
      </c>
      <c r="CL112" s="853">
        <f t="shared" si="99"/>
        <v>35</v>
      </c>
      <c r="CM112" s="853">
        <f t="shared" si="99"/>
        <v>35</v>
      </c>
      <c r="CN112" s="853">
        <f t="shared" si="99"/>
        <v>35</v>
      </c>
      <c r="CO112" s="854">
        <f t="shared" si="90"/>
        <v>418.25</v>
      </c>
      <c r="CP112" s="855">
        <f t="shared" si="91"/>
        <v>575.75</v>
      </c>
    </row>
    <row r="113" spans="1:94">
      <c r="A113" s="856">
        <v>31</v>
      </c>
      <c r="B113" s="846" t="s">
        <v>1698</v>
      </c>
      <c r="C113" s="847">
        <v>4</v>
      </c>
      <c r="D113" s="847">
        <f>'Xpert needs'!AB81*40%</f>
        <v>1034.6199999999999</v>
      </c>
      <c r="E113" s="847">
        <f t="shared" si="71"/>
        <v>86.21833333333332</v>
      </c>
      <c r="F113" s="848">
        <f t="shared" si="72"/>
        <v>4.498347826086956</v>
      </c>
      <c r="G113" s="849">
        <f t="shared" si="73"/>
        <v>1.124586956521739</v>
      </c>
      <c r="H113" s="847">
        <f t="shared" si="74"/>
        <v>1034.6199999999999</v>
      </c>
      <c r="I113" s="847">
        <f t="shared" si="75"/>
        <v>86.21833333333332</v>
      </c>
      <c r="J113" s="848">
        <f t="shared" si="76"/>
        <v>4.498347826086956</v>
      </c>
      <c r="K113" s="849">
        <f t="shared" si="77"/>
        <v>1.124586956521739</v>
      </c>
      <c r="L113" s="858">
        <f>H113*95.1%</f>
        <v>983.9236199999998</v>
      </c>
      <c r="M113" s="847">
        <f t="shared" si="79"/>
        <v>81.993634999999983</v>
      </c>
      <c r="N113" s="848">
        <f t="shared" si="80"/>
        <v>4.2779287826086945</v>
      </c>
      <c r="O113" s="849">
        <f t="shared" si="81"/>
        <v>1.0694821956521736</v>
      </c>
      <c r="P113" s="857">
        <v>1.2</v>
      </c>
      <c r="Q113" s="850">
        <v>1.2</v>
      </c>
      <c r="R113" s="850">
        <v>1.2</v>
      </c>
      <c r="S113" s="850">
        <v>1.2</v>
      </c>
      <c r="T113" s="850">
        <v>1.2</v>
      </c>
      <c r="U113" s="850">
        <v>1.2</v>
      </c>
      <c r="V113" s="850">
        <v>1.2</v>
      </c>
      <c r="W113" s="850">
        <v>1.2</v>
      </c>
      <c r="X113" s="850">
        <v>1.2</v>
      </c>
      <c r="Y113" s="850">
        <v>1.2</v>
      </c>
      <c r="Z113" s="850">
        <v>1.2</v>
      </c>
      <c r="AA113" s="850">
        <v>1.2</v>
      </c>
      <c r="AB113" s="851">
        <f t="shared" si="82"/>
        <v>1.1999999999999997</v>
      </c>
      <c r="AC113" s="850">
        <v>1.2</v>
      </c>
      <c r="AD113" s="850">
        <v>1.2</v>
      </c>
      <c r="AE113" s="850">
        <v>1.2</v>
      </c>
      <c r="AF113" s="850">
        <v>1.2</v>
      </c>
      <c r="AG113" s="850">
        <v>1.2</v>
      </c>
      <c r="AH113" s="850">
        <v>1.2</v>
      </c>
      <c r="AI113" s="850">
        <v>1.1499999999999999</v>
      </c>
      <c r="AJ113" s="850">
        <v>1.1000000000000001</v>
      </c>
      <c r="AK113" s="850">
        <v>1.05</v>
      </c>
      <c r="AL113" s="850">
        <v>1</v>
      </c>
      <c r="AM113" s="850">
        <v>1</v>
      </c>
      <c r="AN113" s="850">
        <v>1</v>
      </c>
      <c r="AO113" s="851">
        <f t="shared" si="83"/>
        <v>1.125</v>
      </c>
      <c r="AP113" s="850">
        <v>1</v>
      </c>
      <c r="AQ113" s="850">
        <v>1</v>
      </c>
      <c r="AR113" s="850">
        <v>1</v>
      </c>
      <c r="AS113" s="850">
        <v>1</v>
      </c>
      <c r="AT113" s="850">
        <v>1</v>
      </c>
      <c r="AU113" s="850">
        <v>1</v>
      </c>
      <c r="AV113" s="850">
        <v>1</v>
      </c>
      <c r="AW113" s="850">
        <v>1</v>
      </c>
      <c r="AX113" s="850">
        <v>1</v>
      </c>
      <c r="AY113" s="850">
        <v>1</v>
      </c>
      <c r="AZ113" s="850">
        <v>1</v>
      </c>
      <c r="BA113" s="850">
        <v>1</v>
      </c>
      <c r="BB113" s="851">
        <f t="shared" si="84"/>
        <v>1.0000000000000002</v>
      </c>
      <c r="BC113" s="853">
        <f t="shared" si="85"/>
        <v>103.46199999999997</v>
      </c>
      <c r="BD113" s="853">
        <f t="shared" si="85"/>
        <v>103.46199999999997</v>
      </c>
      <c r="BE113" s="853">
        <f t="shared" si="85"/>
        <v>103.46199999999997</v>
      </c>
      <c r="BF113" s="853">
        <f t="shared" si="97"/>
        <v>103.46199999999997</v>
      </c>
      <c r="BG113" s="853">
        <f t="shared" si="97"/>
        <v>103.46199999999997</v>
      </c>
      <c r="BH113" s="853">
        <f t="shared" si="97"/>
        <v>103.46199999999997</v>
      </c>
      <c r="BI113" s="853">
        <f t="shared" si="97"/>
        <v>103.46199999999997</v>
      </c>
      <c r="BJ113" s="853">
        <f t="shared" si="97"/>
        <v>103.46199999999997</v>
      </c>
      <c r="BK113" s="853">
        <f t="shared" si="97"/>
        <v>103.46199999999997</v>
      </c>
      <c r="BL113" s="853">
        <f t="shared" si="97"/>
        <v>103.46199999999997</v>
      </c>
      <c r="BM113" s="853">
        <f t="shared" si="97"/>
        <v>103.46199999999997</v>
      </c>
      <c r="BN113" s="853">
        <f t="shared" si="97"/>
        <v>103.46199999999997</v>
      </c>
      <c r="BO113" s="854">
        <f t="shared" si="86"/>
        <v>1241.5439999999996</v>
      </c>
      <c r="BP113" s="853">
        <f t="shared" si="87"/>
        <v>103.46199999999997</v>
      </c>
      <c r="BQ113" s="853">
        <f t="shared" si="87"/>
        <v>103.46199999999997</v>
      </c>
      <c r="BR113" s="853">
        <f t="shared" si="87"/>
        <v>103.46199999999997</v>
      </c>
      <c r="BS113" s="853">
        <f t="shared" si="98"/>
        <v>103.46199999999997</v>
      </c>
      <c r="BT113" s="853">
        <f t="shared" si="98"/>
        <v>103.46199999999997</v>
      </c>
      <c r="BU113" s="853">
        <f t="shared" si="98"/>
        <v>103.46199999999997</v>
      </c>
      <c r="BV113" s="853">
        <f t="shared" si="98"/>
        <v>99.151083333333304</v>
      </c>
      <c r="BW113" s="853">
        <f t="shared" si="98"/>
        <v>94.840166666666661</v>
      </c>
      <c r="BX113" s="853">
        <f t="shared" si="98"/>
        <v>90.52924999999999</v>
      </c>
      <c r="BY113" s="853">
        <f t="shared" si="98"/>
        <v>86.21833333333332</v>
      </c>
      <c r="BZ113" s="853">
        <f t="shared" si="98"/>
        <v>86.21833333333332</v>
      </c>
      <c r="CA113" s="853">
        <f t="shared" si="98"/>
        <v>86.21833333333332</v>
      </c>
      <c r="CB113" s="854">
        <f t="shared" si="88"/>
        <v>1163.9474999999998</v>
      </c>
      <c r="CC113" s="853">
        <f t="shared" si="89"/>
        <v>81.993634999999983</v>
      </c>
      <c r="CD113" s="853">
        <f t="shared" si="89"/>
        <v>81.993634999999983</v>
      </c>
      <c r="CE113" s="853">
        <f t="shared" si="89"/>
        <v>81.993634999999983</v>
      </c>
      <c r="CF113" s="853">
        <f t="shared" si="99"/>
        <v>81.993634999999983</v>
      </c>
      <c r="CG113" s="853">
        <f t="shared" si="99"/>
        <v>81.993634999999983</v>
      </c>
      <c r="CH113" s="853">
        <f t="shared" si="99"/>
        <v>81.993634999999983</v>
      </c>
      <c r="CI113" s="853">
        <f t="shared" si="99"/>
        <v>81.993634999999983</v>
      </c>
      <c r="CJ113" s="853">
        <f t="shared" si="99"/>
        <v>81.993634999999983</v>
      </c>
      <c r="CK113" s="853">
        <f t="shared" si="99"/>
        <v>81.993634999999983</v>
      </c>
      <c r="CL113" s="853">
        <f t="shared" si="99"/>
        <v>81.993634999999983</v>
      </c>
      <c r="CM113" s="853">
        <f t="shared" si="99"/>
        <v>81.993634999999983</v>
      </c>
      <c r="CN113" s="853">
        <f t="shared" si="99"/>
        <v>81.993634999999983</v>
      </c>
      <c r="CO113" s="854">
        <f t="shared" si="90"/>
        <v>983.92362000000003</v>
      </c>
      <c r="CP113" s="855">
        <f t="shared" si="91"/>
        <v>3389.4151199999992</v>
      </c>
    </row>
    <row r="114" spans="1:94">
      <c r="A114" s="856">
        <v>32</v>
      </c>
      <c r="B114" s="846" t="s">
        <v>1699</v>
      </c>
      <c r="C114" s="847">
        <v>4</v>
      </c>
      <c r="D114" s="847">
        <f>'Xpert needs'!AB81*60%</f>
        <v>1551.9299999999998</v>
      </c>
      <c r="E114" s="847">
        <f t="shared" si="71"/>
        <v>129.32749999999999</v>
      </c>
      <c r="F114" s="848">
        <f t="shared" si="72"/>
        <v>6.7475217391304341</v>
      </c>
      <c r="G114" s="849">
        <f t="shared" si="73"/>
        <v>1.6868804347826085</v>
      </c>
      <c r="H114" s="847">
        <f t="shared" si="74"/>
        <v>1551.9299999999998</v>
      </c>
      <c r="I114" s="847">
        <f t="shared" si="75"/>
        <v>129.32749999999999</v>
      </c>
      <c r="J114" s="848">
        <f t="shared" si="76"/>
        <v>6.7475217391304341</v>
      </c>
      <c r="K114" s="849">
        <f t="shared" si="77"/>
        <v>1.6868804347826085</v>
      </c>
      <c r="L114" s="858">
        <f>H114*90%</f>
        <v>1396.7369999999999</v>
      </c>
      <c r="M114" s="847">
        <f t="shared" si="79"/>
        <v>116.39474999999999</v>
      </c>
      <c r="N114" s="848">
        <f t="shared" si="80"/>
        <v>6.0727695652173903</v>
      </c>
      <c r="O114" s="849">
        <f t="shared" si="81"/>
        <v>1.5181923913043476</v>
      </c>
      <c r="P114" s="857">
        <f>P113</f>
        <v>1.2</v>
      </c>
      <c r="Q114" s="850">
        <v>1.2</v>
      </c>
      <c r="R114" s="850">
        <v>1.2</v>
      </c>
      <c r="S114" s="850">
        <v>1.2</v>
      </c>
      <c r="T114" s="850">
        <v>1.2</v>
      </c>
      <c r="U114" s="850">
        <v>1.2</v>
      </c>
      <c r="V114" s="850">
        <v>1.2</v>
      </c>
      <c r="W114" s="850">
        <v>1.2</v>
      </c>
      <c r="X114" s="850">
        <v>1.2</v>
      </c>
      <c r="Y114" s="850">
        <v>1.2</v>
      </c>
      <c r="Z114" s="850">
        <v>1.2</v>
      </c>
      <c r="AA114" s="850">
        <v>1.2</v>
      </c>
      <c r="AB114" s="851">
        <f t="shared" si="82"/>
        <v>1.2</v>
      </c>
      <c r="AC114" s="850">
        <f t="shared" ref="AC114:AN114" si="102">AC113</f>
        <v>1.2</v>
      </c>
      <c r="AD114" s="850">
        <f t="shared" si="102"/>
        <v>1.2</v>
      </c>
      <c r="AE114" s="850">
        <f t="shared" si="102"/>
        <v>1.2</v>
      </c>
      <c r="AF114" s="850">
        <f t="shared" si="102"/>
        <v>1.2</v>
      </c>
      <c r="AG114" s="850">
        <f t="shared" si="102"/>
        <v>1.2</v>
      </c>
      <c r="AH114" s="850">
        <f t="shared" si="102"/>
        <v>1.2</v>
      </c>
      <c r="AI114" s="850">
        <f t="shared" si="102"/>
        <v>1.1499999999999999</v>
      </c>
      <c r="AJ114" s="850">
        <f t="shared" si="102"/>
        <v>1.1000000000000001</v>
      </c>
      <c r="AK114" s="850">
        <f t="shared" si="102"/>
        <v>1.05</v>
      </c>
      <c r="AL114" s="850">
        <f t="shared" si="102"/>
        <v>1</v>
      </c>
      <c r="AM114" s="850">
        <f t="shared" si="102"/>
        <v>1</v>
      </c>
      <c r="AN114" s="850">
        <f t="shared" si="102"/>
        <v>1</v>
      </c>
      <c r="AO114" s="851">
        <f t="shared" si="83"/>
        <v>1.125</v>
      </c>
      <c r="AP114" s="850">
        <v>1</v>
      </c>
      <c r="AQ114" s="850">
        <v>1</v>
      </c>
      <c r="AR114" s="850">
        <v>1</v>
      </c>
      <c r="AS114" s="850">
        <v>1</v>
      </c>
      <c r="AT114" s="850">
        <v>1</v>
      </c>
      <c r="AU114" s="850">
        <v>1</v>
      </c>
      <c r="AV114" s="850">
        <v>1</v>
      </c>
      <c r="AW114" s="850">
        <v>1</v>
      </c>
      <c r="AX114" s="850">
        <v>1</v>
      </c>
      <c r="AY114" s="850">
        <v>1</v>
      </c>
      <c r="AZ114" s="850">
        <v>1</v>
      </c>
      <c r="BA114" s="850">
        <v>1</v>
      </c>
      <c r="BB114" s="851">
        <f t="shared" si="84"/>
        <v>0.99999999999999967</v>
      </c>
      <c r="BC114" s="853">
        <f t="shared" si="85"/>
        <v>155.19299999999998</v>
      </c>
      <c r="BD114" s="853">
        <f t="shared" si="85"/>
        <v>155.19299999999998</v>
      </c>
      <c r="BE114" s="853">
        <f t="shared" si="85"/>
        <v>155.19299999999998</v>
      </c>
      <c r="BF114" s="853">
        <f t="shared" si="97"/>
        <v>155.19299999999998</v>
      </c>
      <c r="BG114" s="853">
        <f t="shared" si="97"/>
        <v>155.19299999999998</v>
      </c>
      <c r="BH114" s="853">
        <f t="shared" si="97"/>
        <v>155.19299999999998</v>
      </c>
      <c r="BI114" s="853">
        <f t="shared" si="97"/>
        <v>155.19299999999998</v>
      </c>
      <c r="BJ114" s="853">
        <f t="shared" si="97"/>
        <v>155.19299999999998</v>
      </c>
      <c r="BK114" s="853">
        <f t="shared" si="97"/>
        <v>155.19299999999998</v>
      </c>
      <c r="BL114" s="853">
        <f t="shared" si="97"/>
        <v>155.19299999999998</v>
      </c>
      <c r="BM114" s="853">
        <f t="shared" si="97"/>
        <v>155.19299999999998</v>
      </c>
      <c r="BN114" s="853">
        <f t="shared" si="97"/>
        <v>155.19299999999998</v>
      </c>
      <c r="BO114" s="854">
        <f t="shared" si="86"/>
        <v>1862.3159999999998</v>
      </c>
      <c r="BP114" s="853">
        <f t="shared" si="87"/>
        <v>155.19299999999998</v>
      </c>
      <c r="BQ114" s="853">
        <f t="shared" si="87"/>
        <v>155.19299999999998</v>
      </c>
      <c r="BR114" s="853">
        <f t="shared" si="87"/>
        <v>155.19299999999998</v>
      </c>
      <c r="BS114" s="853">
        <f t="shared" si="98"/>
        <v>155.19299999999998</v>
      </c>
      <c r="BT114" s="853">
        <f t="shared" si="98"/>
        <v>155.19299999999998</v>
      </c>
      <c r="BU114" s="853">
        <f t="shared" si="98"/>
        <v>155.19299999999998</v>
      </c>
      <c r="BV114" s="853">
        <f t="shared" si="98"/>
        <v>148.72662499999998</v>
      </c>
      <c r="BW114" s="853">
        <f t="shared" si="98"/>
        <v>142.26024999999998</v>
      </c>
      <c r="BX114" s="853">
        <f t="shared" si="98"/>
        <v>135.79387499999999</v>
      </c>
      <c r="BY114" s="853">
        <f t="shared" si="98"/>
        <v>129.32749999999999</v>
      </c>
      <c r="BZ114" s="853">
        <f t="shared" si="98"/>
        <v>129.32749999999999</v>
      </c>
      <c r="CA114" s="853">
        <f t="shared" si="98"/>
        <v>129.32749999999999</v>
      </c>
      <c r="CB114" s="854">
        <f t="shared" si="88"/>
        <v>1745.9212499999999</v>
      </c>
      <c r="CC114" s="853">
        <f t="shared" si="89"/>
        <v>116.39474999999999</v>
      </c>
      <c r="CD114" s="853">
        <f t="shared" si="89"/>
        <v>116.39474999999999</v>
      </c>
      <c r="CE114" s="853">
        <f t="shared" si="89"/>
        <v>116.39474999999999</v>
      </c>
      <c r="CF114" s="853">
        <f t="shared" si="99"/>
        <v>116.39474999999999</v>
      </c>
      <c r="CG114" s="853">
        <f t="shared" si="99"/>
        <v>116.39474999999999</v>
      </c>
      <c r="CH114" s="853">
        <f t="shared" si="99"/>
        <v>116.39474999999999</v>
      </c>
      <c r="CI114" s="853">
        <f t="shared" si="99"/>
        <v>116.39474999999999</v>
      </c>
      <c r="CJ114" s="853">
        <f t="shared" si="99"/>
        <v>116.39474999999999</v>
      </c>
      <c r="CK114" s="853">
        <f t="shared" si="99"/>
        <v>116.39474999999999</v>
      </c>
      <c r="CL114" s="853">
        <f t="shared" si="99"/>
        <v>116.39474999999999</v>
      </c>
      <c r="CM114" s="853">
        <f t="shared" si="99"/>
        <v>116.39474999999999</v>
      </c>
      <c r="CN114" s="853">
        <f t="shared" si="99"/>
        <v>116.39474999999999</v>
      </c>
      <c r="CO114" s="854">
        <f t="shared" si="90"/>
        <v>1396.7369999999994</v>
      </c>
      <c r="CP114" s="855">
        <f t="shared" si="91"/>
        <v>5004.9742499999993</v>
      </c>
    </row>
    <row r="115" spans="1:94">
      <c r="A115" s="845">
        <v>33</v>
      </c>
      <c r="B115" s="846" t="s">
        <v>1700</v>
      </c>
      <c r="C115" s="859">
        <v>2</v>
      </c>
      <c r="D115" s="847">
        <f>'Xpert needs'!AB83</f>
        <v>1088</v>
      </c>
      <c r="E115" s="847">
        <f t="shared" si="71"/>
        <v>90.666666666666671</v>
      </c>
      <c r="F115" s="848">
        <f t="shared" si="72"/>
        <v>4.7304347826086959</v>
      </c>
      <c r="G115" s="849">
        <f t="shared" si="73"/>
        <v>2.3652173913043479</v>
      </c>
      <c r="H115" s="847">
        <f t="shared" si="74"/>
        <v>1088</v>
      </c>
      <c r="I115" s="847">
        <f t="shared" si="75"/>
        <v>90.666666666666671</v>
      </c>
      <c r="J115" s="848">
        <f t="shared" si="76"/>
        <v>4.7304347826086959</v>
      </c>
      <c r="K115" s="849">
        <f t="shared" si="77"/>
        <v>2.3652173913043479</v>
      </c>
      <c r="L115" s="858">
        <f>H115*90%</f>
        <v>979.2</v>
      </c>
      <c r="M115" s="847">
        <f t="shared" si="79"/>
        <v>81.600000000000009</v>
      </c>
      <c r="N115" s="848">
        <f t="shared" si="80"/>
        <v>4.2573913043478262</v>
      </c>
      <c r="O115" s="849">
        <f t="shared" si="81"/>
        <v>2.1286956521739131</v>
      </c>
      <c r="P115" s="850"/>
      <c r="Q115" s="850"/>
      <c r="R115" s="850"/>
      <c r="S115" s="850"/>
      <c r="T115" s="850"/>
      <c r="U115" s="850"/>
      <c r="V115" s="850"/>
      <c r="W115" s="850"/>
      <c r="X115" s="850"/>
      <c r="Y115" s="850"/>
      <c r="Z115" s="850"/>
      <c r="AA115" s="850"/>
      <c r="AB115" s="851">
        <f t="shared" si="82"/>
        <v>0</v>
      </c>
      <c r="AC115" s="850"/>
      <c r="AD115" s="850"/>
      <c r="AE115" s="850"/>
      <c r="AF115" s="850"/>
      <c r="AG115" s="850"/>
      <c r="AH115" s="850"/>
      <c r="AI115" s="852">
        <v>0.1</v>
      </c>
      <c r="AJ115" s="850">
        <v>0.3</v>
      </c>
      <c r="AK115" s="850">
        <v>0.5</v>
      </c>
      <c r="AL115" s="850">
        <v>0.7</v>
      </c>
      <c r="AM115" s="850">
        <v>0.8</v>
      </c>
      <c r="AN115" s="850">
        <v>0.9</v>
      </c>
      <c r="AO115" s="851">
        <f t="shared" si="83"/>
        <v>0.27500000000000002</v>
      </c>
      <c r="AP115" s="850">
        <v>0.96099999999999997</v>
      </c>
      <c r="AQ115" s="850">
        <v>1</v>
      </c>
      <c r="AR115" s="850">
        <v>1</v>
      </c>
      <c r="AS115" s="850">
        <v>1</v>
      </c>
      <c r="AT115" s="850">
        <v>1</v>
      </c>
      <c r="AU115" s="850">
        <v>1</v>
      </c>
      <c r="AV115" s="850">
        <v>1</v>
      </c>
      <c r="AW115" s="850">
        <v>1</v>
      </c>
      <c r="AX115" s="850">
        <v>1</v>
      </c>
      <c r="AY115" s="850">
        <v>1</v>
      </c>
      <c r="AZ115" s="850">
        <v>1</v>
      </c>
      <c r="BA115" s="850">
        <v>1</v>
      </c>
      <c r="BB115" s="851">
        <f t="shared" si="84"/>
        <v>0.99675000000000025</v>
      </c>
      <c r="BC115" s="853">
        <f t="shared" si="85"/>
        <v>0</v>
      </c>
      <c r="BD115" s="853">
        <f t="shared" si="85"/>
        <v>0</v>
      </c>
      <c r="BE115" s="853">
        <f t="shared" si="85"/>
        <v>0</v>
      </c>
      <c r="BF115" s="853">
        <f t="shared" si="97"/>
        <v>0</v>
      </c>
      <c r="BG115" s="853">
        <f t="shared" si="97"/>
        <v>0</v>
      </c>
      <c r="BH115" s="853">
        <f t="shared" si="97"/>
        <v>0</v>
      </c>
      <c r="BI115" s="853">
        <f t="shared" si="97"/>
        <v>0</v>
      </c>
      <c r="BJ115" s="853">
        <f t="shared" si="97"/>
        <v>0</v>
      </c>
      <c r="BK115" s="853">
        <f t="shared" si="97"/>
        <v>0</v>
      </c>
      <c r="BL115" s="853">
        <f t="shared" si="97"/>
        <v>0</v>
      </c>
      <c r="BM115" s="853">
        <f t="shared" si="97"/>
        <v>0</v>
      </c>
      <c r="BN115" s="853">
        <f t="shared" si="97"/>
        <v>0</v>
      </c>
      <c r="BO115" s="854">
        <f t="shared" si="86"/>
        <v>0</v>
      </c>
      <c r="BP115" s="853">
        <f t="shared" si="87"/>
        <v>0</v>
      </c>
      <c r="BQ115" s="853">
        <f t="shared" si="87"/>
        <v>0</v>
      </c>
      <c r="BR115" s="853">
        <f t="shared" si="87"/>
        <v>0</v>
      </c>
      <c r="BS115" s="853">
        <f t="shared" si="98"/>
        <v>0</v>
      </c>
      <c r="BT115" s="853">
        <f t="shared" si="98"/>
        <v>0</v>
      </c>
      <c r="BU115" s="853">
        <f t="shared" si="98"/>
        <v>0</v>
      </c>
      <c r="BV115" s="853">
        <f t="shared" si="98"/>
        <v>9.0666666666666682</v>
      </c>
      <c r="BW115" s="853">
        <f t="shared" si="98"/>
        <v>27.2</v>
      </c>
      <c r="BX115" s="853">
        <f t="shared" si="98"/>
        <v>45.333333333333336</v>
      </c>
      <c r="BY115" s="853">
        <f t="shared" si="98"/>
        <v>63.466666666666669</v>
      </c>
      <c r="BZ115" s="853">
        <f t="shared" si="98"/>
        <v>72.533333333333346</v>
      </c>
      <c r="CA115" s="853">
        <f t="shared" si="98"/>
        <v>81.600000000000009</v>
      </c>
      <c r="CB115" s="854">
        <f t="shared" si="88"/>
        <v>299.20000000000005</v>
      </c>
      <c r="CC115" s="853">
        <f t="shared" si="89"/>
        <v>78.417600000000007</v>
      </c>
      <c r="CD115" s="853">
        <f t="shared" si="89"/>
        <v>81.600000000000009</v>
      </c>
      <c r="CE115" s="853">
        <f t="shared" si="89"/>
        <v>81.600000000000009</v>
      </c>
      <c r="CF115" s="853">
        <f t="shared" si="99"/>
        <v>81.600000000000009</v>
      </c>
      <c r="CG115" s="853">
        <f t="shared" si="99"/>
        <v>81.600000000000009</v>
      </c>
      <c r="CH115" s="853">
        <f t="shared" si="99"/>
        <v>81.600000000000009</v>
      </c>
      <c r="CI115" s="853">
        <f t="shared" si="99"/>
        <v>81.600000000000009</v>
      </c>
      <c r="CJ115" s="853">
        <f t="shared" si="99"/>
        <v>81.600000000000009</v>
      </c>
      <c r="CK115" s="853">
        <f t="shared" si="99"/>
        <v>81.600000000000009</v>
      </c>
      <c r="CL115" s="853">
        <f t="shared" si="99"/>
        <v>81.600000000000009</v>
      </c>
      <c r="CM115" s="853">
        <f t="shared" si="99"/>
        <v>81.600000000000009</v>
      </c>
      <c r="CN115" s="853">
        <f t="shared" si="99"/>
        <v>81.600000000000009</v>
      </c>
      <c r="CO115" s="854">
        <f t="shared" si="90"/>
        <v>976.01760000000024</v>
      </c>
      <c r="CP115" s="855">
        <f t="shared" si="91"/>
        <v>1275.2176000000004</v>
      </c>
    </row>
    <row r="116" spans="1:94">
      <c r="A116" s="845">
        <v>34</v>
      </c>
      <c r="B116" s="846" t="s">
        <v>1701</v>
      </c>
      <c r="C116" s="859">
        <v>2</v>
      </c>
      <c r="D116" s="847">
        <f>'Xpert needs'!AB84</f>
        <v>1035.6000000000001</v>
      </c>
      <c r="E116" s="847">
        <f t="shared" si="71"/>
        <v>86.300000000000011</v>
      </c>
      <c r="F116" s="848">
        <f t="shared" si="72"/>
        <v>4.5026086956521745</v>
      </c>
      <c r="G116" s="849">
        <f t="shared" si="73"/>
        <v>2.2513043478260872</v>
      </c>
      <c r="H116" s="847">
        <f t="shared" si="74"/>
        <v>1035.6000000000001</v>
      </c>
      <c r="I116" s="847">
        <f t="shared" si="75"/>
        <v>86.300000000000011</v>
      </c>
      <c r="J116" s="848">
        <f t="shared" si="76"/>
        <v>4.5026086956521745</v>
      </c>
      <c r="K116" s="849">
        <f t="shared" si="77"/>
        <v>2.2513043478260872</v>
      </c>
      <c r="L116" s="858">
        <f>H116*90%</f>
        <v>932.04000000000019</v>
      </c>
      <c r="M116" s="847">
        <f t="shared" si="79"/>
        <v>77.670000000000016</v>
      </c>
      <c r="N116" s="848">
        <f t="shared" si="80"/>
        <v>4.0523478260869572</v>
      </c>
      <c r="O116" s="849">
        <f t="shared" si="81"/>
        <v>2.0261739130434786</v>
      </c>
      <c r="P116" s="850"/>
      <c r="Q116" s="850"/>
      <c r="R116" s="850"/>
      <c r="S116" s="850"/>
      <c r="T116" s="850"/>
      <c r="U116" s="850"/>
      <c r="V116" s="850"/>
      <c r="W116" s="850"/>
      <c r="X116" s="850"/>
      <c r="Y116" s="850"/>
      <c r="Z116" s="850"/>
      <c r="AA116" s="850"/>
      <c r="AB116" s="851">
        <f t="shared" si="82"/>
        <v>0</v>
      </c>
      <c r="AC116" s="850"/>
      <c r="AD116" s="850"/>
      <c r="AE116" s="850"/>
      <c r="AF116" s="850"/>
      <c r="AG116" s="850"/>
      <c r="AH116" s="850"/>
      <c r="AI116" s="852">
        <v>0.1</v>
      </c>
      <c r="AJ116" s="850">
        <v>0.3</v>
      </c>
      <c r="AK116" s="850">
        <v>0.5</v>
      </c>
      <c r="AL116" s="850">
        <v>0.7</v>
      </c>
      <c r="AM116" s="850">
        <v>0.8</v>
      </c>
      <c r="AN116" s="850">
        <v>0.9</v>
      </c>
      <c r="AO116" s="851">
        <f t="shared" si="83"/>
        <v>0.27499999999999997</v>
      </c>
      <c r="AP116" s="850">
        <v>0.96099999999999997</v>
      </c>
      <c r="AQ116" s="850">
        <v>1</v>
      </c>
      <c r="AR116" s="850">
        <v>1</v>
      </c>
      <c r="AS116" s="850">
        <v>1</v>
      </c>
      <c r="AT116" s="850">
        <v>1</v>
      </c>
      <c r="AU116" s="850">
        <v>1</v>
      </c>
      <c r="AV116" s="850">
        <v>1</v>
      </c>
      <c r="AW116" s="850">
        <v>1</v>
      </c>
      <c r="AX116" s="850">
        <v>1</v>
      </c>
      <c r="AY116" s="850">
        <v>1</v>
      </c>
      <c r="AZ116" s="850">
        <v>1</v>
      </c>
      <c r="BA116" s="850">
        <v>1</v>
      </c>
      <c r="BB116" s="851">
        <f t="shared" si="84"/>
        <v>0.99675000000000036</v>
      </c>
      <c r="BC116" s="853">
        <f t="shared" si="85"/>
        <v>0</v>
      </c>
      <c r="BD116" s="853">
        <f t="shared" si="85"/>
        <v>0</v>
      </c>
      <c r="BE116" s="853">
        <f t="shared" si="85"/>
        <v>0</v>
      </c>
      <c r="BF116" s="853">
        <f t="shared" si="97"/>
        <v>0</v>
      </c>
      <c r="BG116" s="853">
        <f t="shared" si="97"/>
        <v>0</v>
      </c>
      <c r="BH116" s="853">
        <f t="shared" si="97"/>
        <v>0</v>
      </c>
      <c r="BI116" s="853">
        <f t="shared" si="97"/>
        <v>0</v>
      </c>
      <c r="BJ116" s="853">
        <f t="shared" si="97"/>
        <v>0</v>
      </c>
      <c r="BK116" s="853">
        <f t="shared" si="97"/>
        <v>0</v>
      </c>
      <c r="BL116" s="853">
        <f t="shared" si="97"/>
        <v>0</v>
      </c>
      <c r="BM116" s="853">
        <f t="shared" si="97"/>
        <v>0</v>
      </c>
      <c r="BN116" s="853">
        <f t="shared" si="97"/>
        <v>0</v>
      </c>
      <c r="BO116" s="854">
        <f t="shared" si="86"/>
        <v>0</v>
      </c>
      <c r="BP116" s="853">
        <f t="shared" si="87"/>
        <v>0</v>
      </c>
      <c r="BQ116" s="853">
        <f t="shared" si="87"/>
        <v>0</v>
      </c>
      <c r="BR116" s="853">
        <f t="shared" si="87"/>
        <v>0</v>
      </c>
      <c r="BS116" s="853">
        <f t="shared" si="98"/>
        <v>0</v>
      </c>
      <c r="BT116" s="853">
        <f t="shared" si="98"/>
        <v>0</v>
      </c>
      <c r="BU116" s="853">
        <f t="shared" si="98"/>
        <v>0</v>
      </c>
      <c r="BV116" s="853">
        <f t="shared" si="98"/>
        <v>8.6300000000000008</v>
      </c>
      <c r="BW116" s="853">
        <f t="shared" si="98"/>
        <v>25.890000000000004</v>
      </c>
      <c r="BX116" s="853">
        <f t="shared" si="98"/>
        <v>43.150000000000006</v>
      </c>
      <c r="BY116" s="853">
        <f t="shared" si="98"/>
        <v>60.410000000000004</v>
      </c>
      <c r="BZ116" s="853">
        <f t="shared" si="98"/>
        <v>69.040000000000006</v>
      </c>
      <c r="CA116" s="853">
        <f t="shared" si="98"/>
        <v>77.670000000000016</v>
      </c>
      <c r="CB116" s="854">
        <f t="shared" si="88"/>
        <v>284.79000000000002</v>
      </c>
      <c r="CC116" s="853">
        <f t="shared" si="89"/>
        <v>74.640870000000007</v>
      </c>
      <c r="CD116" s="853">
        <f t="shared" si="89"/>
        <v>77.670000000000016</v>
      </c>
      <c r="CE116" s="853">
        <f t="shared" si="89"/>
        <v>77.670000000000016</v>
      </c>
      <c r="CF116" s="853">
        <f t="shared" si="99"/>
        <v>77.670000000000016</v>
      </c>
      <c r="CG116" s="853">
        <f t="shared" si="99"/>
        <v>77.670000000000016</v>
      </c>
      <c r="CH116" s="853">
        <f t="shared" si="99"/>
        <v>77.670000000000016</v>
      </c>
      <c r="CI116" s="853">
        <f t="shared" si="99"/>
        <v>77.670000000000016</v>
      </c>
      <c r="CJ116" s="853">
        <f t="shared" si="99"/>
        <v>77.670000000000016</v>
      </c>
      <c r="CK116" s="853">
        <f t="shared" si="99"/>
        <v>77.670000000000016</v>
      </c>
      <c r="CL116" s="853">
        <f t="shared" si="99"/>
        <v>77.670000000000016</v>
      </c>
      <c r="CM116" s="853">
        <f t="shared" si="99"/>
        <v>77.670000000000016</v>
      </c>
      <c r="CN116" s="853">
        <f t="shared" si="99"/>
        <v>77.670000000000016</v>
      </c>
      <c r="CO116" s="854">
        <f t="shared" si="90"/>
        <v>929.01087000000052</v>
      </c>
      <c r="CP116" s="855">
        <f t="shared" si="91"/>
        <v>1213.8008700000005</v>
      </c>
    </row>
    <row r="117" spans="1:94">
      <c r="A117" s="845">
        <v>35</v>
      </c>
      <c r="B117" s="846" t="s">
        <v>1702</v>
      </c>
      <c r="C117" s="847">
        <v>2</v>
      </c>
      <c r="D117" s="847">
        <f>'Xpert needs'!AB85</f>
        <v>590.4</v>
      </c>
      <c r="E117" s="847">
        <f t="shared" si="71"/>
        <v>49.199999999999996</v>
      </c>
      <c r="F117" s="848">
        <f t="shared" si="72"/>
        <v>2.5669565217391304</v>
      </c>
      <c r="G117" s="849">
        <f t="shared" si="73"/>
        <v>1.2834782608695652</v>
      </c>
      <c r="H117" s="847">
        <f t="shared" si="74"/>
        <v>590.4</v>
      </c>
      <c r="I117" s="847">
        <f t="shared" si="75"/>
        <v>49.199999999999996</v>
      </c>
      <c r="J117" s="848">
        <f t="shared" si="76"/>
        <v>2.5669565217391304</v>
      </c>
      <c r="K117" s="849">
        <f t="shared" si="77"/>
        <v>1.2834782608695652</v>
      </c>
      <c r="L117" s="858">
        <f>H117*95%</f>
        <v>560.88</v>
      </c>
      <c r="M117" s="847">
        <f t="shared" si="79"/>
        <v>46.74</v>
      </c>
      <c r="N117" s="848">
        <f t="shared" si="80"/>
        <v>2.438608695652174</v>
      </c>
      <c r="O117" s="849">
        <f t="shared" si="81"/>
        <v>1.219304347826087</v>
      </c>
      <c r="P117" s="850"/>
      <c r="Q117" s="850"/>
      <c r="R117" s="850"/>
      <c r="S117" s="850"/>
      <c r="T117" s="850"/>
      <c r="U117" s="850"/>
      <c r="V117" s="850"/>
      <c r="W117" s="850"/>
      <c r="X117" s="850"/>
      <c r="Y117" s="850"/>
      <c r="Z117" s="850"/>
      <c r="AA117" s="850"/>
      <c r="AB117" s="851">
        <f t="shared" si="82"/>
        <v>0</v>
      </c>
      <c r="AC117" s="850"/>
      <c r="AD117" s="850"/>
      <c r="AE117" s="850"/>
      <c r="AF117" s="850"/>
      <c r="AG117" s="850"/>
      <c r="AH117" s="850"/>
      <c r="AI117" s="852">
        <v>0.1</v>
      </c>
      <c r="AJ117" s="850">
        <v>0.3</v>
      </c>
      <c r="AK117" s="850">
        <v>0.5</v>
      </c>
      <c r="AL117" s="850">
        <v>0.7</v>
      </c>
      <c r="AM117" s="850">
        <v>0.8</v>
      </c>
      <c r="AN117" s="850">
        <v>0.9</v>
      </c>
      <c r="AO117" s="851">
        <f t="shared" si="83"/>
        <v>0.27499999999999997</v>
      </c>
      <c r="AP117" s="850">
        <v>1</v>
      </c>
      <c r="AQ117" s="850">
        <v>1</v>
      </c>
      <c r="AR117" s="850">
        <v>1</v>
      </c>
      <c r="AS117" s="850">
        <v>1</v>
      </c>
      <c r="AT117" s="850">
        <v>1</v>
      </c>
      <c r="AU117" s="850">
        <v>1</v>
      </c>
      <c r="AV117" s="850">
        <v>1</v>
      </c>
      <c r="AW117" s="850">
        <v>1</v>
      </c>
      <c r="AX117" s="850">
        <v>1</v>
      </c>
      <c r="AY117" s="850">
        <v>1</v>
      </c>
      <c r="AZ117" s="850">
        <v>1</v>
      </c>
      <c r="BA117" s="850">
        <v>1</v>
      </c>
      <c r="BB117" s="851">
        <f t="shared" si="84"/>
        <v>1</v>
      </c>
      <c r="BC117" s="853">
        <f t="shared" si="85"/>
        <v>0</v>
      </c>
      <c r="BD117" s="853">
        <f t="shared" si="85"/>
        <v>0</v>
      </c>
      <c r="BE117" s="853">
        <f t="shared" si="85"/>
        <v>0</v>
      </c>
      <c r="BF117" s="853">
        <f t="shared" si="97"/>
        <v>0</v>
      </c>
      <c r="BG117" s="853">
        <f t="shared" si="97"/>
        <v>0</v>
      </c>
      <c r="BH117" s="853">
        <f t="shared" si="97"/>
        <v>0</v>
      </c>
      <c r="BI117" s="853">
        <f t="shared" si="97"/>
        <v>0</v>
      </c>
      <c r="BJ117" s="853">
        <f t="shared" si="97"/>
        <v>0</v>
      </c>
      <c r="BK117" s="853">
        <f t="shared" si="97"/>
        <v>0</v>
      </c>
      <c r="BL117" s="853">
        <f t="shared" si="97"/>
        <v>0</v>
      </c>
      <c r="BM117" s="853">
        <f t="shared" si="97"/>
        <v>0</v>
      </c>
      <c r="BN117" s="853">
        <f t="shared" si="97"/>
        <v>0</v>
      </c>
      <c r="BO117" s="854">
        <f t="shared" si="86"/>
        <v>0</v>
      </c>
      <c r="BP117" s="853">
        <f t="shared" si="87"/>
        <v>0</v>
      </c>
      <c r="BQ117" s="853">
        <f t="shared" si="87"/>
        <v>0</v>
      </c>
      <c r="BR117" s="853">
        <f t="shared" si="87"/>
        <v>0</v>
      </c>
      <c r="BS117" s="853">
        <f t="shared" si="98"/>
        <v>0</v>
      </c>
      <c r="BT117" s="853">
        <f t="shared" si="98"/>
        <v>0</v>
      </c>
      <c r="BU117" s="853">
        <f t="shared" si="98"/>
        <v>0</v>
      </c>
      <c r="BV117" s="853">
        <f t="shared" si="98"/>
        <v>4.92</v>
      </c>
      <c r="BW117" s="853">
        <f t="shared" si="98"/>
        <v>14.759999999999998</v>
      </c>
      <c r="BX117" s="853">
        <f t="shared" si="98"/>
        <v>24.599999999999998</v>
      </c>
      <c r="BY117" s="853">
        <f t="shared" si="98"/>
        <v>34.44</v>
      </c>
      <c r="BZ117" s="853">
        <f t="shared" si="98"/>
        <v>39.36</v>
      </c>
      <c r="CA117" s="853">
        <f t="shared" si="98"/>
        <v>44.279999999999994</v>
      </c>
      <c r="CB117" s="854">
        <f t="shared" si="88"/>
        <v>162.35999999999999</v>
      </c>
      <c r="CC117" s="853">
        <f t="shared" si="89"/>
        <v>46.74</v>
      </c>
      <c r="CD117" s="853">
        <f t="shared" si="89"/>
        <v>46.74</v>
      </c>
      <c r="CE117" s="853">
        <f t="shared" si="89"/>
        <v>46.74</v>
      </c>
      <c r="CF117" s="853">
        <f t="shared" si="99"/>
        <v>46.74</v>
      </c>
      <c r="CG117" s="853">
        <f t="shared" si="99"/>
        <v>46.74</v>
      </c>
      <c r="CH117" s="853">
        <f t="shared" si="99"/>
        <v>46.74</v>
      </c>
      <c r="CI117" s="853">
        <f t="shared" si="99"/>
        <v>46.74</v>
      </c>
      <c r="CJ117" s="853">
        <f t="shared" si="99"/>
        <v>46.74</v>
      </c>
      <c r="CK117" s="853">
        <f t="shared" si="99"/>
        <v>46.74</v>
      </c>
      <c r="CL117" s="853">
        <f t="shared" si="99"/>
        <v>46.74</v>
      </c>
      <c r="CM117" s="853">
        <f t="shared" si="99"/>
        <v>46.74</v>
      </c>
      <c r="CN117" s="853">
        <f t="shared" si="99"/>
        <v>46.74</v>
      </c>
      <c r="CO117" s="854">
        <f t="shared" si="90"/>
        <v>560.88</v>
      </c>
      <c r="CP117" s="855">
        <f t="shared" si="91"/>
        <v>723.24</v>
      </c>
    </row>
    <row r="118" spans="1:94">
      <c r="A118" s="845">
        <v>36</v>
      </c>
      <c r="B118" s="846" t="s">
        <v>1703</v>
      </c>
      <c r="C118" s="847">
        <v>2</v>
      </c>
      <c r="D118" s="847">
        <f>'Xpert needs'!AB86</f>
        <v>473.6</v>
      </c>
      <c r="E118" s="847">
        <f t="shared" si="71"/>
        <v>39.466666666666669</v>
      </c>
      <c r="F118" s="848">
        <f t="shared" si="72"/>
        <v>2.0591304347826087</v>
      </c>
      <c r="G118" s="849">
        <f t="shared" si="73"/>
        <v>1.0295652173913044</v>
      </c>
      <c r="H118" s="847">
        <f t="shared" si="74"/>
        <v>473.6</v>
      </c>
      <c r="I118" s="847">
        <f t="shared" si="75"/>
        <v>39.466666666666669</v>
      </c>
      <c r="J118" s="848">
        <f t="shared" si="76"/>
        <v>2.0591304347826087</v>
      </c>
      <c r="K118" s="849">
        <f t="shared" si="77"/>
        <v>1.0295652173913044</v>
      </c>
      <c r="L118" s="858">
        <f>H118*95%</f>
        <v>449.92</v>
      </c>
      <c r="M118" s="847">
        <f t="shared" si="79"/>
        <v>37.493333333333332</v>
      </c>
      <c r="N118" s="848">
        <f t="shared" si="80"/>
        <v>1.9561739130434783</v>
      </c>
      <c r="O118" s="849">
        <f t="shared" si="81"/>
        <v>0.97808695652173916</v>
      </c>
      <c r="P118" s="850"/>
      <c r="Q118" s="850"/>
      <c r="R118" s="850"/>
      <c r="S118" s="850"/>
      <c r="T118" s="850"/>
      <c r="U118" s="850"/>
      <c r="V118" s="850"/>
      <c r="W118" s="850"/>
      <c r="X118" s="850"/>
      <c r="Y118" s="850"/>
      <c r="Z118" s="850"/>
      <c r="AA118" s="850"/>
      <c r="AB118" s="851">
        <f t="shared" si="82"/>
        <v>0</v>
      </c>
      <c r="AC118" s="850"/>
      <c r="AD118" s="850"/>
      <c r="AE118" s="850"/>
      <c r="AF118" s="850"/>
      <c r="AG118" s="850"/>
      <c r="AH118" s="850"/>
      <c r="AI118" s="852">
        <v>0.1</v>
      </c>
      <c r="AJ118" s="850">
        <v>0.3</v>
      </c>
      <c r="AK118" s="850">
        <v>0.5</v>
      </c>
      <c r="AL118" s="850">
        <v>0.7</v>
      </c>
      <c r="AM118" s="850">
        <v>0.8</v>
      </c>
      <c r="AN118" s="850">
        <v>0.9</v>
      </c>
      <c r="AO118" s="851">
        <f t="shared" si="83"/>
        <v>0.27500000000000002</v>
      </c>
      <c r="AP118" s="850">
        <v>1</v>
      </c>
      <c r="AQ118" s="850">
        <v>1</v>
      </c>
      <c r="AR118" s="850">
        <v>1</v>
      </c>
      <c r="AS118" s="850">
        <v>1</v>
      </c>
      <c r="AT118" s="850">
        <v>1</v>
      </c>
      <c r="AU118" s="850">
        <v>1</v>
      </c>
      <c r="AV118" s="850">
        <v>1</v>
      </c>
      <c r="AW118" s="850">
        <v>1</v>
      </c>
      <c r="AX118" s="850">
        <v>1</v>
      </c>
      <c r="AY118" s="850">
        <v>1</v>
      </c>
      <c r="AZ118" s="850">
        <v>1</v>
      </c>
      <c r="BA118" s="850">
        <v>1</v>
      </c>
      <c r="BB118" s="851">
        <f t="shared" si="84"/>
        <v>1</v>
      </c>
      <c r="BC118" s="853">
        <f t="shared" si="85"/>
        <v>0</v>
      </c>
      <c r="BD118" s="853">
        <f t="shared" si="85"/>
        <v>0</v>
      </c>
      <c r="BE118" s="853">
        <f t="shared" si="85"/>
        <v>0</v>
      </c>
      <c r="BF118" s="853">
        <f t="shared" si="97"/>
        <v>0</v>
      </c>
      <c r="BG118" s="853">
        <f t="shared" si="97"/>
        <v>0</v>
      </c>
      <c r="BH118" s="853">
        <f t="shared" si="97"/>
        <v>0</v>
      </c>
      <c r="BI118" s="853">
        <f t="shared" si="97"/>
        <v>0</v>
      </c>
      <c r="BJ118" s="853">
        <f t="shared" si="97"/>
        <v>0</v>
      </c>
      <c r="BK118" s="853">
        <f t="shared" si="97"/>
        <v>0</v>
      </c>
      <c r="BL118" s="853">
        <f t="shared" si="97"/>
        <v>0</v>
      </c>
      <c r="BM118" s="853">
        <f t="shared" si="97"/>
        <v>0</v>
      </c>
      <c r="BN118" s="853">
        <f t="shared" si="97"/>
        <v>0</v>
      </c>
      <c r="BO118" s="854">
        <f t="shared" si="86"/>
        <v>0</v>
      </c>
      <c r="BP118" s="853">
        <f t="shared" si="87"/>
        <v>0</v>
      </c>
      <c r="BQ118" s="853">
        <f t="shared" si="87"/>
        <v>0</v>
      </c>
      <c r="BR118" s="853">
        <f t="shared" si="87"/>
        <v>0</v>
      </c>
      <c r="BS118" s="853">
        <f t="shared" si="98"/>
        <v>0</v>
      </c>
      <c r="BT118" s="853">
        <f t="shared" si="98"/>
        <v>0</v>
      </c>
      <c r="BU118" s="853">
        <f t="shared" si="98"/>
        <v>0</v>
      </c>
      <c r="BV118" s="853">
        <f t="shared" si="98"/>
        <v>3.9466666666666672</v>
      </c>
      <c r="BW118" s="853">
        <f t="shared" si="98"/>
        <v>11.84</v>
      </c>
      <c r="BX118" s="853">
        <f t="shared" si="98"/>
        <v>19.733333333333334</v>
      </c>
      <c r="BY118" s="853">
        <f t="shared" si="98"/>
        <v>27.626666666666665</v>
      </c>
      <c r="BZ118" s="853">
        <f t="shared" si="98"/>
        <v>31.573333333333338</v>
      </c>
      <c r="CA118" s="853">
        <f t="shared" si="98"/>
        <v>35.520000000000003</v>
      </c>
      <c r="CB118" s="854">
        <f t="shared" si="88"/>
        <v>130.24</v>
      </c>
      <c r="CC118" s="853">
        <f t="shared" si="89"/>
        <v>37.493333333333332</v>
      </c>
      <c r="CD118" s="853">
        <f t="shared" si="89"/>
        <v>37.493333333333332</v>
      </c>
      <c r="CE118" s="853">
        <f t="shared" si="89"/>
        <v>37.493333333333332</v>
      </c>
      <c r="CF118" s="853">
        <f t="shared" si="99"/>
        <v>37.493333333333332</v>
      </c>
      <c r="CG118" s="853">
        <f t="shared" si="99"/>
        <v>37.493333333333332</v>
      </c>
      <c r="CH118" s="853">
        <f t="shared" si="99"/>
        <v>37.493333333333332</v>
      </c>
      <c r="CI118" s="853">
        <f t="shared" si="99"/>
        <v>37.493333333333332</v>
      </c>
      <c r="CJ118" s="853">
        <f t="shared" si="99"/>
        <v>37.493333333333332</v>
      </c>
      <c r="CK118" s="853">
        <f t="shared" si="99"/>
        <v>37.493333333333332</v>
      </c>
      <c r="CL118" s="853">
        <f t="shared" si="99"/>
        <v>37.493333333333332</v>
      </c>
      <c r="CM118" s="853">
        <f t="shared" si="99"/>
        <v>37.493333333333332</v>
      </c>
      <c r="CN118" s="853">
        <f t="shared" si="99"/>
        <v>37.493333333333332</v>
      </c>
      <c r="CO118" s="854">
        <f t="shared" si="90"/>
        <v>449.92</v>
      </c>
      <c r="CP118" s="855">
        <f t="shared" si="91"/>
        <v>580.16000000000008</v>
      </c>
    </row>
    <row r="119" spans="1:94" s="838" customFormat="1" ht="15.75">
      <c r="A119" s="860"/>
      <c r="B119" s="860" t="str">
        <f>B61</f>
        <v>Civilian TB services (without NCTLD)</v>
      </c>
      <c r="C119" s="861">
        <f>SUM(C83:C118)</f>
        <v>92</v>
      </c>
      <c r="D119" s="861">
        <f>SUM(D83:D118)</f>
        <v>24733.549999999996</v>
      </c>
      <c r="E119" s="861">
        <f>D119/12</f>
        <v>2061.1291666666662</v>
      </c>
      <c r="F119" s="862">
        <f t="shared" si="72"/>
        <v>107.53717391304346</v>
      </c>
      <c r="G119" s="863">
        <f t="shared" si="73"/>
        <v>1.1688823251417768</v>
      </c>
      <c r="H119" s="861">
        <f>SUM(H83:H118)</f>
        <v>24733.549999999996</v>
      </c>
      <c r="I119" s="861">
        <f>H119/12</f>
        <v>2061.1291666666662</v>
      </c>
      <c r="J119" s="862">
        <f t="shared" si="76"/>
        <v>107.53717391304346</v>
      </c>
      <c r="K119" s="863">
        <f>J119/C119</f>
        <v>1.1688823251417768</v>
      </c>
      <c r="L119" s="861">
        <f>SUM(L83:L118)</f>
        <v>23863.087020000003</v>
      </c>
      <c r="M119" s="861">
        <f>L119/12</f>
        <v>1988.5905850000001</v>
      </c>
      <c r="N119" s="862">
        <f t="shared" si="80"/>
        <v>103.75255226086958</v>
      </c>
      <c r="O119" s="863">
        <f>N119/C119</f>
        <v>1.1277451332703214</v>
      </c>
      <c r="P119" s="864"/>
      <c r="Q119" s="864"/>
      <c r="R119" s="864"/>
      <c r="S119" s="864"/>
      <c r="T119" s="864"/>
      <c r="U119" s="864"/>
      <c r="V119" s="864"/>
      <c r="W119" s="864"/>
      <c r="X119" s="864"/>
      <c r="Y119" s="864"/>
      <c r="Z119" s="864"/>
      <c r="AA119" s="864"/>
      <c r="AB119" s="865">
        <f t="shared" si="82"/>
        <v>0.50616369263611571</v>
      </c>
      <c r="AC119" s="864"/>
      <c r="AD119" s="864"/>
      <c r="AE119" s="864"/>
      <c r="AF119" s="864"/>
      <c r="AG119" s="864"/>
      <c r="AH119" s="864"/>
      <c r="AI119" s="864"/>
      <c r="AJ119" s="864"/>
      <c r="AK119" s="864"/>
      <c r="AL119" s="864"/>
      <c r="AM119" s="864"/>
      <c r="AN119" s="864"/>
      <c r="AO119" s="865">
        <f>CB119/$H119</f>
        <v>0.7425376832952274</v>
      </c>
      <c r="AP119" s="864"/>
      <c r="AQ119" s="864"/>
      <c r="AR119" s="864"/>
      <c r="AS119" s="864"/>
      <c r="AT119" s="864"/>
      <c r="AU119" s="864"/>
      <c r="AV119" s="864"/>
      <c r="AW119" s="864"/>
      <c r="AX119" s="864"/>
      <c r="AY119" s="864"/>
      <c r="AZ119" s="864"/>
      <c r="BA119" s="864"/>
      <c r="BB119" s="865">
        <f>CO119/$L119</f>
        <v>0.99696026908536461</v>
      </c>
      <c r="BC119" s="866">
        <f t="shared" ref="BC119:BN119" si="103">SUM(BC83:BC118)</f>
        <v>970.34416666666664</v>
      </c>
      <c r="BD119" s="866">
        <f t="shared" si="103"/>
        <v>998.4758333333333</v>
      </c>
      <c r="BE119" s="866">
        <f t="shared" si="103"/>
        <v>1026.6075000000001</v>
      </c>
      <c r="BF119" s="866">
        <f t="shared" si="103"/>
        <v>1043.4216666666666</v>
      </c>
      <c r="BG119" s="866">
        <f t="shared" si="103"/>
        <v>1047.5216666666665</v>
      </c>
      <c r="BH119" s="866">
        <f t="shared" si="103"/>
        <v>1051.6216666666667</v>
      </c>
      <c r="BI119" s="866">
        <f t="shared" si="103"/>
        <v>1059.2774999999999</v>
      </c>
      <c r="BJ119" s="866">
        <f t="shared" si="103"/>
        <v>1059.2774999999999</v>
      </c>
      <c r="BK119" s="866">
        <f t="shared" si="103"/>
        <v>1059.2774999999999</v>
      </c>
      <c r="BL119" s="866">
        <f t="shared" si="103"/>
        <v>1067.7999999999997</v>
      </c>
      <c r="BM119" s="866">
        <f t="shared" si="103"/>
        <v>1067.7999999999997</v>
      </c>
      <c r="BN119" s="866">
        <f t="shared" si="103"/>
        <v>1067.7999999999997</v>
      </c>
      <c r="BO119" s="867">
        <f t="shared" si="86"/>
        <v>12519.224999999997</v>
      </c>
      <c r="BP119" s="866">
        <f t="shared" ref="BP119:CA119" si="104">SUM(BP83:BP118)</f>
        <v>1201.5341666666666</v>
      </c>
      <c r="BQ119" s="866">
        <f t="shared" si="104"/>
        <v>1228.7758333333331</v>
      </c>
      <c r="BR119" s="866">
        <f t="shared" si="104"/>
        <v>1256.0174999999999</v>
      </c>
      <c r="BS119" s="866">
        <f t="shared" si="104"/>
        <v>1295.000833333333</v>
      </c>
      <c r="BT119" s="866">
        <f t="shared" si="104"/>
        <v>1356.6875</v>
      </c>
      <c r="BU119" s="866">
        <f t="shared" si="104"/>
        <v>1414.8183333333334</v>
      </c>
      <c r="BV119" s="866">
        <f t="shared" si="104"/>
        <v>1512.1335416666668</v>
      </c>
      <c r="BW119" s="866">
        <f t="shared" si="104"/>
        <v>1625.3579166666666</v>
      </c>
      <c r="BX119" s="866">
        <f t="shared" si="104"/>
        <v>1738.5822916666664</v>
      </c>
      <c r="BY119" s="866">
        <f t="shared" si="104"/>
        <v>1851.8066666666668</v>
      </c>
      <c r="BZ119" s="866">
        <f t="shared" si="104"/>
        <v>1912.2283333333332</v>
      </c>
      <c r="CA119" s="866">
        <f t="shared" si="104"/>
        <v>1972.6499999999999</v>
      </c>
      <c r="CB119" s="867">
        <f t="shared" si="88"/>
        <v>18365.592916666668</v>
      </c>
      <c r="CC119" s="866">
        <f t="shared" ref="CC119:CN119" si="105">SUM(CC83:CC118)</f>
        <v>1944.1107216666669</v>
      </c>
      <c r="CD119" s="866">
        <f t="shared" si="105"/>
        <v>1969.8855850000002</v>
      </c>
      <c r="CE119" s="866">
        <f t="shared" si="105"/>
        <v>1979.2380850000004</v>
      </c>
      <c r="CF119" s="866">
        <f t="shared" si="105"/>
        <v>1988.5905850000001</v>
      </c>
      <c r="CG119" s="866">
        <f t="shared" si="105"/>
        <v>1988.5905850000001</v>
      </c>
      <c r="CH119" s="866">
        <f t="shared" si="105"/>
        <v>1988.5905850000001</v>
      </c>
      <c r="CI119" s="866">
        <f t="shared" si="105"/>
        <v>1988.5905850000001</v>
      </c>
      <c r="CJ119" s="866">
        <f t="shared" si="105"/>
        <v>1988.5905850000001</v>
      </c>
      <c r="CK119" s="866">
        <f t="shared" si="105"/>
        <v>1988.5905850000001</v>
      </c>
      <c r="CL119" s="866">
        <f t="shared" si="105"/>
        <v>1988.5905850000001</v>
      </c>
      <c r="CM119" s="866">
        <f t="shared" si="105"/>
        <v>1988.5905850000001</v>
      </c>
      <c r="CN119" s="866">
        <f t="shared" si="105"/>
        <v>1988.5905850000001</v>
      </c>
      <c r="CO119" s="867">
        <f t="shared" si="90"/>
        <v>23790.549656666673</v>
      </c>
      <c r="CP119" s="868">
        <f t="shared" si="91"/>
        <v>54675.367573333337</v>
      </c>
    </row>
    <row r="120" spans="1:94">
      <c r="A120" s="856">
        <v>37</v>
      </c>
      <c r="B120" s="846" t="s">
        <v>1333</v>
      </c>
      <c r="C120" s="847">
        <v>4</v>
      </c>
      <c r="D120" s="847">
        <f>'Xpert needs'!AB88*25%</f>
        <v>1236.6775000000002</v>
      </c>
      <c r="E120" s="847">
        <f t="shared" ref="E120:E123" si="106">D120/12</f>
        <v>103.05645833333335</v>
      </c>
      <c r="F120" s="848">
        <f t="shared" si="72"/>
        <v>5.3768586956521753</v>
      </c>
      <c r="G120" s="849">
        <f t="shared" si="73"/>
        <v>1.3442146739130438</v>
      </c>
      <c r="H120" s="847">
        <f t="shared" ref="H120:H123" si="107">D120</f>
        <v>1236.6775000000002</v>
      </c>
      <c r="I120" s="847">
        <f t="shared" ref="I120:I123" si="108">H120/12</f>
        <v>103.05645833333335</v>
      </c>
      <c r="J120" s="848">
        <f t="shared" si="76"/>
        <v>5.3768586956521753</v>
      </c>
      <c r="K120" s="849">
        <f t="shared" ref="K120:K123" si="109">J120/C120</f>
        <v>1.3442146739130438</v>
      </c>
      <c r="L120" s="858">
        <f>H120*90%</f>
        <v>1113.0097500000002</v>
      </c>
      <c r="M120" s="847">
        <f t="shared" ref="M120:M123" si="110">L120/12</f>
        <v>92.750812500000009</v>
      </c>
      <c r="N120" s="848">
        <f t="shared" si="80"/>
        <v>4.8391728260869575</v>
      </c>
      <c r="O120" s="849">
        <f t="shared" ref="O120:O123" si="111">N120/C120</f>
        <v>1.2097932065217394</v>
      </c>
      <c r="P120" s="857">
        <v>1.4</v>
      </c>
      <c r="Q120" s="850">
        <v>1.4</v>
      </c>
      <c r="R120" s="850">
        <v>1.4</v>
      </c>
      <c r="S120" s="850">
        <v>1.4</v>
      </c>
      <c r="T120" s="850">
        <v>1.4</v>
      </c>
      <c r="U120" s="850">
        <v>1.4</v>
      </c>
      <c r="V120" s="850">
        <v>1.4</v>
      </c>
      <c r="W120" s="850">
        <v>1.4</v>
      </c>
      <c r="X120" s="850">
        <v>1.4</v>
      </c>
      <c r="Y120" s="850">
        <v>1.4</v>
      </c>
      <c r="Z120" s="850">
        <v>1.4</v>
      </c>
      <c r="AA120" s="850">
        <v>1.4</v>
      </c>
      <c r="AB120" s="851">
        <f t="shared" si="82"/>
        <v>1.3999999999999997</v>
      </c>
      <c r="AC120" s="850">
        <v>1.2</v>
      </c>
      <c r="AD120" s="850">
        <v>1.2</v>
      </c>
      <c r="AE120" s="850">
        <v>1.2</v>
      </c>
      <c r="AF120" s="850">
        <v>1.2</v>
      </c>
      <c r="AG120" s="850">
        <v>1.2</v>
      </c>
      <c r="AH120" s="850">
        <v>1.2</v>
      </c>
      <c r="AI120" s="850">
        <v>1.1000000000000001</v>
      </c>
      <c r="AJ120" s="850">
        <v>1.1000000000000001</v>
      </c>
      <c r="AK120" s="850">
        <v>1</v>
      </c>
      <c r="AL120" s="850">
        <v>1</v>
      </c>
      <c r="AM120" s="850">
        <v>1</v>
      </c>
      <c r="AN120" s="850">
        <v>1</v>
      </c>
      <c r="AO120" s="851">
        <f t="shared" ref="AO120:AO123" si="112">CB120/$H120</f>
        <v>1.1166666666666669</v>
      </c>
      <c r="AP120" s="850">
        <v>1</v>
      </c>
      <c r="AQ120" s="850">
        <v>1</v>
      </c>
      <c r="AR120" s="850">
        <v>1</v>
      </c>
      <c r="AS120" s="850">
        <v>1</v>
      </c>
      <c r="AT120" s="850">
        <v>1</v>
      </c>
      <c r="AU120" s="850">
        <v>1</v>
      </c>
      <c r="AV120" s="850">
        <v>1</v>
      </c>
      <c r="AW120" s="850">
        <v>1</v>
      </c>
      <c r="AX120" s="850">
        <v>1</v>
      </c>
      <c r="AY120" s="850">
        <v>1</v>
      </c>
      <c r="AZ120" s="850">
        <v>1</v>
      </c>
      <c r="BA120" s="850">
        <v>1</v>
      </c>
      <c r="BB120" s="851">
        <f t="shared" ref="BB120:BB123" si="113">CO120/$L120</f>
        <v>1.0000000000000002</v>
      </c>
      <c r="BC120" s="853">
        <f t="shared" ref="BC120:BN123" si="114">$E120*P120</f>
        <v>144.27904166666667</v>
      </c>
      <c r="BD120" s="853">
        <f t="shared" si="114"/>
        <v>144.27904166666667</v>
      </c>
      <c r="BE120" s="853">
        <f t="shared" si="114"/>
        <v>144.27904166666667</v>
      </c>
      <c r="BF120" s="853">
        <f t="shared" si="114"/>
        <v>144.27904166666667</v>
      </c>
      <c r="BG120" s="853">
        <f t="shared" si="114"/>
        <v>144.27904166666667</v>
      </c>
      <c r="BH120" s="853">
        <f t="shared" si="114"/>
        <v>144.27904166666667</v>
      </c>
      <c r="BI120" s="853">
        <f t="shared" si="114"/>
        <v>144.27904166666667</v>
      </c>
      <c r="BJ120" s="853">
        <f t="shared" si="114"/>
        <v>144.27904166666667</v>
      </c>
      <c r="BK120" s="853">
        <f t="shared" si="114"/>
        <v>144.27904166666667</v>
      </c>
      <c r="BL120" s="853">
        <f t="shared" si="114"/>
        <v>144.27904166666667</v>
      </c>
      <c r="BM120" s="853">
        <f t="shared" si="114"/>
        <v>144.27904166666667</v>
      </c>
      <c r="BN120" s="853">
        <f t="shared" si="114"/>
        <v>144.27904166666667</v>
      </c>
      <c r="BO120" s="854">
        <f t="shared" si="86"/>
        <v>1731.3485000000001</v>
      </c>
      <c r="BP120" s="853">
        <f t="shared" ref="BP120:CA123" si="115">$I120*AC120</f>
        <v>123.66775000000001</v>
      </c>
      <c r="BQ120" s="853">
        <f t="shared" si="115"/>
        <v>123.66775000000001</v>
      </c>
      <c r="BR120" s="853">
        <f t="shared" si="115"/>
        <v>123.66775000000001</v>
      </c>
      <c r="BS120" s="853">
        <f t="shared" si="115"/>
        <v>123.66775000000001</v>
      </c>
      <c r="BT120" s="853">
        <f t="shared" si="115"/>
        <v>123.66775000000001</v>
      </c>
      <c r="BU120" s="853">
        <f t="shared" si="115"/>
        <v>123.66775000000001</v>
      </c>
      <c r="BV120" s="853">
        <f t="shared" si="115"/>
        <v>113.3621041666667</v>
      </c>
      <c r="BW120" s="853">
        <f t="shared" si="115"/>
        <v>113.3621041666667</v>
      </c>
      <c r="BX120" s="853">
        <f t="shared" si="115"/>
        <v>103.05645833333335</v>
      </c>
      <c r="BY120" s="853">
        <f t="shared" si="115"/>
        <v>103.05645833333335</v>
      </c>
      <c r="BZ120" s="853">
        <f t="shared" si="115"/>
        <v>103.05645833333335</v>
      </c>
      <c r="CA120" s="853">
        <f t="shared" si="115"/>
        <v>103.05645833333335</v>
      </c>
      <c r="CB120" s="854">
        <f t="shared" si="88"/>
        <v>1380.9565416666674</v>
      </c>
      <c r="CC120" s="853">
        <f t="shared" ref="CC120:CN123" si="116">$M120*AP120</f>
        <v>92.750812500000009</v>
      </c>
      <c r="CD120" s="853">
        <f t="shared" si="116"/>
        <v>92.750812500000009</v>
      </c>
      <c r="CE120" s="853">
        <f t="shared" si="116"/>
        <v>92.750812500000009</v>
      </c>
      <c r="CF120" s="853">
        <f t="shared" si="116"/>
        <v>92.750812500000009</v>
      </c>
      <c r="CG120" s="853">
        <f t="shared" si="116"/>
        <v>92.750812500000009</v>
      </c>
      <c r="CH120" s="853">
        <f t="shared" si="116"/>
        <v>92.750812500000009</v>
      </c>
      <c r="CI120" s="853">
        <f t="shared" si="116"/>
        <v>92.750812500000009</v>
      </c>
      <c r="CJ120" s="853">
        <f t="shared" si="116"/>
        <v>92.750812500000009</v>
      </c>
      <c r="CK120" s="853">
        <f t="shared" si="116"/>
        <v>92.750812500000009</v>
      </c>
      <c r="CL120" s="853">
        <f t="shared" si="116"/>
        <v>92.750812500000009</v>
      </c>
      <c r="CM120" s="853">
        <f t="shared" si="116"/>
        <v>92.750812500000009</v>
      </c>
      <c r="CN120" s="853">
        <f t="shared" si="116"/>
        <v>92.750812500000009</v>
      </c>
      <c r="CO120" s="854">
        <f t="shared" si="90"/>
        <v>1113.0097500000004</v>
      </c>
      <c r="CP120" s="855">
        <f t="shared" si="91"/>
        <v>4225.3147916666676</v>
      </c>
    </row>
    <row r="121" spans="1:94">
      <c r="A121" s="856">
        <v>38</v>
      </c>
      <c r="B121" s="846" t="s">
        <v>1334</v>
      </c>
      <c r="C121" s="847">
        <v>4</v>
      </c>
      <c r="D121" s="847">
        <f>'Xpert needs'!AB88*25%</f>
        <v>1236.6775000000002</v>
      </c>
      <c r="E121" s="847">
        <f t="shared" si="106"/>
        <v>103.05645833333335</v>
      </c>
      <c r="F121" s="848">
        <f t="shared" si="72"/>
        <v>5.3768586956521753</v>
      </c>
      <c r="G121" s="849">
        <f t="shared" si="73"/>
        <v>1.3442146739130438</v>
      </c>
      <c r="H121" s="847">
        <f t="shared" si="107"/>
        <v>1236.6775000000002</v>
      </c>
      <c r="I121" s="847">
        <f t="shared" si="108"/>
        <v>103.05645833333335</v>
      </c>
      <c r="J121" s="848">
        <f t="shared" si="76"/>
        <v>5.3768586956521753</v>
      </c>
      <c r="K121" s="849">
        <f t="shared" si="109"/>
        <v>1.3442146739130438</v>
      </c>
      <c r="L121" s="858">
        <f t="shared" ref="L121:L122" si="117">H121*90%</f>
        <v>1113.0097500000002</v>
      </c>
      <c r="M121" s="847">
        <f t="shared" si="110"/>
        <v>92.750812500000009</v>
      </c>
      <c r="N121" s="848">
        <f t="shared" si="80"/>
        <v>4.8391728260869575</v>
      </c>
      <c r="O121" s="849">
        <f t="shared" si="111"/>
        <v>1.2097932065217394</v>
      </c>
      <c r="P121" s="857">
        <f>P120</f>
        <v>1.4</v>
      </c>
      <c r="Q121" s="850">
        <f t="shared" ref="Q121:AA121" si="118">Q120</f>
        <v>1.4</v>
      </c>
      <c r="R121" s="850">
        <f t="shared" si="118"/>
        <v>1.4</v>
      </c>
      <c r="S121" s="850">
        <f t="shared" si="118"/>
        <v>1.4</v>
      </c>
      <c r="T121" s="850">
        <f t="shared" si="118"/>
        <v>1.4</v>
      </c>
      <c r="U121" s="850">
        <f t="shared" si="118"/>
        <v>1.4</v>
      </c>
      <c r="V121" s="850">
        <f t="shared" si="118"/>
        <v>1.4</v>
      </c>
      <c r="W121" s="850">
        <f t="shared" si="118"/>
        <v>1.4</v>
      </c>
      <c r="X121" s="850">
        <f t="shared" si="118"/>
        <v>1.4</v>
      </c>
      <c r="Y121" s="850">
        <f t="shared" si="118"/>
        <v>1.4</v>
      </c>
      <c r="Z121" s="850">
        <f t="shared" si="118"/>
        <v>1.4</v>
      </c>
      <c r="AA121" s="850">
        <f t="shared" si="118"/>
        <v>1.4</v>
      </c>
      <c r="AB121" s="851">
        <f t="shared" si="82"/>
        <v>1.3999999999999997</v>
      </c>
      <c r="AC121" s="850">
        <f t="shared" ref="AC121:AN121" si="119">AC120</f>
        <v>1.2</v>
      </c>
      <c r="AD121" s="850">
        <f t="shared" si="119"/>
        <v>1.2</v>
      </c>
      <c r="AE121" s="850">
        <f t="shared" si="119"/>
        <v>1.2</v>
      </c>
      <c r="AF121" s="850">
        <f t="shared" si="119"/>
        <v>1.2</v>
      </c>
      <c r="AG121" s="850">
        <f t="shared" si="119"/>
        <v>1.2</v>
      </c>
      <c r="AH121" s="850">
        <f t="shared" si="119"/>
        <v>1.2</v>
      </c>
      <c r="AI121" s="850">
        <f t="shared" si="119"/>
        <v>1.1000000000000001</v>
      </c>
      <c r="AJ121" s="850">
        <f t="shared" si="119"/>
        <v>1.1000000000000001</v>
      </c>
      <c r="AK121" s="850">
        <f t="shared" si="119"/>
        <v>1</v>
      </c>
      <c r="AL121" s="850">
        <f t="shared" si="119"/>
        <v>1</v>
      </c>
      <c r="AM121" s="850">
        <f t="shared" si="119"/>
        <v>1</v>
      </c>
      <c r="AN121" s="850">
        <f t="shared" si="119"/>
        <v>1</v>
      </c>
      <c r="AO121" s="851">
        <f t="shared" si="112"/>
        <v>1.1166666666666669</v>
      </c>
      <c r="AP121" s="850">
        <v>1</v>
      </c>
      <c r="AQ121" s="850">
        <v>1</v>
      </c>
      <c r="AR121" s="850">
        <v>1</v>
      </c>
      <c r="AS121" s="850">
        <v>1</v>
      </c>
      <c r="AT121" s="850">
        <v>1</v>
      </c>
      <c r="AU121" s="850">
        <v>1</v>
      </c>
      <c r="AV121" s="850">
        <v>1</v>
      </c>
      <c r="AW121" s="850">
        <v>1</v>
      </c>
      <c r="AX121" s="850">
        <v>1</v>
      </c>
      <c r="AY121" s="850">
        <v>1</v>
      </c>
      <c r="AZ121" s="850">
        <v>1</v>
      </c>
      <c r="BA121" s="850">
        <v>1</v>
      </c>
      <c r="BB121" s="851">
        <f t="shared" si="113"/>
        <v>1.0000000000000002</v>
      </c>
      <c r="BC121" s="853">
        <f t="shared" si="114"/>
        <v>144.27904166666667</v>
      </c>
      <c r="BD121" s="853">
        <f t="shared" si="114"/>
        <v>144.27904166666667</v>
      </c>
      <c r="BE121" s="853">
        <f t="shared" si="114"/>
        <v>144.27904166666667</v>
      </c>
      <c r="BF121" s="853">
        <f t="shared" si="114"/>
        <v>144.27904166666667</v>
      </c>
      <c r="BG121" s="853">
        <f t="shared" si="114"/>
        <v>144.27904166666667</v>
      </c>
      <c r="BH121" s="853">
        <f t="shared" si="114"/>
        <v>144.27904166666667</v>
      </c>
      <c r="BI121" s="853">
        <f t="shared" si="114"/>
        <v>144.27904166666667</v>
      </c>
      <c r="BJ121" s="853">
        <f t="shared" si="114"/>
        <v>144.27904166666667</v>
      </c>
      <c r="BK121" s="853">
        <f t="shared" si="114"/>
        <v>144.27904166666667</v>
      </c>
      <c r="BL121" s="853">
        <f t="shared" si="114"/>
        <v>144.27904166666667</v>
      </c>
      <c r="BM121" s="853">
        <f t="shared" si="114"/>
        <v>144.27904166666667</v>
      </c>
      <c r="BN121" s="853">
        <f t="shared" si="114"/>
        <v>144.27904166666667</v>
      </c>
      <c r="BO121" s="854">
        <f t="shared" si="86"/>
        <v>1731.3485000000001</v>
      </c>
      <c r="BP121" s="853">
        <f t="shared" si="115"/>
        <v>123.66775000000001</v>
      </c>
      <c r="BQ121" s="853">
        <f t="shared" si="115"/>
        <v>123.66775000000001</v>
      </c>
      <c r="BR121" s="853">
        <f t="shared" si="115"/>
        <v>123.66775000000001</v>
      </c>
      <c r="BS121" s="853">
        <f t="shared" si="115"/>
        <v>123.66775000000001</v>
      </c>
      <c r="BT121" s="853">
        <f t="shared" si="115"/>
        <v>123.66775000000001</v>
      </c>
      <c r="BU121" s="853">
        <f t="shared" si="115"/>
        <v>123.66775000000001</v>
      </c>
      <c r="BV121" s="853">
        <f t="shared" si="115"/>
        <v>113.3621041666667</v>
      </c>
      <c r="BW121" s="853">
        <f t="shared" si="115"/>
        <v>113.3621041666667</v>
      </c>
      <c r="BX121" s="853">
        <f t="shared" si="115"/>
        <v>103.05645833333335</v>
      </c>
      <c r="BY121" s="853">
        <f t="shared" si="115"/>
        <v>103.05645833333335</v>
      </c>
      <c r="BZ121" s="853">
        <f t="shared" si="115"/>
        <v>103.05645833333335</v>
      </c>
      <c r="CA121" s="853">
        <f t="shared" si="115"/>
        <v>103.05645833333335</v>
      </c>
      <c r="CB121" s="854">
        <f t="shared" si="88"/>
        <v>1380.9565416666674</v>
      </c>
      <c r="CC121" s="853">
        <f t="shared" si="116"/>
        <v>92.750812500000009</v>
      </c>
      <c r="CD121" s="853">
        <f t="shared" si="116"/>
        <v>92.750812500000009</v>
      </c>
      <c r="CE121" s="853">
        <f t="shared" si="116"/>
        <v>92.750812500000009</v>
      </c>
      <c r="CF121" s="853">
        <f t="shared" si="116"/>
        <v>92.750812500000009</v>
      </c>
      <c r="CG121" s="853">
        <f t="shared" si="116"/>
        <v>92.750812500000009</v>
      </c>
      <c r="CH121" s="853">
        <f t="shared" si="116"/>
        <v>92.750812500000009</v>
      </c>
      <c r="CI121" s="853">
        <f t="shared" si="116"/>
        <v>92.750812500000009</v>
      </c>
      <c r="CJ121" s="853">
        <f t="shared" si="116"/>
        <v>92.750812500000009</v>
      </c>
      <c r="CK121" s="853">
        <f t="shared" si="116"/>
        <v>92.750812500000009</v>
      </c>
      <c r="CL121" s="853">
        <f t="shared" si="116"/>
        <v>92.750812500000009</v>
      </c>
      <c r="CM121" s="853">
        <f t="shared" si="116"/>
        <v>92.750812500000009</v>
      </c>
      <c r="CN121" s="853">
        <f t="shared" si="116"/>
        <v>92.750812500000009</v>
      </c>
      <c r="CO121" s="854">
        <f t="shared" si="90"/>
        <v>1113.0097500000004</v>
      </c>
      <c r="CP121" s="855">
        <f t="shared" si="91"/>
        <v>4225.3147916666676</v>
      </c>
    </row>
    <row r="122" spans="1:94">
      <c r="A122" s="856">
        <v>39</v>
      </c>
      <c r="B122" s="846" t="s">
        <v>1335</v>
      </c>
      <c r="C122" s="847">
        <v>4</v>
      </c>
      <c r="D122" s="847">
        <f>'Xpert needs'!AB88*25%</f>
        <v>1236.6775000000002</v>
      </c>
      <c r="E122" s="847">
        <f t="shared" si="106"/>
        <v>103.05645833333335</v>
      </c>
      <c r="F122" s="848">
        <f t="shared" si="72"/>
        <v>5.3768586956521753</v>
      </c>
      <c r="G122" s="849">
        <f t="shared" si="73"/>
        <v>1.3442146739130438</v>
      </c>
      <c r="H122" s="847">
        <f t="shared" si="107"/>
        <v>1236.6775000000002</v>
      </c>
      <c r="I122" s="847">
        <f t="shared" si="108"/>
        <v>103.05645833333335</v>
      </c>
      <c r="J122" s="848">
        <f t="shared" si="76"/>
        <v>5.3768586956521753</v>
      </c>
      <c r="K122" s="849">
        <f t="shared" si="109"/>
        <v>1.3442146739130438</v>
      </c>
      <c r="L122" s="858">
        <f t="shared" si="117"/>
        <v>1113.0097500000002</v>
      </c>
      <c r="M122" s="847">
        <f t="shared" si="110"/>
        <v>92.750812500000009</v>
      </c>
      <c r="N122" s="848">
        <f t="shared" si="80"/>
        <v>4.8391728260869575</v>
      </c>
      <c r="O122" s="849">
        <f t="shared" si="111"/>
        <v>1.2097932065217394</v>
      </c>
      <c r="P122" s="857">
        <f>P120</f>
        <v>1.4</v>
      </c>
      <c r="Q122" s="850">
        <f t="shared" ref="Q122:AA122" si="120">Q120</f>
        <v>1.4</v>
      </c>
      <c r="R122" s="850">
        <f t="shared" si="120"/>
        <v>1.4</v>
      </c>
      <c r="S122" s="850">
        <f t="shared" si="120"/>
        <v>1.4</v>
      </c>
      <c r="T122" s="850">
        <f t="shared" si="120"/>
        <v>1.4</v>
      </c>
      <c r="U122" s="850">
        <f t="shared" si="120"/>
        <v>1.4</v>
      </c>
      <c r="V122" s="850">
        <f t="shared" si="120"/>
        <v>1.4</v>
      </c>
      <c r="W122" s="850">
        <f t="shared" si="120"/>
        <v>1.4</v>
      </c>
      <c r="X122" s="850">
        <f t="shared" si="120"/>
        <v>1.4</v>
      </c>
      <c r="Y122" s="850">
        <f t="shared" si="120"/>
        <v>1.4</v>
      </c>
      <c r="Z122" s="850">
        <f t="shared" si="120"/>
        <v>1.4</v>
      </c>
      <c r="AA122" s="850">
        <f t="shared" si="120"/>
        <v>1.4</v>
      </c>
      <c r="AB122" s="851">
        <f t="shared" si="82"/>
        <v>1.3999999999999997</v>
      </c>
      <c r="AC122" s="850">
        <f t="shared" ref="AC122:AN122" si="121">AC120</f>
        <v>1.2</v>
      </c>
      <c r="AD122" s="850">
        <f t="shared" si="121"/>
        <v>1.2</v>
      </c>
      <c r="AE122" s="850">
        <f t="shared" si="121"/>
        <v>1.2</v>
      </c>
      <c r="AF122" s="850">
        <f t="shared" si="121"/>
        <v>1.2</v>
      </c>
      <c r="AG122" s="850">
        <f t="shared" si="121"/>
        <v>1.2</v>
      </c>
      <c r="AH122" s="850">
        <f t="shared" si="121"/>
        <v>1.2</v>
      </c>
      <c r="AI122" s="850">
        <f t="shared" si="121"/>
        <v>1.1000000000000001</v>
      </c>
      <c r="AJ122" s="850">
        <f t="shared" si="121"/>
        <v>1.1000000000000001</v>
      </c>
      <c r="AK122" s="850">
        <f t="shared" si="121"/>
        <v>1</v>
      </c>
      <c r="AL122" s="850">
        <f t="shared" si="121"/>
        <v>1</v>
      </c>
      <c r="AM122" s="850">
        <f t="shared" si="121"/>
        <v>1</v>
      </c>
      <c r="AN122" s="850">
        <f t="shared" si="121"/>
        <v>1</v>
      </c>
      <c r="AO122" s="851">
        <f t="shared" si="112"/>
        <v>1.1166666666666669</v>
      </c>
      <c r="AP122" s="850">
        <v>1</v>
      </c>
      <c r="AQ122" s="850">
        <v>1</v>
      </c>
      <c r="AR122" s="850">
        <v>1</v>
      </c>
      <c r="AS122" s="850">
        <v>1</v>
      </c>
      <c r="AT122" s="850">
        <v>1</v>
      </c>
      <c r="AU122" s="850">
        <v>1</v>
      </c>
      <c r="AV122" s="850">
        <v>1</v>
      </c>
      <c r="AW122" s="850">
        <v>1</v>
      </c>
      <c r="AX122" s="850">
        <v>1</v>
      </c>
      <c r="AY122" s="850">
        <v>1</v>
      </c>
      <c r="AZ122" s="850">
        <v>1</v>
      </c>
      <c r="BA122" s="850">
        <v>1</v>
      </c>
      <c r="BB122" s="851">
        <f t="shared" si="113"/>
        <v>1.0000000000000002</v>
      </c>
      <c r="BC122" s="853">
        <f t="shared" si="114"/>
        <v>144.27904166666667</v>
      </c>
      <c r="BD122" s="853">
        <f t="shared" si="114"/>
        <v>144.27904166666667</v>
      </c>
      <c r="BE122" s="853">
        <f t="shared" si="114"/>
        <v>144.27904166666667</v>
      </c>
      <c r="BF122" s="853">
        <f t="shared" si="114"/>
        <v>144.27904166666667</v>
      </c>
      <c r="BG122" s="853">
        <f t="shared" si="114"/>
        <v>144.27904166666667</v>
      </c>
      <c r="BH122" s="853">
        <f t="shared" si="114"/>
        <v>144.27904166666667</v>
      </c>
      <c r="BI122" s="853">
        <f t="shared" si="114"/>
        <v>144.27904166666667</v>
      </c>
      <c r="BJ122" s="853">
        <f t="shared" si="114"/>
        <v>144.27904166666667</v>
      </c>
      <c r="BK122" s="853">
        <f t="shared" si="114"/>
        <v>144.27904166666667</v>
      </c>
      <c r="BL122" s="853">
        <f t="shared" si="114"/>
        <v>144.27904166666667</v>
      </c>
      <c r="BM122" s="853">
        <f t="shared" si="114"/>
        <v>144.27904166666667</v>
      </c>
      <c r="BN122" s="853">
        <f t="shared" si="114"/>
        <v>144.27904166666667</v>
      </c>
      <c r="BO122" s="854">
        <f t="shared" si="86"/>
        <v>1731.3485000000001</v>
      </c>
      <c r="BP122" s="853">
        <f t="shared" si="115"/>
        <v>123.66775000000001</v>
      </c>
      <c r="BQ122" s="853">
        <f t="shared" si="115"/>
        <v>123.66775000000001</v>
      </c>
      <c r="BR122" s="853">
        <f t="shared" si="115"/>
        <v>123.66775000000001</v>
      </c>
      <c r="BS122" s="853">
        <f t="shared" si="115"/>
        <v>123.66775000000001</v>
      </c>
      <c r="BT122" s="853">
        <f t="shared" si="115"/>
        <v>123.66775000000001</v>
      </c>
      <c r="BU122" s="853">
        <f t="shared" si="115"/>
        <v>123.66775000000001</v>
      </c>
      <c r="BV122" s="853">
        <f t="shared" si="115"/>
        <v>113.3621041666667</v>
      </c>
      <c r="BW122" s="853">
        <f t="shared" si="115"/>
        <v>113.3621041666667</v>
      </c>
      <c r="BX122" s="853">
        <f t="shared" si="115"/>
        <v>103.05645833333335</v>
      </c>
      <c r="BY122" s="853">
        <f t="shared" si="115"/>
        <v>103.05645833333335</v>
      </c>
      <c r="BZ122" s="853">
        <f t="shared" si="115"/>
        <v>103.05645833333335</v>
      </c>
      <c r="CA122" s="853">
        <f t="shared" si="115"/>
        <v>103.05645833333335</v>
      </c>
      <c r="CB122" s="854">
        <f t="shared" si="88"/>
        <v>1380.9565416666674</v>
      </c>
      <c r="CC122" s="853">
        <f t="shared" si="116"/>
        <v>92.750812500000009</v>
      </c>
      <c r="CD122" s="853">
        <f t="shared" si="116"/>
        <v>92.750812500000009</v>
      </c>
      <c r="CE122" s="853">
        <f t="shared" si="116"/>
        <v>92.750812500000009</v>
      </c>
      <c r="CF122" s="853">
        <f t="shared" si="116"/>
        <v>92.750812500000009</v>
      </c>
      <c r="CG122" s="853">
        <f t="shared" si="116"/>
        <v>92.750812500000009</v>
      </c>
      <c r="CH122" s="853">
        <f t="shared" si="116"/>
        <v>92.750812500000009</v>
      </c>
      <c r="CI122" s="853">
        <f t="shared" si="116"/>
        <v>92.750812500000009</v>
      </c>
      <c r="CJ122" s="853">
        <f t="shared" si="116"/>
        <v>92.750812500000009</v>
      </c>
      <c r="CK122" s="853">
        <f t="shared" si="116"/>
        <v>92.750812500000009</v>
      </c>
      <c r="CL122" s="853">
        <f t="shared" si="116"/>
        <v>92.750812500000009</v>
      </c>
      <c r="CM122" s="853">
        <f t="shared" si="116"/>
        <v>92.750812500000009</v>
      </c>
      <c r="CN122" s="853">
        <f t="shared" si="116"/>
        <v>92.750812500000009</v>
      </c>
      <c r="CO122" s="854">
        <f t="shared" si="90"/>
        <v>1113.0097500000004</v>
      </c>
      <c r="CP122" s="855">
        <f t="shared" si="91"/>
        <v>4225.3147916666676</v>
      </c>
    </row>
    <row r="123" spans="1:94">
      <c r="A123" s="856">
        <v>40</v>
      </c>
      <c r="B123" s="846" t="s">
        <v>1336</v>
      </c>
      <c r="C123" s="847">
        <v>4</v>
      </c>
      <c r="D123" s="847">
        <f>'Xpert needs'!AB88*25%</f>
        <v>1236.6775000000002</v>
      </c>
      <c r="E123" s="847">
        <f t="shared" si="106"/>
        <v>103.05645833333335</v>
      </c>
      <c r="F123" s="848">
        <f t="shared" si="72"/>
        <v>5.3768586956521753</v>
      </c>
      <c r="G123" s="849">
        <f t="shared" si="73"/>
        <v>1.3442146739130438</v>
      </c>
      <c r="H123" s="847">
        <f t="shared" si="107"/>
        <v>1236.6775000000002</v>
      </c>
      <c r="I123" s="847">
        <f t="shared" si="108"/>
        <v>103.05645833333335</v>
      </c>
      <c r="J123" s="848">
        <f t="shared" si="76"/>
        <v>5.3768586956521753</v>
      </c>
      <c r="K123" s="849">
        <f t="shared" si="109"/>
        <v>1.3442146739130438</v>
      </c>
      <c r="L123" s="858">
        <f>H123*0%</f>
        <v>0</v>
      </c>
      <c r="M123" s="847">
        <f t="shared" si="110"/>
        <v>0</v>
      </c>
      <c r="N123" s="848">
        <f t="shared" si="80"/>
        <v>0</v>
      </c>
      <c r="O123" s="849">
        <f t="shared" si="111"/>
        <v>0</v>
      </c>
      <c r="P123" s="857">
        <v>1.2</v>
      </c>
      <c r="Q123" s="850">
        <v>1.2</v>
      </c>
      <c r="R123" s="850">
        <v>1.2</v>
      </c>
      <c r="S123" s="850">
        <v>1.2</v>
      </c>
      <c r="T123" s="850">
        <v>1.2</v>
      </c>
      <c r="U123" s="850">
        <v>1.2</v>
      </c>
      <c r="V123" s="850">
        <v>1.2</v>
      </c>
      <c r="W123" s="850">
        <v>1.2</v>
      </c>
      <c r="X123" s="850">
        <v>1.2</v>
      </c>
      <c r="Y123" s="850">
        <v>1.2</v>
      </c>
      <c r="Z123" s="850">
        <v>1.25</v>
      </c>
      <c r="AA123" s="850">
        <v>1.25</v>
      </c>
      <c r="AB123" s="851">
        <f t="shared" si="82"/>
        <v>1.2083333333333335</v>
      </c>
      <c r="AC123" s="850">
        <v>1.03</v>
      </c>
      <c r="AD123" s="850">
        <v>1</v>
      </c>
      <c r="AE123" s="850">
        <v>1</v>
      </c>
      <c r="AF123" s="850">
        <v>1</v>
      </c>
      <c r="AG123" s="850">
        <v>1</v>
      </c>
      <c r="AH123" s="850">
        <v>1</v>
      </c>
      <c r="AI123" s="850">
        <v>0.95</v>
      </c>
      <c r="AJ123" s="850">
        <v>0.9</v>
      </c>
      <c r="AK123" s="850">
        <v>0.85</v>
      </c>
      <c r="AL123" s="850">
        <v>0.8</v>
      </c>
      <c r="AM123" s="850">
        <v>0.7</v>
      </c>
      <c r="AN123" s="850">
        <v>0.6</v>
      </c>
      <c r="AO123" s="851">
        <f t="shared" si="112"/>
        <v>0.90250000000000008</v>
      </c>
      <c r="AP123" s="850"/>
      <c r="AQ123" s="850"/>
      <c r="AR123" s="850"/>
      <c r="AS123" s="850"/>
      <c r="AT123" s="850"/>
      <c r="AU123" s="850"/>
      <c r="AV123" s="850"/>
      <c r="AW123" s="850"/>
      <c r="AX123" s="850"/>
      <c r="AY123" s="850"/>
      <c r="AZ123" s="850"/>
      <c r="BA123" s="850"/>
      <c r="BB123" s="851" t="e">
        <f t="shared" si="113"/>
        <v>#DIV/0!</v>
      </c>
      <c r="BC123" s="853">
        <f t="shared" si="114"/>
        <v>123.66775000000001</v>
      </c>
      <c r="BD123" s="853">
        <f t="shared" si="114"/>
        <v>123.66775000000001</v>
      </c>
      <c r="BE123" s="853">
        <f t="shared" si="114"/>
        <v>123.66775000000001</v>
      </c>
      <c r="BF123" s="853">
        <f t="shared" si="114"/>
        <v>123.66775000000001</v>
      </c>
      <c r="BG123" s="853">
        <f t="shared" si="114"/>
        <v>123.66775000000001</v>
      </c>
      <c r="BH123" s="853">
        <f t="shared" si="114"/>
        <v>123.66775000000001</v>
      </c>
      <c r="BI123" s="853">
        <f t="shared" si="114"/>
        <v>123.66775000000001</v>
      </c>
      <c r="BJ123" s="853">
        <f t="shared" si="114"/>
        <v>123.66775000000001</v>
      </c>
      <c r="BK123" s="853">
        <f t="shared" si="114"/>
        <v>123.66775000000001</v>
      </c>
      <c r="BL123" s="853">
        <f t="shared" si="114"/>
        <v>123.66775000000001</v>
      </c>
      <c r="BM123" s="853">
        <f t="shared" si="114"/>
        <v>128.82057291666669</v>
      </c>
      <c r="BN123" s="853">
        <f t="shared" si="114"/>
        <v>128.82057291666669</v>
      </c>
      <c r="BO123" s="854">
        <f t="shared" si="86"/>
        <v>1494.3186458333337</v>
      </c>
      <c r="BP123" s="853">
        <f t="shared" si="115"/>
        <v>106.14815208333336</v>
      </c>
      <c r="BQ123" s="853">
        <f t="shared" si="115"/>
        <v>103.05645833333335</v>
      </c>
      <c r="BR123" s="853">
        <f t="shared" si="115"/>
        <v>103.05645833333335</v>
      </c>
      <c r="BS123" s="853">
        <f t="shared" si="115"/>
        <v>103.05645833333335</v>
      </c>
      <c r="BT123" s="853">
        <f t="shared" si="115"/>
        <v>103.05645833333335</v>
      </c>
      <c r="BU123" s="853">
        <f t="shared" si="115"/>
        <v>103.05645833333335</v>
      </c>
      <c r="BV123" s="853">
        <f t="shared" si="115"/>
        <v>97.903635416666674</v>
      </c>
      <c r="BW123" s="853">
        <f t="shared" si="115"/>
        <v>92.750812500000023</v>
      </c>
      <c r="BX123" s="853">
        <f t="shared" si="115"/>
        <v>87.597989583333344</v>
      </c>
      <c r="BY123" s="853">
        <f t="shared" si="115"/>
        <v>82.445166666666694</v>
      </c>
      <c r="BZ123" s="853">
        <f t="shared" si="115"/>
        <v>72.139520833333336</v>
      </c>
      <c r="CA123" s="853">
        <f t="shared" si="115"/>
        <v>61.833875000000006</v>
      </c>
      <c r="CB123" s="854">
        <f t="shared" si="88"/>
        <v>1116.1014437500003</v>
      </c>
      <c r="CC123" s="853">
        <f t="shared" si="116"/>
        <v>0</v>
      </c>
      <c r="CD123" s="853">
        <f t="shared" si="116"/>
        <v>0</v>
      </c>
      <c r="CE123" s="853">
        <f t="shared" si="116"/>
        <v>0</v>
      </c>
      <c r="CF123" s="853">
        <f t="shared" si="116"/>
        <v>0</v>
      </c>
      <c r="CG123" s="853">
        <f t="shared" si="116"/>
        <v>0</v>
      </c>
      <c r="CH123" s="853">
        <f t="shared" si="116"/>
        <v>0</v>
      </c>
      <c r="CI123" s="853">
        <f t="shared" si="116"/>
        <v>0</v>
      </c>
      <c r="CJ123" s="853">
        <f t="shared" si="116"/>
        <v>0</v>
      </c>
      <c r="CK123" s="853">
        <f t="shared" si="116"/>
        <v>0</v>
      </c>
      <c r="CL123" s="853">
        <f t="shared" si="116"/>
        <v>0</v>
      </c>
      <c r="CM123" s="853">
        <f t="shared" si="116"/>
        <v>0</v>
      </c>
      <c r="CN123" s="853">
        <f t="shared" si="116"/>
        <v>0</v>
      </c>
      <c r="CO123" s="854">
        <f t="shared" si="90"/>
        <v>0</v>
      </c>
      <c r="CP123" s="855">
        <f t="shared" si="91"/>
        <v>2610.4200895833337</v>
      </c>
    </row>
    <row r="124" spans="1:94" s="838" customFormat="1" ht="15.75">
      <c r="A124" s="860"/>
      <c r="B124" s="860" t="str">
        <f>B66</f>
        <v>Civilian TB services</v>
      </c>
      <c r="C124" s="861">
        <f>SUM(C119:C123)</f>
        <v>108</v>
      </c>
      <c r="D124" s="861">
        <f>SUM(D119:D123)</f>
        <v>29680.260000000002</v>
      </c>
      <c r="E124" s="861">
        <f>D124/12</f>
        <v>2473.355</v>
      </c>
      <c r="F124" s="862">
        <f t="shared" si="72"/>
        <v>129.04460869565219</v>
      </c>
      <c r="G124" s="863">
        <f t="shared" si="73"/>
        <v>1.1948574879227054</v>
      </c>
      <c r="H124" s="861">
        <f>SUM(H119:H123)</f>
        <v>29680.260000000002</v>
      </c>
      <c r="I124" s="861">
        <f>H124/12</f>
        <v>2473.355</v>
      </c>
      <c r="J124" s="862">
        <f t="shared" si="76"/>
        <v>129.04460869565219</v>
      </c>
      <c r="K124" s="863">
        <f>J124/C124</f>
        <v>1.1948574879227054</v>
      </c>
      <c r="L124" s="861">
        <f>SUM(L119:L123)</f>
        <v>27202.116270000006</v>
      </c>
      <c r="M124" s="861">
        <f>L124/12</f>
        <v>2266.8430225000006</v>
      </c>
      <c r="N124" s="862">
        <f t="shared" si="80"/>
        <v>118.27007073913046</v>
      </c>
      <c r="O124" s="863">
        <f>N124/C124</f>
        <v>1.0950932475845414</v>
      </c>
      <c r="P124" s="864"/>
      <c r="Q124" s="864"/>
      <c r="R124" s="864"/>
      <c r="S124" s="864"/>
      <c r="T124" s="864"/>
      <c r="U124" s="864"/>
      <c r="V124" s="864"/>
      <c r="W124" s="864"/>
      <c r="X124" s="864"/>
      <c r="Y124" s="864"/>
      <c r="Z124" s="864"/>
      <c r="AA124" s="864"/>
      <c r="AB124" s="865">
        <f t="shared" si="82"/>
        <v>0.64715029941898539</v>
      </c>
      <c r="AC124" s="864"/>
      <c r="AD124" s="864"/>
      <c r="AE124" s="864"/>
      <c r="AF124" s="864"/>
      <c r="AG124" s="864"/>
      <c r="AH124" s="864"/>
      <c r="AI124" s="864"/>
      <c r="AJ124" s="864"/>
      <c r="AK124" s="864"/>
      <c r="AL124" s="864"/>
      <c r="AM124" s="864"/>
      <c r="AN124" s="864"/>
      <c r="AO124" s="865">
        <f>CB124/$H124</f>
        <v>0.79596890274602272</v>
      </c>
      <c r="AP124" s="864"/>
      <c r="AQ124" s="864"/>
      <c r="AR124" s="864"/>
      <c r="AS124" s="864"/>
      <c r="AT124" s="864"/>
      <c r="AU124" s="864"/>
      <c r="AV124" s="864"/>
      <c r="AW124" s="864"/>
      <c r="AX124" s="864"/>
      <c r="AY124" s="864"/>
      <c r="AZ124" s="864"/>
      <c r="BA124" s="864"/>
      <c r="BB124" s="865">
        <f>CO124/$L124</f>
        <v>0.99733339264440513</v>
      </c>
      <c r="BC124" s="866">
        <f>SUM(BC119:BC123)</f>
        <v>1526.8490416666668</v>
      </c>
      <c r="BD124" s="866">
        <f t="shared" ref="BD124:BN124" si="122">SUM(BD119:BD123)</f>
        <v>1554.9807083333335</v>
      </c>
      <c r="BE124" s="866">
        <f t="shared" si="122"/>
        <v>1583.1123750000002</v>
      </c>
      <c r="BF124" s="866">
        <f t="shared" si="122"/>
        <v>1599.9265416666667</v>
      </c>
      <c r="BG124" s="866">
        <f t="shared" si="122"/>
        <v>1604.0265416666666</v>
      </c>
      <c r="BH124" s="866">
        <f t="shared" si="122"/>
        <v>1608.1265416666668</v>
      </c>
      <c r="BI124" s="866">
        <f t="shared" si="122"/>
        <v>1615.782375</v>
      </c>
      <c r="BJ124" s="866">
        <f t="shared" si="122"/>
        <v>1615.782375</v>
      </c>
      <c r="BK124" s="866">
        <f t="shared" si="122"/>
        <v>1615.782375</v>
      </c>
      <c r="BL124" s="866">
        <f t="shared" si="122"/>
        <v>1624.3048749999998</v>
      </c>
      <c r="BM124" s="866">
        <f t="shared" si="122"/>
        <v>1629.4576979166663</v>
      </c>
      <c r="BN124" s="866">
        <f t="shared" si="122"/>
        <v>1629.4576979166663</v>
      </c>
      <c r="BO124" s="867">
        <f t="shared" si="86"/>
        <v>19207.589145833335</v>
      </c>
      <c r="BP124" s="866">
        <f>SUM(BP119:BP123)</f>
        <v>1678.6855687500001</v>
      </c>
      <c r="BQ124" s="866">
        <f t="shared" ref="BQ124:CA124" si="123">SUM(BQ119:BQ123)</f>
        <v>1702.8355416666668</v>
      </c>
      <c r="BR124" s="866">
        <f t="shared" si="123"/>
        <v>1730.0772083333336</v>
      </c>
      <c r="BS124" s="866">
        <f t="shared" si="123"/>
        <v>1769.0605416666667</v>
      </c>
      <c r="BT124" s="866">
        <f t="shared" si="123"/>
        <v>1830.7472083333337</v>
      </c>
      <c r="BU124" s="866">
        <f t="shared" si="123"/>
        <v>1888.8780416666668</v>
      </c>
      <c r="BV124" s="866">
        <f t="shared" si="123"/>
        <v>1950.1234895833338</v>
      </c>
      <c r="BW124" s="866">
        <f t="shared" si="123"/>
        <v>2058.1950416666668</v>
      </c>
      <c r="BX124" s="866">
        <f t="shared" si="123"/>
        <v>2135.34965625</v>
      </c>
      <c r="BY124" s="866">
        <f t="shared" si="123"/>
        <v>2243.4212083333341</v>
      </c>
      <c r="BZ124" s="866">
        <f t="shared" si="123"/>
        <v>2293.5372291666667</v>
      </c>
      <c r="CA124" s="866">
        <f t="shared" si="123"/>
        <v>2343.6532499999998</v>
      </c>
      <c r="CB124" s="867">
        <f t="shared" si="88"/>
        <v>23624.563985416669</v>
      </c>
      <c r="CC124" s="866">
        <f>SUM(CC119:CC123)</f>
        <v>2222.3631591666667</v>
      </c>
      <c r="CD124" s="866">
        <f t="shared" ref="CD124:CN124" si="124">SUM(CD119:CD123)</f>
        <v>2248.1380225000003</v>
      </c>
      <c r="CE124" s="866">
        <f t="shared" si="124"/>
        <v>2257.4905225000002</v>
      </c>
      <c r="CF124" s="866">
        <f t="shared" si="124"/>
        <v>2266.8430225000002</v>
      </c>
      <c r="CG124" s="866">
        <f t="shared" si="124"/>
        <v>2266.8430225000002</v>
      </c>
      <c r="CH124" s="866">
        <f t="shared" si="124"/>
        <v>2266.8430225000002</v>
      </c>
      <c r="CI124" s="866">
        <f t="shared" si="124"/>
        <v>2266.8430225000002</v>
      </c>
      <c r="CJ124" s="866">
        <f t="shared" si="124"/>
        <v>2266.8430225000002</v>
      </c>
      <c r="CK124" s="866">
        <f t="shared" si="124"/>
        <v>2266.8430225000002</v>
      </c>
      <c r="CL124" s="866">
        <f t="shared" si="124"/>
        <v>2266.8430225000002</v>
      </c>
      <c r="CM124" s="866">
        <f t="shared" si="124"/>
        <v>2266.8430225000002</v>
      </c>
      <c r="CN124" s="866">
        <f t="shared" si="124"/>
        <v>2266.8430225000002</v>
      </c>
      <c r="CO124" s="867">
        <f t="shared" si="90"/>
        <v>27129.578906666677</v>
      </c>
      <c r="CP124" s="868">
        <f t="shared" si="91"/>
        <v>69961.732037916678</v>
      </c>
    </row>
    <row r="125" spans="1:94" s="838" customFormat="1">
      <c r="A125" s="856">
        <v>41</v>
      </c>
      <c r="B125" s="846" t="s">
        <v>1704</v>
      </c>
      <c r="C125" s="847">
        <v>4</v>
      </c>
      <c r="D125" s="847">
        <f>'Xpert needs'!AB90*60%</f>
        <v>900</v>
      </c>
      <c r="E125" s="847">
        <f t="shared" ref="E125:E127" si="125">D125/12</f>
        <v>75</v>
      </c>
      <c r="F125" s="848">
        <f t="shared" si="72"/>
        <v>3.9130434782608696</v>
      </c>
      <c r="G125" s="849">
        <f t="shared" si="73"/>
        <v>0.97826086956521741</v>
      </c>
      <c r="H125" s="847">
        <f t="shared" ref="H125:H127" si="126">D125</f>
        <v>900</v>
      </c>
      <c r="I125" s="847">
        <f t="shared" ref="I125:I127" si="127">H125/12</f>
        <v>75</v>
      </c>
      <c r="J125" s="848">
        <f t="shared" si="76"/>
        <v>3.9130434782608696</v>
      </c>
      <c r="K125" s="849">
        <f t="shared" ref="K125:K127" si="128">J125/C125</f>
        <v>0.97826086956521741</v>
      </c>
      <c r="L125" s="858">
        <f>H125*90%</f>
        <v>810</v>
      </c>
      <c r="M125" s="847">
        <f t="shared" ref="M125:M127" si="129">L125/12</f>
        <v>67.5</v>
      </c>
      <c r="N125" s="848">
        <f t="shared" si="80"/>
        <v>3.5217391304347827</v>
      </c>
      <c r="O125" s="849">
        <f t="shared" ref="O125:O127" si="130">N125/C125</f>
        <v>0.88043478260869568</v>
      </c>
      <c r="P125" s="857">
        <v>1</v>
      </c>
      <c r="Q125" s="850">
        <v>1</v>
      </c>
      <c r="R125" s="850">
        <v>1</v>
      </c>
      <c r="S125" s="850">
        <v>1</v>
      </c>
      <c r="T125" s="850">
        <v>1</v>
      </c>
      <c r="U125" s="850">
        <v>1</v>
      </c>
      <c r="V125" s="850">
        <v>1</v>
      </c>
      <c r="W125" s="850">
        <v>1</v>
      </c>
      <c r="X125" s="850">
        <v>1</v>
      </c>
      <c r="Y125" s="850">
        <v>1</v>
      </c>
      <c r="Z125" s="850">
        <v>1</v>
      </c>
      <c r="AA125" s="850">
        <v>1</v>
      </c>
      <c r="AB125" s="851">
        <f t="shared" si="82"/>
        <v>1</v>
      </c>
      <c r="AC125" s="850">
        <v>1</v>
      </c>
      <c r="AD125" s="850">
        <v>1</v>
      </c>
      <c r="AE125" s="850">
        <v>1</v>
      </c>
      <c r="AF125" s="850">
        <v>1</v>
      </c>
      <c r="AG125" s="850">
        <v>1</v>
      </c>
      <c r="AH125" s="850">
        <v>1</v>
      </c>
      <c r="AI125" s="850">
        <v>1</v>
      </c>
      <c r="AJ125" s="850">
        <v>1</v>
      </c>
      <c r="AK125" s="850">
        <v>1</v>
      </c>
      <c r="AL125" s="850">
        <v>1</v>
      </c>
      <c r="AM125" s="850">
        <v>1</v>
      </c>
      <c r="AN125" s="850">
        <v>1</v>
      </c>
      <c r="AO125" s="851">
        <f t="shared" ref="AO125:AO127" si="131">CB125/$H125</f>
        <v>1</v>
      </c>
      <c r="AP125" s="850">
        <v>1</v>
      </c>
      <c r="AQ125" s="850">
        <v>1</v>
      </c>
      <c r="AR125" s="850">
        <v>1</v>
      </c>
      <c r="AS125" s="850">
        <v>1</v>
      </c>
      <c r="AT125" s="850">
        <v>1</v>
      </c>
      <c r="AU125" s="850">
        <v>1</v>
      </c>
      <c r="AV125" s="850">
        <v>1</v>
      </c>
      <c r="AW125" s="850">
        <v>1</v>
      </c>
      <c r="AX125" s="850">
        <v>1</v>
      </c>
      <c r="AY125" s="850">
        <v>1</v>
      </c>
      <c r="AZ125" s="850">
        <v>1</v>
      </c>
      <c r="BA125" s="850">
        <v>1</v>
      </c>
      <c r="BB125" s="851">
        <f t="shared" ref="BB125:BB127" si="132">CO125/$L125</f>
        <v>1</v>
      </c>
      <c r="BC125" s="853">
        <f t="shared" ref="BC125:BN127" si="133">$E125*P125</f>
        <v>75</v>
      </c>
      <c r="BD125" s="853">
        <f t="shared" si="133"/>
        <v>75</v>
      </c>
      <c r="BE125" s="853">
        <f t="shared" si="133"/>
        <v>75</v>
      </c>
      <c r="BF125" s="853">
        <f t="shared" si="133"/>
        <v>75</v>
      </c>
      <c r="BG125" s="853">
        <f t="shared" si="133"/>
        <v>75</v>
      </c>
      <c r="BH125" s="853">
        <f t="shared" si="133"/>
        <v>75</v>
      </c>
      <c r="BI125" s="853">
        <f t="shared" si="133"/>
        <v>75</v>
      </c>
      <c r="BJ125" s="853">
        <f t="shared" si="133"/>
        <v>75</v>
      </c>
      <c r="BK125" s="853">
        <f t="shared" si="133"/>
        <v>75</v>
      </c>
      <c r="BL125" s="853">
        <f t="shared" si="133"/>
        <v>75</v>
      </c>
      <c r="BM125" s="853">
        <f t="shared" si="133"/>
        <v>75</v>
      </c>
      <c r="BN125" s="853">
        <f t="shared" si="133"/>
        <v>75</v>
      </c>
      <c r="BO125" s="854">
        <f t="shared" si="86"/>
        <v>900</v>
      </c>
      <c r="BP125" s="853">
        <f t="shared" ref="BP125:CA127" si="134">$I125*AC125</f>
        <v>75</v>
      </c>
      <c r="BQ125" s="853">
        <f t="shared" si="134"/>
        <v>75</v>
      </c>
      <c r="BR125" s="853">
        <f t="shared" si="134"/>
        <v>75</v>
      </c>
      <c r="BS125" s="853">
        <f t="shared" si="134"/>
        <v>75</v>
      </c>
      <c r="BT125" s="853">
        <f t="shared" si="134"/>
        <v>75</v>
      </c>
      <c r="BU125" s="853">
        <f t="shared" si="134"/>
        <v>75</v>
      </c>
      <c r="BV125" s="853">
        <f t="shared" si="134"/>
        <v>75</v>
      </c>
      <c r="BW125" s="853">
        <f t="shared" si="134"/>
        <v>75</v>
      </c>
      <c r="BX125" s="853">
        <f t="shared" si="134"/>
        <v>75</v>
      </c>
      <c r="BY125" s="853">
        <f t="shared" si="134"/>
        <v>75</v>
      </c>
      <c r="BZ125" s="853">
        <f t="shared" si="134"/>
        <v>75</v>
      </c>
      <c r="CA125" s="853">
        <f t="shared" si="134"/>
        <v>75</v>
      </c>
      <c r="CB125" s="854">
        <f t="shared" si="88"/>
        <v>900</v>
      </c>
      <c r="CC125" s="853">
        <f t="shared" ref="CC125:CN127" si="135">$M125*AP125</f>
        <v>67.5</v>
      </c>
      <c r="CD125" s="853">
        <f t="shared" si="135"/>
        <v>67.5</v>
      </c>
      <c r="CE125" s="853">
        <f t="shared" si="135"/>
        <v>67.5</v>
      </c>
      <c r="CF125" s="853">
        <f t="shared" si="135"/>
        <v>67.5</v>
      </c>
      <c r="CG125" s="853">
        <f t="shared" si="135"/>
        <v>67.5</v>
      </c>
      <c r="CH125" s="853">
        <f t="shared" si="135"/>
        <v>67.5</v>
      </c>
      <c r="CI125" s="853">
        <f t="shared" si="135"/>
        <v>67.5</v>
      </c>
      <c r="CJ125" s="853">
        <f t="shared" si="135"/>
        <v>67.5</v>
      </c>
      <c r="CK125" s="853">
        <f t="shared" si="135"/>
        <v>67.5</v>
      </c>
      <c r="CL125" s="853">
        <f t="shared" si="135"/>
        <v>67.5</v>
      </c>
      <c r="CM125" s="853">
        <f t="shared" si="135"/>
        <v>67.5</v>
      </c>
      <c r="CN125" s="853">
        <f t="shared" si="135"/>
        <v>67.5</v>
      </c>
      <c r="CO125" s="854">
        <f t="shared" si="90"/>
        <v>810</v>
      </c>
      <c r="CP125" s="855">
        <f t="shared" si="91"/>
        <v>2610</v>
      </c>
    </row>
    <row r="126" spans="1:94" s="838" customFormat="1">
      <c r="A126" s="856">
        <v>42</v>
      </c>
      <c r="B126" s="846" t="s">
        <v>1705</v>
      </c>
      <c r="C126" s="847">
        <v>4</v>
      </c>
      <c r="D126" s="847">
        <f>'Xpert needs'!AB90*40%</f>
        <v>600</v>
      </c>
      <c r="E126" s="847">
        <f t="shared" si="125"/>
        <v>50</v>
      </c>
      <c r="F126" s="848">
        <f t="shared" si="72"/>
        <v>2.6086956521739131</v>
      </c>
      <c r="G126" s="849">
        <f t="shared" si="73"/>
        <v>0.65217391304347827</v>
      </c>
      <c r="H126" s="847">
        <f t="shared" si="126"/>
        <v>600</v>
      </c>
      <c r="I126" s="847">
        <f t="shared" si="127"/>
        <v>50</v>
      </c>
      <c r="J126" s="848">
        <f t="shared" si="76"/>
        <v>2.6086956521739131</v>
      </c>
      <c r="K126" s="849">
        <f t="shared" si="128"/>
        <v>0.65217391304347827</v>
      </c>
      <c r="L126" s="858">
        <f>H126*90%</f>
        <v>540</v>
      </c>
      <c r="M126" s="847">
        <f t="shared" si="129"/>
        <v>45</v>
      </c>
      <c r="N126" s="848">
        <f t="shared" si="80"/>
        <v>2.347826086956522</v>
      </c>
      <c r="O126" s="849">
        <f t="shared" si="130"/>
        <v>0.58695652173913049</v>
      </c>
      <c r="P126" s="857">
        <v>1</v>
      </c>
      <c r="Q126" s="850">
        <v>1</v>
      </c>
      <c r="R126" s="850">
        <v>1</v>
      </c>
      <c r="S126" s="850">
        <v>1</v>
      </c>
      <c r="T126" s="850">
        <v>1</v>
      </c>
      <c r="U126" s="850">
        <v>1</v>
      </c>
      <c r="V126" s="850">
        <v>1</v>
      </c>
      <c r="W126" s="850">
        <v>1</v>
      </c>
      <c r="X126" s="850">
        <v>1</v>
      </c>
      <c r="Y126" s="850">
        <v>1</v>
      </c>
      <c r="Z126" s="850">
        <v>1</v>
      </c>
      <c r="AA126" s="850">
        <v>1</v>
      </c>
      <c r="AB126" s="851">
        <f t="shared" si="82"/>
        <v>1</v>
      </c>
      <c r="AC126" s="850">
        <v>1</v>
      </c>
      <c r="AD126" s="850">
        <v>1</v>
      </c>
      <c r="AE126" s="850">
        <v>1</v>
      </c>
      <c r="AF126" s="850">
        <v>1</v>
      </c>
      <c r="AG126" s="850">
        <v>1</v>
      </c>
      <c r="AH126" s="850">
        <v>1</v>
      </c>
      <c r="AI126" s="850">
        <v>1</v>
      </c>
      <c r="AJ126" s="850">
        <v>1</v>
      </c>
      <c r="AK126" s="850">
        <v>1</v>
      </c>
      <c r="AL126" s="850">
        <v>1</v>
      </c>
      <c r="AM126" s="850">
        <v>1</v>
      </c>
      <c r="AN126" s="850">
        <v>1</v>
      </c>
      <c r="AO126" s="851">
        <f t="shared" si="131"/>
        <v>1</v>
      </c>
      <c r="AP126" s="850">
        <v>1</v>
      </c>
      <c r="AQ126" s="850">
        <v>1</v>
      </c>
      <c r="AR126" s="850">
        <v>1</v>
      </c>
      <c r="AS126" s="850">
        <v>1</v>
      </c>
      <c r="AT126" s="850">
        <v>1</v>
      </c>
      <c r="AU126" s="850">
        <v>1</v>
      </c>
      <c r="AV126" s="850">
        <v>1</v>
      </c>
      <c r="AW126" s="850">
        <v>1</v>
      </c>
      <c r="AX126" s="850">
        <v>1</v>
      </c>
      <c r="AY126" s="850">
        <v>1</v>
      </c>
      <c r="AZ126" s="850">
        <v>1</v>
      </c>
      <c r="BA126" s="850">
        <v>1</v>
      </c>
      <c r="BB126" s="851">
        <f t="shared" si="132"/>
        <v>1</v>
      </c>
      <c r="BC126" s="853">
        <f t="shared" si="133"/>
        <v>50</v>
      </c>
      <c r="BD126" s="853">
        <f t="shared" si="133"/>
        <v>50</v>
      </c>
      <c r="BE126" s="853">
        <f t="shared" si="133"/>
        <v>50</v>
      </c>
      <c r="BF126" s="853">
        <f t="shared" si="133"/>
        <v>50</v>
      </c>
      <c r="BG126" s="853">
        <f t="shared" si="133"/>
        <v>50</v>
      </c>
      <c r="BH126" s="853">
        <f t="shared" si="133"/>
        <v>50</v>
      </c>
      <c r="BI126" s="853">
        <f t="shared" si="133"/>
        <v>50</v>
      </c>
      <c r="BJ126" s="853">
        <f t="shared" si="133"/>
        <v>50</v>
      </c>
      <c r="BK126" s="853">
        <f t="shared" si="133"/>
        <v>50</v>
      </c>
      <c r="BL126" s="853">
        <f t="shared" si="133"/>
        <v>50</v>
      </c>
      <c r="BM126" s="853">
        <f t="shared" si="133"/>
        <v>50</v>
      </c>
      <c r="BN126" s="853">
        <f t="shared" si="133"/>
        <v>50</v>
      </c>
      <c r="BO126" s="854">
        <f t="shared" si="86"/>
        <v>600</v>
      </c>
      <c r="BP126" s="853">
        <f t="shared" si="134"/>
        <v>50</v>
      </c>
      <c r="BQ126" s="853">
        <f t="shared" si="134"/>
        <v>50</v>
      </c>
      <c r="BR126" s="853">
        <f t="shared" si="134"/>
        <v>50</v>
      </c>
      <c r="BS126" s="853">
        <f t="shared" si="134"/>
        <v>50</v>
      </c>
      <c r="BT126" s="853">
        <f t="shared" si="134"/>
        <v>50</v>
      </c>
      <c r="BU126" s="853">
        <f t="shared" si="134"/>
        <v>50</v>
      </c>
      <c r="BV126" s="853">
        <f t="shared" si="134"/>
        <v>50</v>
      </c>
      <c r="BW126" s="853">
        <f t="shared" si="134"/>
        <v>50</v>
      </c>
      <c r="BX126" s="853">
        <f t="shared" si="134"/>
        <v>50</v>
      </c>
      <c r="BY126" s="853">
        <f t="shared" si="134"/>
        <v>50</v>
      </c>
      <c r="BZ126" s="853">
        <f t="shared" si="134"/>
        <v>50</v>
      </c>
      <c r="CA126" s="853">
        <f t="shared" si="134"/>
        <v>50</v>
      </c>
      <c r="CB126" s="854">
        <f t="shared" si="88"/>
        <v>600</v>
      </c>
      <c r="CC126" s="853">
        <f t="shared" si="135"/>
        <v>45</v>
      </c>
      <c r="CD126" s="853">
        <f t="shared" si="135"/>
        <v>45</v>
      </c>
      <c r="CE126" s="853">
        <f t="shared" si="135"/>
        <v>45</v>
      </c>
      <c r="CF126" s="853">
        <f t="shared" si="135"/>
        <v>45</v>
      </c>
      <c r="CG126" s="853">
        <f t="shared" si="135"/>
        <v>45</v>
      </c>
      <c r="CH126" s="853">
        <f t="shared" si="135"/>
        <v>45</v>
      </c>
      <c r="CI126" s="853">
        <f t="shared" si="135"/>
        <v>45</v>
      </c>
      <c r="CJ126" s="853">
        <f t="shared" si="135"/>
        <v>45</v>
      </c>
      <c r="CK126" s="853">
        <f t="shared" si="135"/>
        <v>45</v>
      </c>
      <c r="CL126" s="853">
        <f t="shared" si="135"/>
        <v>45</v>
      </c>
      <c r="CM126" s="853">
        <f t="shared" si="135"/>
        <v>45</v>
      </c>
      <c r="CN126" s="853">
        <f t="shared" si="135"/>
        <v>45</v>
      </c>
      <c r="CO126" s="854">
        <f t="shared" si="90"/>
        <v>540</v>
      </c>
      <c r="CP126" s="855">
        <f t="shared" si="91"/>
        <v>1740</v>
      </c>
    </row>
    <row r="127" spans="1:94" s="838" customFormat="1">
      <c r="A127" s="856">
        <v>43</v>
      </c>
      <c r="B127" s="846" t="s">
        <v>1337</v>
      </c>
      <c r="C127" s="859">
        <v>4</v>
      </c>
      <c r="D127" s="847">
        <f>'Xpert needs'!AB91</f>
        <v>500</v>
      </c>
      <c r="E127" s="847">
        <f t="shared" si="125"/>
        <v>41.666666666666664</v>
      </c>
      <c r="F127" s="848">
        <f t="shared" si="72"/>
        <v>2.1739130434782608</v>
      </c>
      <c r="G127" s="849">
        <f t="shared" si="73"/>
        <v>0.54347826086956519</v>
      </c>
      <c r="H127" s="847">
        <f t="shared" si="126"/>
        <v>500</v>
      </c>
      <c r="I127" s="847">
        <f t="shared" si="127"/>
        <v>41.666666666666664</v>
      </c>
      <c r="J127" s="848">
        <f t="shared" si="76"/>
        <v>2.1739130434782608</v>
      </c>
      <c r="K127" s="849">
        <f t="shared" si="128"/>
        <v>0.54347826086956519</v>
      </c>
      <c r="L127" s="847">
        <f t="shared" ref="L127" si="136">H127</f>
        <v>500</v>
      </c>
      <c r="M127" s="847">
        <f t="shared" si="129"/>
        <v>41.666666666666664</v>
      </c>
      <c r="N127" s="848">
        <f t="shared" si="80"/>
        <v>2.1739130434782608</v>
      </c>
      <c r="O127" s="849">
        <f t="shared" si="130"/>
        <v>0.54347826086956519</v>
      </c>
      <c r="P127" s="852">
        <v>0.5</v>
      </c>
      <c r="Q127" s="850">
        <v>0.5</v>
      </c>
      <c r="R127" s="850">
        <v>0.5</v>
      </c>
      <c r="S127" s="850">
        <v>0.5</v>
      </c>
      <c r="T127" s="850">
        <v>0.5</v>
      </c>
      <c r="U127" s="850">
        <v>0.5</v>
      </c>
      <c r="V127" s="850">
        <v>0.5</v>
      </c>
      <c r="W127" s="850">
        <v>0.5</v>
      </c>
      <c r="X127" s="850">
        <v>0.5</v>
      </c>
      <c r="Y127" s="850">
        <v>0.5</v>
      </c>
      <c r="Z127" s="850">
        <v>0.5</v>
      </c>
      <c r="AA127" s="850">
        <v>0.5</v>
      </c>
      <c r="AB127" s="851">
        <f t="shared" si="82"/>
        <v>0.50000000000000011</v>
      </c>
      <c r="AC127" s="850">
        <v>0.6</v>
      </c>
      <c r="AD127" s="850">
        <v>0.65</v>
      </c>
      <c r="AE127" s="850">
        <v>0.7</v>
      </c>
      <c r="AF127" s="850">
        <v>0.75</v>
      </c>
      <c r="AG127" s="850">
        <v>0.8</v>
      </c>
      <c r="AH127" s="850">
        <v>0.85</v>
      </c>
      <c r="AI127" s="850">
        <v>0.9</v>
      </c>
      <c r="AJ127" s="850">
        <v>0.95</v>
      </c>
      <c r="AK127" s="850">
        <v>1</v>
      </c>
      <c r="AL127" s="850">
        <v>1</v>
      </c>
      <c r="AM127" s="850">
        <v>1</v>
      </c>
      <c r="AN127" s="850">
        <v>1</v>
      </c>
      <c r="AO127" s="851">
        <f t="shared" si="131"/>
        <v>0.85000000000000009</v>
      </c>
      <c r="AP127" s="850">
        <v>1</v>
      </c>
      <c r="AQ127" s="850">
        <v>1</v>
      </c>
      <c r="AR127" s="850">
        <v>1</v>
      </c>
      <c r="AS127" s="850">
        <v>1</v>
      </c>
      <c r="AT127" s="850">
        <v>1</v>
      </c>
      <c r="AU127" s="850">
        <v>1</v>
      </c>
      <c r="AV127" s="850">
        <v>1</v>
      </c>
      <c r="AW127" s="850">
        <v>1</v>
      </c>
      <c r="AX127" s="850">
        <v>1</v>
      </c>
      <c r="AY127" s="850">
        <v>1</v>
      </c>
      <c r="AZ127" s="850">
        <v>1</v>
      </c>
      <c r="BA127" s="850">
        <v>1</v>
      </c>
      <c r="BB127" s="851">
        <f t="shared" si="132"/>
        <v>1.0000000000000002</v>
      </c>
      <c r="BC127" s="853">
        <f t="shared" si="133"/>
        <v>20.833333333333332</v>
      </c>
      <c r="BD127" s="853">
        <f t="shared" si="133"/>
        <v>20.833333333333332</v>
      </c>
      <c r="BE127" s="853">
        <f t="shared" si="133"/>
        <v>20.833333333333332</v>
      </c>
      <c r="BF127" s="853">
        <f t="shared" si="133"/>
        <v>20.833333333333332</v>
      </c>
      <c r="BG127" s="853">
        <f t="shared" si="133"/>
        <v>20.833333333333332</v>
      </c>
      <c r="BH127" s="853">
        <f t="shared" si="133"/>
        <v>20.833333333333332</v>
      </c>
      <c r="BI127" s="853">
        <f t="shared" si="133"/>
        <v>20.833333333333332</v>
      </c>
      <c r="BJ127" s="853">
        <f t="shared" si="133"/>
        <v>20.833333333333332</v>
      </c>
      <c r="BK127" s="853">
        <f t="shared" si="133"/>
        <v>20.833333333333332</v>
      </c>
      <c r="BL127" s="853">
        <f t="shared" si="133"/>
        <v>20.833333333333332</v>
      </c>
      <c r="BM127" s="853">
        <f t="shared" si="133"/>
        <v>20.833333333333332</v>
      </c>
      <c r="BN127" s="853">
        <f t="shared" si="133"/>
        <v>20.833333333333332</v>
      </c>
      <c r="BO127" s="854">
        <f t="shared" si="86"/>
        <v>250.00000000000003</v>
      </c>
      <c r="BP127" s="853">
        <f t="shared" si="134"/>
        <v>24.999999999999996</v>
      </c>
      <c r="BQ127" s="853">
        <f t="shared" si="134"/>
        <v>27.083333333333332</v>
      </c>
      <c r="BR127" s="853">
        <f t="shared" si="134"/>
        <v>29.166666666666664</v>
      </c>
      <c r="BS127" s="853">
        <f t="shared" si="134"/>
        <v>31.25</v>
      </c>
      <c r="BT127" s="853">
        <f t="shared" si="134"/>
        <v>33.333333333333336</v>
      </c>
      <c r="BU127" s="853">
        <f t="shared" si="134"/>
        <v>35.416666666666664</v>
      </c>
      <c r="BV127" s="853">
        <f t="shared" si="134"/>
        <v>37.5</v>
      </c>
      <c r="BW127" s="853">
        <f t="shared" si="134"/>
        <v>39.583333333333329</v>
      </c>
      <c r="BX127" s="853">
        <f t="shared" si="134"/>
        <v>41.666666666666664</v>
      </c>
      <c r="BY127" s="853">
        <f t="shared" si="134"/>
        <v>41.666666666666664</v>
      </c>
      <c r="BZ127" s="853">
        <f t="shared" si="134"/>
        <v>41.666666666666664</v>
      </c>
      <c r="CA127" s="853">
        <f t="shared" si="134"/>
        <v>41.666666666666664</v>
      </c>
      <c r="CB127" s="854">
        <f t="shared" si="88"/>
        <v>425.00000000000006</v>
      </c>
      <c r="CC127" s="853">
        <f t="shared" si="135"/>
        <v>41.666666666666664</v>
      </c>
      <c r="CD127" s="853">
        <f t="shared" si="135"/>
        <v>41.666666666666664</v>
      </c>
      <c r="CE127" s="853">
        <f t="shared" si="135"/>
        <v>41.666666666666664</v>
      </c>
      <c r="CF127" s="853">
        <f t="shared" si="135"/>
        <v>41.666666666666664</v>
      </c>
      <c r="CG127" s="853">
        <f t="shared" si="135"/>
        <v>41.666666666666664</v>
      </c>
      <c r="CH127" s="853">
        <f t="shared" si="135"/>
        <v>41.666666666666664</v>
      </c>
      <c r="CI127" s="853">
        <f t="shared" si="135"/>
        <v>41.666666666666664</v>
      </c>
      <c r="CJ127" s="853">
        <f t="shared" si="135"/>
        <v>41.666666666666664</v>
      </c>
      <c r="CK127" s="853">
        <f t="shared" si="135"/>
        <v>41.666666666666664</v>
      </c>
      <c r="CL127" s="853">
        <f t="shared" si="135"/>
        <v>41.666666666666664</v>
      </c>
      <c r="CM127" s="853">
        <f t="shared" si="135"/>
        <v>41.666666666666664</v>
      </c>
      <c r="CN127" s="853">
        <f t="shared" si="135"/>
        <v>41.666666666666664</v>
      </c>
      <c r="CO127" s="854">
        <f t="shared" si="90"/>
        <v>500.00000000000006</v>
      </c>
      <c r="CP127" s="855">
        <f t="shared" si="91"/>
        <v>1175.0000000000002</v>
      </c>
    </row>
    <row r="128" spans="1:94" s="838" customFormat="1" ht="26.65" customHeight="1">
      <c r="A128" s="860"/>
      <c r="B128" s="860" t="str">
        <f>B70</f>
        <v>TOTAL</v>
      </c>
      <c r="C128" s="861">
        <f>SUM(C124:C127)</f>
        <v>120</v>
      </c>
      <c r="D128" s="861">
        <f>SUM(D124:D127)</f>
        <v>31680.260000000002</v>
      </c>
      <c r="E128" s="861">
        <f>D128/12</f>
        <v>2640.021666666667</v>
      </c>
      <c r="F128" s="862">
        <f t="shared" si="72"/>
        <v>137.74026086956522</v>
      </c>
      <c r="G128" s="863">
        <f t="shared" si="73"/>
        <v>1.1478355072463768</v>
      </c>
      <c r="H128" s="861">
        <f>SUM(H124:H127)</f>
        <v>31680.260000000002</v>
      </c>
      <c r="I128" s="861">
        <f>H128/12</f>
        <v>2640.021666666667</v>
      </c>
      <c r="J128" s="862">
        <f t="shared" si="76"/>
        <v>137.74026086956522</v>
      </c>
      <c r="K128" s="863">
        <f>J128/C128</f>
        <v>1.1478355072463768</v>
      </c>
      <c r="L128" s="861">
        <f>SUM(L124:L127)</f>
        <v>29052.116270000006</v>
      </c>
      <c r="M128" s="861">
        <f>L128/12</f>
        <v>2421.0096891666672</v>
      </c>
      <c r="N128" s="862">
        <f t="shared" si="80"/>
        <v>126.31354900000002</v>
      </c>
      <c r="O128" s="863">
        <f>N128/C128</f>
        <v>1.0526129083333335</v>
      </c>
      <c r="P128" s="864"/>
      <c r="Q128" s="864"/>
      <c r="R128" s="864"/>
      <c r="S128" s="864"/>
      <c r="T128" s="864"/>
      <c r="U128" s="864"/>
      <c r="V128" s="864"/>
      <c r="W128" s="864"/>
      <c r="X128" s="864"/>
      <c r="Y128" s="864"/>
      <c r="Z128" s="864"/>
      <c r="AA128" s="864"/>
      <c r="AB128" s="865">
        <f t="shared" si="82"/>
        <v>0.66153463216000519</v>
      </c>
      <c r="AC128" s="864"/>
      <c r="AD128" s="864"/>
      <c r="AE128" s="864"/>
      <c r="AF128" s="864"/>
      <c r="AG128" s="864"/>
      <c r="AH128" s="864"/>
      <c r="AI128" s="864"/>
      <c r="AJ128" s="864"/>
      <c r="AK128" s="864"/>
      <c r="AL128" s="864"/>
      <c r="AM128" s="864"/>
      <c r="AN128" s="864"/>
      <c r="AO128" s="865">
        <f>CB128/$H128</f>
        <v>0.80648214330995605</v>
      </c>
      <c r="AP128" s="864"/>
      <c r="AQ128" s="864"/>
      <c r="AR128" s="864"/>
      <c r="AS128" s="864"/>
      <c r="AT128" s="864"/>
      <c r="AU128" s="864"/>
      <c r="AV128" s="864"/>
      <c r="AW128" s="864"/>
      <c r="AX128" s="864"/>
      <c r="AY128" s="864"/>
      <c r="AZ128" s="864"/>
      <c r="BA128" s="864"/>
      <c r="BB128" s="865">
        <f>CO128/$L128</f>
        <v>0.99750319864276982</v>
      </c>
      <c r="BC128" s="866">
        <f>SUM(BC124:BC127)</f>
        <v>1672.6823750000001</v>
      </c>
      <c r="BD128" s="866">
        <f t="shared" ref="BD128:BN128" si="137">SUM(BD124:BD127)</f>
        <v>1700.8140416666668</v>
      </c>
      <c r="BE128" s="866">
        <f t="shared" si="137"/>
        <v>1728.9457083333334</v>
      </c>
      <c r="BF128" s="866">
        <f t="shared" si="137"/>
        <v>1745.759875</v>
      </c>
      <c r="BG128" s="866">
        <f t="shared" si="137"/>
        <v>1749.8598749999999</v>
      </c>
      <c r="BH128" s="866">
        <f t="shared" si="137"/>
        <v>1753.959875</v>
      </c>
      <c r="BI128" s="866">
        <f t="shared" si="137"/>
        <v>1761.6157083333333</v>
      </c>
      <c r="BJ128" s="866">
        <f t="shared" si="137"/>
        <v>1761.6157083333333</v>
      </c>
      <c r="BK128" s="866">
        <f t="shared" si="137"/>
        <v>1761.6157083333333</v>
      </c>
      <c r="BL128" s="866">
        <f t="shared" si="137"/>
        <v>1770.1382083333331</v>
      </c>
      <c r="BM128" s="866">
        <f t="shared" si="137"/>
        <v>1775.2910312499996</v>
      </c>
      <c r="BN128" s="866">
        <f t="shared" si="137"/>
        <v>1775.2910312499996</v>
      </c>
      <c r="BO128" s="867">
        <f t="shared" si="86"/>
        <v>20957.589145833328</v>
      </c>
      <c r="BP128" s="866">
        <f>SUM(BP124:BP127)</f>
        <v>1828.6855687500001</v>
      </c>
      <c r="BQ128" s="866">
        <f t="shared" ref="BQ128:CA128" si="138">SUM(BQ124:BQ127)</f>
        <v>1854.9188750000001</v>
      </c>
      <c r="BR128" s="866">
        <f t="shared" si="138"/>
        <v>1884.2438750000003</v>
      </c>
      <c r="BS128" s="866">
        <f t="shared" si="138"/>
        <v>1925.3105416666667</v>
      </c>
      <c r="BT128" s="866">
        <f t="shared" si="138"/>
        <v>1989.0805416666669</v>
      </c>
      <c r="BU128" s="866">
        <f t="shared" si="138"/>
        <v>2049.2947083333333</v>
      </c>
      <c r="BV128" s="866">
        <f t="shared" si="138"/>
        <v>2112.623489583334</v>
      </c>
      <c r="BW128" s="866">
        <f t="shared" si="138"/>
        <v>2222.7783750000003</v>
      </c>
      <c r="BX128" s="866">
        <f t="shared" si="138"/>
        <v>2302.0163229166665</v>
      </c>
      <c r="BY128" s="866">
        <f t="shared" si="138"/>
        <v>2410.0878750000006</v>
      </c>
      <c r="BZ128" s="866">
        <f t="shared" si="138"/>
        <v>2460.2038958333333</v>
      </c>
      <c r="CA128" s="866">
        <f t="shared" si="138"/>
        <v>2510.3199166666664</v>
      </c>
      <c r="CB128" s="867">
        <f t="shared" si="88"/>
        <v>25549.563985416669</v>
      </c>
      <c r="CC128" s="866">
        <f>SUM(CC124:CC127)</f>
        <v>2376.5298258333332</v>
      </c>
      <c r="CD128" s="866">
        <f t="shared" ref="CD128:CN128" si="139">SUM(CD124:CD127)</f>
        <v>2402.3046891666668</v>
      </c>
      <c r="CE128" s="866">
        <f t="shared" si="139"/>
        <v>2411.6571891666667</v>
      </c>
      <c r="CF128" s="866">
        <f t="shared" si="139"/>
        <v>2421.0096891666667</v>
      </c>
      <c r="CG128" s="866">
        <f t="shared" si="139"/>
        <v>2421.0096891666667</v>
      </c>
      <c r="CH128" s="866">
        <f t="shared" si="139"/>
        <v>2421.0096891666667</v>
      </c>
      <c r="CI128" s="866">
        <f t="shared" si="139"/>
        <v>2421.0096891666667</v>
      </c>
      <c r="CJ128" s="866">
        <f t="shared" si="139"/>
        <v>2421.0096891666667</v>
      </c>
      <c r="CK128" s="866">
        <f t="shared" si="139"/>
        <v>2421.0096891666667</v>
      </c>
      <c r="CL128" s="866">
        <f t="shared" si="139"/>
        <v>2421.0096891666667</v>
      </c>
      <c r="CM128" s="866">
        <f t="shared" si="139"/>
        <v>2421.0096891666667</v>
      </c>
      <c r="CN128" s="866">
        <f t="shared" si="139"/>
        <v>2421.0096891666667</v>
      </c>
      <c r="CO128" s="867">
        <f t="shared" si="90"/>
        <v>28979.578906666662</v>
      </c>
      <c r="CP128" s="870">
        <f t="shared" si="91"/>
        <v>75486.732037916663</v>
      </c>
    </row>
    <row r="130" spans="1:94" ht="23.1" customHeight="1">
      <c r="B130" s="876"/>
      <c r="C130" s="874" t="s">
        <v>876</v>
      </c>
      <c r="D130" s="874" t="s">
        <v>877</v>
      </c>
      <c r="E130" s="874" t="s">
        <v>1339</v>
      </c>
      <c r="G130" s="1845" t="s">
        <v>1361</v>
      </c>
      <c r="H130" s="1845"/>
      <c r="I130" s="1845"/>
      <c r="J130" s="874" t="s">
        <v>979</v>
      </c>
      <c r="K130" s="874" t="s">
        <v>980</v>
      </c>
      <c r="L130" s="874" t="s">
        <v>1360</v>
      </c>
      <c r="M130" s="834"/>
      <c r="R130" s="872"/>
      <c r="BE130" s="872"/>
      <c r="BO130" s="882"/>
      <c r="CB130" s="882"/>
      <c r="CG130" s="875"/>
      <c r="CO130" s="882"/>
      <c r="CP130" s="882"/>
    </row>
    <row r="131" spans="1:94" ht="14.45" customHeight="1">
      <c r="B131" s="876" t="s">
        <v>1265</v>
      </c>
      <c r="C131" s="1213">
        <f>COUNTIF(C83:C127,2)</f>
        <v>26</v>
      </c>
      <c r="D131" s="878">
        <v>0</v>
      </c>
      <c r="E131" s="878">
        <f>C131-D131</f>
        <v>26</v>
      </c>
      <c r="G131" s="1846" t="s">
        <v>1362</v>
      </c>
      <c r="H131" s="1847"/>
      <c r="I131" s="1848"/>
      <c r="J131" s="879">
        <f>SUM(C85,C89,C97,C98,C105,C106,C108,C109,C113,C114,C120,C121,C122,C123,C125,C126,C127)</f>
        <v>68</v>
      </c>
      <c r="K131" s="879">
        <f>C128</f>
        <v>120</v>
      </c>
      <c r="L131" s="879">
        <f>C128</f>
        <v>120</v>
      </c>
      <c r="M131" s="834"/>
      <c r="R131" s="872"/>
      <c r="BE131" s="872"/>
      <c r="CG131" s="880"/>
    </row>
    <row r="132" spans="1:94" ht="14.45" customHeight="1">
      <c r="B132" s="876" t="s">
        <v>1264</v>
      </c>
      <c r="C132" s="1213">
        <f>COUNTIF(C83:C127,4)</f>
        <v>17</v>
      </c>
      <c r="D132" s="878">
        <v>17</v>
      </c>
      <c r="E132" s="878">
        <f>C132-D132</f>
        <v>0</v>
      </c>
      <c r="G132" s="1845" t="s">
        <v>1771</v>
      </c>
      <c r="H132" s="1845"/>
      <c r="I132" s="1845"/>
      <c r="J132" s="874" t="s">
        <v>979</v>
      </c>
      <c r="K132" s="874" t="s">
        <v>980</v>
      </c>
      <c r="L132" s="874" t="s">
        <v>1360</v>
      </c>
      <c r="M132" s="834"/>
      <c r="R132" s="872"/>
      <c r="BE132" s="872"/>
      <c r="CG132" s="875"/>
    </row>
    <row r="133" spans="1:94" ht="14.45" customHeight="1">
      <c r="B133" s="1213" t="s">
        <v>4</v>
      </c>
      <c r="C133" s="1213">
        <f>SUM(C131:C132)</f>
        <v>43</v>
      </c>
      <c r="D133" s="1213">
        <f>SUM(D131:D132)</f>
        <v>17</v>
      </c>
      <c r="E133" s="1213">
        <f t="shared" ref="E133" si="140">SUM(E131:E132)</f>
        <v>26</v>
      </c>
      <c r="G133" s="1846" t="s">
        <v>1772</v>
      </c>
      <c r="H133" s="1847"/>
      <c r="I133" s="1848"/>
      <c r="J133" s="879">
        <f>COUNTA(B85,B89,B97,B105,B106,B108,B109,B113,B125)</f>
        <v>9</v>
      </c>
      <c r="K133" s="879">
        <f>COUNTA(B83,B84,B85,B86,B87,B88,B89,B90,B91,B92,B93,B94,B95,B96,B97,B99,B100,B101,B102,B103,B104,B105,B106,B107,B108,B109,B110,B111,B112,B113,B125)</f>
        <v>31</v>
      </c>
      <c r="L133" s="879">
        <f>COUNTA(B83,B84,B85,B86,B87,B88,B89,B90,B91,B92,B93,B94,B95,B96,B97,B99,B100,B101,B102,B103,B104,B105,B106,B107,B108,B109,B110,B111,B112,B113,B125)</f>
        <v>31</v>
      </c>
      <c r="M133" s="834"/>
      <c r="R133" s="872"/>
      <c r="BE133" s="872"/>
    </row>
    <row r="134" spans="1:94" ht="14.45" customHeight="1">
      <c r="H134" s="834"/>
      <c r="I134" s="834"/>
      <c r="L134" s="834"/>
      <c r="M134" s="834"/>
      <c r="R134" s="872"/>
      <c r="BE134" s="872"/>
    </row>
    <row r="136" spans="1:94" ht="12.4" customHeight="1">
      <c r="B136" s="837" t="s">
        <v>1773</v>
      </c>
      <c r="C136" s="838"/>
      <c r="E136" s="835"/>
      <c r="I136" s="835"/>
      <c r="M136" s="835"/>
    </row>
    <row r="137" spans="1:94" ht="16.899999999999999" customHeight="1">
      <c r="B137" s="838" t="s">
        <v>1708</v>
      </c>
      <c r="C137" s="839">
        <f>C184</f>
        <v>35</v>
      </c>
      <c r="E137" s="835"/>
      <c r="I137" s="835"/>
      <c r="M137" s="835"/>
      <c r="Q137" s="539"/>
      <c r="AD137" s="539"/>
      <c r="AQ137" s="539"/>
    </row>
    <row r="138" spans="1:94" ht="16.899999999999999" customHeight="1">
      <c r="B138" s="838" t="s">
        <v>1331</v>
      </c>
      <c r="C138" s="839">
        <f>E184</f>
        <v>18</v>
      </c>
      <c r="E138" s="835"/>
      <c r="I138" s="835"/>
      <c r="M138" s="835"/>
      <c r="Q138" s="539"/>
      <c r="AD138" s="539"/>
      <c r="AQ138" s="539"/>
    </row>
    <row r="139" spans="1:94" ht="16.5" customHeight="1">
      <c r="B139" s="838"/>
      <c r="C139" s="881"/>
      <c r="E139" s="835"/>
      <c r="I139" s="835"/>
      <c r="M139" s="835"/>
    </row>
    <row r="140" spans="1:94" ht="30.6" customHeight="1">
      <c r="A140" s="1841" t="s">
        <v>243</v>
      </c>
      <c r="B140" s="1841" t="s">
        <v>1338</v>
      </c>
      <c r="C140" s="1839" t="s">
        <v>1266</v>
      </c>
      <c r="D140" s="1836" t="s">
        <v>1349</v>
      </c>
      <c r="E140" s="1837"/>
      <c r="F140" s="1837"/>
      <c r="G140" s="1838"/>
      <c r="H140" s="1836" t="s">
        <v>1350</v>
      </c>
      <c r="I140" s="1837"/>
      <c r="J140" s="1837"/>
      <c r="K140" s="1838"/>
      <c r="L140" s="1836" t="s">
        <v>1351</v>
      </c>
      <c r="M140" s="1837"/>
      <c r="N140" s="1837"/>
      <c r="O140" s="1838"/>
      <c r="P140" s="1836" t="s">
        <v>1342</v>
      </c>
      <c r="Q140" s="1837"/>
      <c r="R140" s="1837"/>
      <c r="S140" s="1837"/>
      <c r="T140" s="1837"/>
      <c r="U140" s="1837"/>
      <c r="V140" s="1837"/>
      <c r="W140" s="1837"/>
      <c r="X140" s="1837"/>
      <c r="Y140" s="1837"/>
      <c r="Z140" s="1837"/>
      <c r="AA140" s="1837"/>
      <c r="AB140" s="1838"/>
      <c r="AC140" s="1836" t="s">
        <v>1343</v>
      </c>
      <c r="AD140" s="1837"/>
      <c r="AE140" s="1837"/>
      <c r="AF140" s="1837"/>
      <c r="AG140" s="1837"/>
      <c r="AH140" s="1837"/>
      <c r="AI140" s="1837"/>
      <c r="AJ140" s="1837"/>
      <c r="AK140" s="1837"/>
      <c r="AL140" s="1837"/>
      <c r="AM140" s="1837"/>
      <c r="AN140" s="1837"/>
      <c r="AO140" s="1838"/>
      <c r="AP140" s="1836" t="s">
        <v>1344</v>
      </c>
      <c r="AQ140" s="1837"/>
      <c r="AR140" s="1837"/>
      <c r="AS140" s="1837"/>
      <c r="AT140" s="1837"/>
      <c r="AU140" s="1837"/>
      <c r="AV140" s="1837"/>
      <c r="AW140" s="1837"/>
      <c r="AX140" s="1837"/>
      <c r="AY140" s="1837"/>
      <c r="AZ140" s="1837"/>
      <c r="BA140" s="1837"/>
      <c r="BB140" s="1838"/>
      <c r="BC140" s="1836" t="s">
        <v>1345</v>
      </c>
      <c r="BD140" s="1837"/>
      <c r="BE140" s="1837"/>
      <c r="BF140" s="1837"/>
      <c r="BG140" s="1837"/>
      <c r="BH140" s="1837"/>
      <c r="BI140" s="1837"/>
      <c r="BJ140" s="1837"/>
      <c r="BK140" s="1837"/>
      <c r="BL140" s="1837"/>
      <c r="BM140" s="1837"/>
      <c r="BN140" s="1837"/>
      <c r="BO140" s="1838"/>
      <c r="BP140" s="1836" t="s">
        <v>1346</v>
      </c>
      <c r="BQ140" s="1837"/>
      <c r="BR140" s="1837"/>
      <c r="BS140" s="1837"/>
      <c r="BT140" s="1837"/>
      <c r="BU140" s="1837"/>
      <c r="BV140" s="1837"/>
      <c r="BW140" s="1837"/>
      <c r="BX140" s="1837"/>
      <c r="BY140" s="1837"/>
      <c r="BZ140" s="1837"/>
      <c r="CA140" s="1837"/>
      <c r="CB140" s="1838"/>
      <c r="CC140" s="1836" t="s">
        <v>1347</v>
      </c>
      <c r="CD140" s="1837"/>
      <c r="CE140" s="1837"/>
      <c r="CF140" s="1837"/>
      <c r="CG140" s="1837"/>
      <c r="CH140" s="1837"/>
      <c r="CI140" s="1837"/>
      <c r="CJ140" s="1837"/>
      <c r="CK140" s="1837"/>
      <c r="CL140" s="1837"/>
      <c r="CM140" s="1837"/>
      <c r="CN140" s="1837"/>
      <c r="CO140" s="1838"/>
      <c r="CP140" s="1843" t="s">
        <v>1348</v>
      </c>
    </row>
    <row r="141" spans="1:94" ht="48">
      <c r="A141" s="1841"/>
      <c r="B141" s="1841"/>
      <c r="C141" s="1840"/>
      <c r="D141" s="842" t="s">
        <v>1267</v>
      </c>
      <c r="E141" s="842" t="s">
        <v>1268</v>
      </c>
      <c r="F141" s="842" t="s">
        <v>1340</v>
      </c>
      <c r="G141" s="842" t="s">
        <v>1341</v>
      </c>
      <c r="H141" s="842" t="s">
        <v>1267</v>
      </c>
      <c r="I141" s="842" t="s">
        <v>1268</v>
      </c>
      <c r="J141" s="842" t="s">
        <v>1340</v>
      </c>
      <c r="K141" s="842" t="s">
        <v>1341</v>
      </c>
      <c r="L141" s="842" t="s">
        <v>1267</v>
      </c>
      <c r="M141" s="842" t="s">
        <v>1268</v>
      </c>
      <c r="N141" s="842" t="s">
        <v>1340</v>
      </c>
      <c r="O141" s="842" t="s">
        <v>1341</v>
      </c>
      <c r="P141" s="843">
        <f>P82</f>
        <v>42370</v>
      </c>
      <c r="Q141" s="843">
        <f t="shared" ref="Q141:AA141" si="141">Q82</f>
        <v>42401</v>
      </c>
      <c r="R141" s="843">
        <f t="shared" si="141"/>
        <v>42430</v>
      </c>
      <c r="S141" s="843">
        <f t="shared" si="141"/>
        <v>42461</v>
      </c>
      <c r="T141" s="843">
        <f t="shared" si="141"/>
        <v>42491</v>
      </c>
      <c r="U141" s="843">
        <f t="shared" si="141"/>
        <v>42522</v>
      </c>
      <c r="V141" s="843">
        <f t="shared" si="141"/>
        <v>42552</v>
      </c>
      <c r="W141" s="843">
        <f t="shared" si="141"/>
        <v>42583</v>
      </c>
      <c r="X141" s="843">
        <f t="shared" si="141"/>
        <v>42614</v>
      </c>
      <c r="Y141" s="843">
        <f t="shared" si="141"/>
        <v>42644</v>
      </c>
      <c r="Z141" s="843">
        <f t="shared" si="141"/>
        <v>42675</v>
      </c>
      <c r="AA141" s="843">
        <f t="shared" si="141"/>
        <v>42705</v>
      </c>
      <c r="AB141" s="844" t="str">
        <f>AB82</f>
        <v>Year 1 Total</v>
      </c>
      <c r="AC141" s="843">
        <f>AC82</f>
        <v>42736</v>
      </c>
      <c r="AD141" s="843">
        <f t="shared" ref="AD141:AN141" si="142">AD82</f>
        <v>42767</v>
      </c>
      <c r="AE141" s="843">
        <f t="shared" si="142"/>
        <v>42795</v>
      </c>
      <c r="AF141" s="843">
        <f t="shared" si="142"/>
        <v>42826</v>
      </c>
      <c r="AG141" s="843">
        <f t="shared" si="142"/>
        <v>42856</v>
      </c>
      <c r="AH141" s="843">
        <f t="shared" si="142"/>
        <v>42887</v>
      </c>
      <c r="AI141" s="843">
        <f t="shared" si="142"/>
        <v>42917</v>
      </c>
      <c r="AJ141" s="843">
        <f t="shared" si="142"/>
        <v>42948</v>
      </c>
      <c r="AK141" s="843">
        <f t="shared" si="142"/>
        <v>42979</v>
      </c>
      <c r="AL141" s="843">
        <f t="shared" si="142"/>
        <v>43009</v>
      </c>
      <c r="AM141" s="843">
        <f t="shared" si="142"/>
        <v>43040</v>
      </c>
      <c r="AN141" s="843">
        <f t="shared" si="142"/>
        <v>43070</v>
      </c>
      <c r="AO141" s="844" t="str">
        <f>AO82</f>
        <v>Year 2 Total</v>
      </c>
      <c r="AP141" s="843">
        <f>AP82</f>
        <v>43101</v>
      </c>
      <c r="AQ141" s="843">
        <f t="shared" ref="AQ141:BA141" si="143">AQ82</f>
        <v>43132</v>
      </c>
      <c r="AR141" s="843">
        <f t="shared" si="143"/>
        <v>43160</v>
      </c>
      <c r="AS141" s="843">
        <f t="shared" si="143"/>
        <v>43191</v>
      </c>
      <c r="AT141" s="843">
        <f t="shared" si="143"/>
        <v>43221</v>
      </c>
      <c r="AU141" s="843">
        <f t="shared" si="143"/>
        <v>43252</v>
      </c>
      <c r="AV141" s="843">
        <f t="shared" si="143"/>
        <v>43282</v>
      </c>
      <c r="AW141" s="843">
        <f t="shared" si="143"/>
        <v>43313</v>
      </c>
      <c r="AX141" s="843">
        <f t="shared" si="143"/>
        <v>43344</v>
      </c>
      <c r="AY141" s="843">
        <f t="shared" si="143"/>
        <v>43374</v>
      </c>
      <c r="AZ141" s="843">
        <f t="shared" si="143"/>
        <v>43405</v>
      </c>
      <c r="BA141" s="843">
        <f t="shared" si="143"/>
        <v>43435</v>
      </c>
      <c r="BB141" s="844" t="str">
        <f>BB82</f>
        <v>Year 3 Total</v>
      </c>
      <c r="BC141" s="843">
        <f>BC82</f>
        <v>42370</v>
      </c>
      <c r="BD141" s="843">
        <f t="shared" ref="BD141:BN141" si="144">BD82</f>
        <v>42401</v>
      </c>
      <c r="BE141" s="843">
        <f t="shared" si="144"/>
        <v>42430</v>
      </c>
      <c r="BF141" s="843">
        <f t="shared" si="144"/>
        <v>42461</v>
      </c>
      <c r="BG141" s="843">
        <f t="shared" si="144"/>
        <v>42491</v>
      </c>
      <c r="BH141" s="843">
        <f t="shared" si="144"/>
        <v>42522</v>
      </c>
      <c r="BI141" s="843">
        <f t="shared" si="144"/>
        <v>42552</v>
      </c>
      <c r="BJ141" s="843">
        <f t="shared" si="144"/>
        <v>42583</v>
      </c>
      <c r="BK141" s="843">
        <f t="shared" si="144"/>
        <v>42614</v>
      </c>
      <c r="BL141" s="843">
        <f t="shared" si="144"/>
        <v>42644</v>
      </c>
      <c r="BM141" s="843">
        <f t="shared" si="144"/>
        <v>42675</v>
      </c>
      <c r="BN141" s="843">
        <f t="shared" si="144"/>
        <v>42705</v>
      </c>
      <c r="BO141" s="844" t="str">
        <f>BO82</f>
        <v>Year 1 Total</v>
      </c>
      <c r="BP141" s="843">
        <f>BP82</f>
        <v>42736</v>
      </c>
      <c r="BQ141" s="843">
        <f t="shared" ref="BQ141:CA141" si="145">BQ82</f>
        <v>42767</v>
      </c>
      <c r="BR141" s="843">
        <f t="shared" si="145"/>
        <v>42795</v>
      </c>
      <c r="BS141" s="843">
        <f t="shared" si="145"/>
        <v>42826</v>
      </c>
      <c r="BT141" s="843">
        <f t="shared" si="145"/>
        <v>42856</v>
      </c>
      <c r="BU141" s="843">
        <f t="shared" si="145"/>
        <v>42887</v>
      </c>
      <c r="BV141" s="843">
        <f t="shared" si="145"/>
        <v>42917</v>
      </c>
      <c r="BW141" s="843">
        <f t="shared" si="145"/>
        <v>42948</v>
      </c>
      <c r="BX141" s="843">
        <f t="shared" si="145"/>
        <v>42979</v>
      </c>
      <c r="BY141" s="843">
        <f t="shared" si="145"/>
        <v>43009</v>
      </c>
      <c r="BZ141" s="843">
        <f t="shared" si="145"/>
        <v>43040</v>
      </c>
      <c r="CA141" s="843">
        <f t="shared" si="145"/>
        <v>43070</v>
      </c>
      <c r="CB141" s="844" t="str">
        <f>CB82</f>
        <v>Year 2 Total</v>
      </c>
      <c r="CC141" s="843">
        <f>CC82</f>
        <v>43101</v>
      </c>
      <c r="CD141" s="843">
        <f t="shared" ref="CD141:CN141" si="146">CD82</f>
        <v>43132</v>
      </c>
      <c r="CE141" s="843">
        <f t="shared" si="146"/>
        <v>43160</v>
      </c>
      <c r="CF141" s="843">
        <f t="shared" si="146"/>
        <v>43191</v>
      </c>
      <c r="CG141" s="843">
        <f t="shared" si="146"/>
        <v>43221</v>
      </c>
      <c r="CH141" s="843">
        <f t="shared" si="146"/>
        <v>43252</v>
      </c>
      <c r="CI141" s="843">
        <f t="shared" si="146"/>
        <v>43282</v>
      </c>
      <c r="CJ141" s="843">
        <f t="shared" si="146"/>
        <v>43313</v>
      </c>
      <c r="CK141" s="843">
        <f t="shared" si="146"/>
        <v>43344</v>
      </c>
      <c r="CL141" s="843">
        <f t="shared" si="146"/>
        <v>43374</v>
      </c>
      <c r="CM141" s="843">
        <f t="shared" si="146"/>
        <v>43405</v>
      </c>
      <c r="CN141" s="843">
        <f t="shared" si="146"/>
        <v>43435</v>
      </c>
      <c r="CO141" s="844" t="str">
        <f>CO82</f>
        <v>Year 3 Total</v>
      </c>
      <c r="CP141" s="1844"/>
    </row>
    <row r="142" spans="1:94">
      <c r="A142" s="845">
        <v>1</v>
      </c>
      <c r="B142" s="846" t="s">
        <v>879</v>
      </c>
      <c r="C142" s="847">
        <v>2</v>
      </c>
      <c r="D142" s="847">
        <f>'Xpert needs'!AC8</f>
        <v>712.80000000000007</v>
      </c>
      <c r="E142" s="847">
        <f>D142/12</f>
        <v>59.400000000000006</v>
      </c>
      <c r="F142" s="848">
        <f>D142/230</f>
        <v>3.0991304347826092</v>
      </c>
      <c r="G142" s="849">
        <f>F142/C142</f>
        <v>1.5495652173913046</v>
      </c>
      <c r="H142" s="847">
        <f>D142</f>
        <v>712.80000000000007</v>
      </c>
      <c r="I142" s="847">
        <f>H142/12</f>
        <v>59.400000000000006</v>
      </c>
      <c r="J142" s="848">
        <f>H142/230</f>
        <v>3.0991304347826092</v>
      </c>
      <c r="K142" s="849">
        <f>J142/C142</f>
        <v>1.5495652173913046</v>
      </c>
      <c r="L142" s="847">
        <f>H142</f>
        <v>712.80000000000007</v>
      </c>
      <c r="M142" s="847">
        <f>L142/12</f>
        <v>59.400000000000006</v>
      </c>
      <c r="N142" s="848">
        <f>L142/230</f>
        <v>3.0991304347826092</v>
      </c>
      <c r="O142" s="849">
        <f>N142/C142</f>
        <v>1.5495652173913046</v>
      </c>
      <c r="P142" s="850"/>
      <c r="Q142" s="850"/>
      <c r="R142" s="850"/>
      <c r="S142" s="850"/>
      <c r="T142" s="850"/>
      <c r="U142" s="850"/>
      <c r="V142" s="850"/>
      <c r="W142" s="850"/>
      <c r="X142" s="850"/>
      <c r="Y142" s="850"/>
      <c r="Z142" s="850"/>
      <c r="AA142" s="850"/>
      <c r="AB142" s="851">
        <f>BO142/$D142</f>
        <v>0</v>
      </c>
      <c r="AC142" s="850"/>
      <c r="AD142" s="850"/>
      <c r="AE142" s="850"/>
      <c r="AF142" s="850"/>
      <c r="AG142" s="850"/>
      <c r="AH142" s="850"/>
      <c r="AI142" s="852">
        <v>0.1</v>
      </c>
      <c r="AJ142" s="850">
        <v>0.2</v>
      </c>
      <c r="AK142" s="850">
        <v>0.3</v>
      </c>
      <c r="AL142" s="850">
        <v>0.4</v>
      </c>
      <c r="AM142" s="850">
        <v>0.5</v>
      </c>
      <c r="AN142" s="850">
        <v>0.6</v>
      </c>
      <c r="AO142" s="851">
        <f>CB142/$H142</f>
        <v>0.17499999999999999</v>
      </c>
      <c r="AP142" s="850">
        <v>0.7</v>
      </c>
      <c r="AQ142" s="850">
        <v>0.8</v>
      </c>
      <c r="AR142" s="850">
        <v>0.9</v>
      </c>
      <c r="AS142" s="850">
        <v>1</v>
      </c>
      <c r="AT142" s="850">
        <v>1</v>
      </c>
      <c r="AU142" s="850">
        <v>1</v>
      </c>
      <c r="AV142" s="850">
        <v>1</v>
      </c>
      <c r="AW142" s="850">
        <v>1</v>
      </c>
      <c r="AX142" s="850">
        <v>1</v>
      </c>
      <c r="AY142" s="850">
        <v>1</v>
      </c>
      <c r="AZ142" s="850">
        <v>1</v>
      </c>
      <c r="BA142" s="850">
        <v>1</v>
      </c>
      <c r="BB142" s="851">
        <f>CO142/$L142</f>
        <v>0.94999999999999973</v>
      </c>
      <c r="BC142" s="853">
        <f>$E142*P142</f>
        <v>0</v>
      </c>
      <c r="BD142" s="853">
        <f t="shared" ref="BD142:BN165" si="147">$E142*Q142</f>
        <v>0</v>
      </c>
      <c r="BE142" s="853">
        <f t="shared" si="147"/>
        <v>0</v>
      </c>
      <c r="BF142" s="853">
        <f t="shared" si="147"/>
        <v>0</v>
      </c>
      <c r="BG142" s="853">
        <f t="shared" si="147"/>
        <v>0</v>
      </c>
      <c r="BH142" s="853">
        <f t="shared" si="147"/>
        <v>0</v>
      </c>
      <c r="BI142" s="853">
        <f t="shared" si="147"/>
        <v>0</v>
      </c>
      <c r="BJ142" s="853">
        <f t="shared" si="147"/>
        <v>0</v>
      </c>
      <c r="BK142" s="853">
        <f t="shared" si="147"/>
        <v>0</v>
      </c>
      <c r="BL142" s="853">
        <f t="shared" si="147"/>
        <v>0</v>
      </c>
      <c r="BM142" s="853">
        <f t="shared" si="147"/>
        <v>0</v>
      </c>
      <c r="BN142" s="853">
        <f t="shared" si="147"/>
        <v>0</v>
      </c>
      <c r="BO142" s="854">
        <f>SUM(BC142:BN142)</f>
        <v>0</v>
      </c>
      <c r="BP142" s="853">
        <f>$I142*AC142</f>
        <v>0</v>
      </c>
      <c r="BQ142" s="853">
        <f t="shared" ref="BQ142:CA165" si="148">$I142*AD142</f>
        <v>0</v>
      </c>
      <c r="BR142" s="853">
        <f t="shared" si="148"/>
        <v>0</v>
      </c>
      <c r="BS142" s="853">
        <f t="shared" si="148"/>
        <v>0</v>
      </c>
      <c r="BT142" s="853">
        <f t="shared" si="148"/>
        <v>0</v>
      </c>
      <c r="BU142" s="853">
        <f t="shared" si="148"/>
        <v>0</v>
      </c>
      <c r="BV142" s="853">
        <f t="shared" si="148"/>
        <v>5.9400000000000013</v>
      </c>
      <c r="BW142" s="853">
        <f t="shared" si="148"/>
        <v>11.880000000000003</v>
      </c>
      <c r="BX142" s="853">
        <f t="shared" si="148"/>
        <v>17.82</v>
      </c>
      <c r="BY142" s="853">
        <f t="shared" si="148"/>
        <v>23.760000000000005</v>
      </c>
      <c r="BZ142" s="853">
        <f t="shared" si="148"/>
        <v>29.700000000000003</v>
      </c>
      <c r="CA142" s="853">
        <f t="shared" si="148"/>
        <v>35.64</v>
      </c>
      <c r="CB142" s="854">
        <f>SUM(BP142:CA142)</f>
        <v>124.74000000000001</v>
      </c>
      <c r="CC142" s="853">
        <f>$M142*AP142</f>
        <v>41.58</v>
      </c>
      <c r="CD142" s="853">
        <f t="shared" ref="CD142:CN165" si="149">$M142*AQ142</f>
        <v>47.52000000000001</v>
      </c>
      <c r="CE142" s="853">
        <f t="shared" si="149"/>
        <v>53.460000000000008</v>
      </c>
      <c r="CF142" s="853">
        <f t="shared" si="149"/>
        <v>59.400000000000006</v>
      </c>
      <c r="CG142" s="853">
        <f t="shared" si="149"/>
        <v>59.400000000000006</v>
      </c>
      <c r="CH142" s="853">
        <f t="shared" si="149"/>
        <v>59.400000000000006</v>
      </c>
      <c r="CI142" s="853">
        <f t="shared" si="149"/>
        <v>59.400000000000006</v>
      </c>
      <c r="CJ142" s="853">
        <f t="shared" si="149"/>
        <v>59.400000000000006</v>
      </c>
      <c r="CK142" s="853">
        <f t="shared" si="149"/>
        <v>59.400000000000006</v>
      </c>
      <c r="CL142" s="853">
        <f t="shared" si="149"/>
        <v>59.400000000000006</v>
      </c>
      <c r="CM142" s="853">
        <f t="shared" si="149"/>
        <v>59.400000000000006</v>
      </c>
      <c r="CN142" s="853">
        <f t="shared" si="149"/>
        <v>59.400000000000006</v>
      </c>
      <c r="CO142" s="854">
        <f>SUM(CC142:CN142)</f>
        <v>677.15999999999985</v>
      </c>
      <c r="CP142" s="855">
        <f>SUM(BO142,CB142,CO142)</f>
        <v>801.89999999999986</v>
      </c>
    </row>
    <row r="143" spans="1:94">
      <c r="A143" s="845">
        <v>2</v>
      </c>
      <c r="B143" s="846" t="s">
        <v>887</v>
      </c>
      <c r="C143" s="847">
        <v>2</v>
      </c>
      <c r="D143" s="847">
        <f>'Xpert needs'!AC14</f>
        <v>504</v>
      </c>
      <c r="E143" s="847">
        <f t="shared" ref="E143:E169" si="150">D143/12</f>
        <v>42</v>
      </c>
      <c r="F143" s="848">
        <f t="shared" ref="F143:F179" si="151">D143/230</f>
        <v>2.1913043478260867</v>
      </c>
      <c r="G143" s="849">
        <f t="shared" ref="G143:G179" si="152">F143/C143</f>
        <v>1.0956521739130434</v>
      </c>
      <c r="H143" s="847">
        <f t="shared" ref="H143:H169" si="153">D143</f>
        <v>504</v>
      </c>
      <c r="I143" s="847">
        <f t="shared" ref="I143:I169" si="154">H143/12</f>
        <v>42</v>
      </c>
      <c r="J143" s="848">
        <f t="shared" ref="J143:J179" si="155">H143/230</f>
        <v>2.1913043478260867</v>
      </c>
      <c r="K143" s="849">
        <f t="shared" ref="K143:K169" si="156">J143/C143</f>
        <v>1.0956521739130434</v>
      </c>
      <c r="L143" s="847">
        <f t="shared" ref="L143:L146" si="157">H143</f>
        <v>504</v>
      </c>
      <c r="M143" s="847">
        <f t="shared" ref="M143:M169" si="158">L143/12</f>
        <v>42</v>
      </c>
      <c r="N143" s="848">
        <f t="shared" ref="N143:N179" si="159">L143/230</f>
        <v>2.1913043478260867</v>
      </c>
      <c r="O143" s="849">
        <f t="shared" ref="O143:O169" si="160">N143/C143</f>
        <v>1.0956521739130434</v>
      </c>
      <c r="P143" s="850"/>
      <c r="Q143" s="850"/>
      <c r="R143" s="850"/>
      <c r="S143" s="850"/>
      <c r="T143" s="850"/>
      <c r="U143" s="850"/>
      <c r="V143" s="850"/>
      <c r="W143" s="850"/>
      <c r="X143" s="850"/>
      <c r="Y143" s="850"/>
      <c r="Z143" s="850"/>
      <c r="AA143" s="850"/>
      <c r="AB143" s="851">
        <f t="shared" ref="AB143:AB179" si="161">BO143/$D143</f>
        <v>0</v>
      </c>
      <c r="AC143" s="852">
        <v>0.1</v>
      </c>
      <c r="AD143" s="850">
        <v>0.3</v>
      </c>
      <c r="AE143" s="850">
        <v>0.5</v>
      </c>
      <c r="AF143" s="850">
        <v>0.7</v>
      </c>
      <c r="AG143" s="850">
        <v>0.8</v>
      </c>
      <c r="AH143" s="850">
        <v>0.9</v>
      </c>
      <c r="AI143" s="850">
        <v>1</v>
      </c>
      <c r="AJ143" s="850">
        <v>1</v>
      </c>
      <c r="AK143" s="850">
        <v>1</v>
      </c>
      <c r="AL143" s="850">
        <v>1</v>
      </c>
      <c r="AM143" s="850">
        <v>1</v>
      </c>
      <c r="AN143" s="850">
        <v>1</v>
      </c>
      <c r="AO143" s="851">
        <f t="shared" ref="AO143:AO169" si="162">CB143/$H143</f>
        <v>0.77500000000000002</v>
      </c>
      <c r="AP143" s="850">
        <v>1</v>
      </c>
      <c r="AQ143" s="850">
        <v>1</v>
      </c>
      <c r="AR143" s="850">
        <v>1</v>
      </c>
      <c r="AS143" s="850">
        <v>1</v>
      </c>
      <c r="AT143" s="850">
        <v>1</v>
      </c>
      <c r="AU143" s="850">
        <v>1</v>
      </c>
      <c r="AV143" s="850">
        <v>1</v>
      </c>
      <c r="AW143" s="850">
        <v>1</v>
      </c>
      <c r="AX143" s="850">
        <v>1</v>
      </c>
      <c r="AY143" s="850">
        <v>1</v>
      </c>
      <c r="AZ143" s="850">
        <v>1</v>
      </c>
      <c r="BA143" s="850">
        <v>1</v>
      </c>
      <c r="BB143" s="851">
        <f t="shared" ref="BB143:BB169" si="163">CO143/$L143</f>
        <v>1</v>
      </c>
      <c r="BC143" s="853">
        <f t="shared" ref="BC143:BE169" si="164">$E143*P143</f>
        <v>0</v>
      </c>
      <c r="BD143" s="853">
        <f t="shared" si="147"/>
        <v>0</v>
      </c>
      <c r="BE143" s="853">
        <f t="shared" si="147"/>
        <v>0</v>
      </c>
      <c r="BF143" s="853">
        <f t="shared" si="147"/>
        <v>0</v>
      </c>
      <c r="BG143" s="853">
        <f t="shared" si="147"/>
        <v>0</v>
      </c>
      <c r="BH143" s="853">
        <f t="shared" si="147"/>
        <v>0</v>
      </c>
      <c r="BI143" s="853">
        <f t="shared" si="147"/>
        <v>0</v>
      </c>
      <c r="BJ143" s="853">
        <f t="shared" si="147"/>
        <v>0</v>
      </c>
      <c r="BK143" s="853">
        <f t="shared" si="147"/>
        <v>0</v>
      </c>
      <c r="BL143" s="853">
        <f t="shared" si="147"/>
        <v>0</v>
      </c>
      <c r="BM143" s="853">
        <f t="shared" si="147"/>
        <v>0</v>
      </c>
      <c r="BN143" s="853">
        <f t="shared" si="147"/>
        <v>0</v>
      </c>
      <c r="BO143" s="854">
        <f t="shared" ref="BO143:BO179" si="165">SUM(BC143:BN143)</f>
        <v>0</v>
      </c>
      <c r="BP143" s="853">
        <f t="shared" ref="BP143:BR169" si="166">$I143*AC143</f>
        <v>4.2</v>
      </c>
      <c r="BQ143" s="853">
        <f t="shared" si="148"/>
        <v>12.6</v>
      </c>
      <c r="BR143" s="853">
        <f t="shared" si="148"/>
        <v>21</v>
      </c>
      <c r="BS143" s="853">
        <f t="shared" si="148"/>
        <v>29.4</v>
      </c>
      <c r="BT143" s="853">
        <f t="shared" si="148"/>
        <v>33.6</v>
      </c>
      <c r="BU143" s="853">
        <f t="shared" si="148"/>
        <v>37.800000000000004</v>
      </c>
      <c r="BV143" s="853">
        <f t="shared" si="148"/>
        <v>42</v>
      </c>
      <c r="BW143" s="853">
        <f t="shared" si="148"/>
        <v>42</v>
      </c>
      <c r="BX143" s="853">
        <f t="shared" si="148"/>
        <v>42</v>
      </c>
      <c r="BY143" s="853">
        <f t="shared" si="148"/>
        <v>42</v>
      </c>
      <c r="BZ143" s="853">
        <f t="shared" si="148"/>
        <v>42</v>
      </c>
      <c r="CA143" s="853">
        <f t="shared" si="148"/>
        <v>42</v>
      </c>
      <c r="CB143" s="854">
        <f t="shared" ref="CB143:CB179" si="167">SUM(BP143:CA143)</f>
        <v>390.6</v>
      </c>
      <c r="CC143" s="853">
        <f t="shared" ref="CC143:CE169" si="168">$M143*AP143</f>
        <v>42</v>
      </c>
      <c r="CD143" s="853">
        <f t="shared" si="149"/>
        <v>42</v>
      </c>
      <c r="CE143" s="853">
        <f t="shared" si="149"/>
        <v>42</v>
      </c>
      <c r="CF143" s="853">
        <f t="shared" si="149"/>
        <v>42</v>
      </c>
      <c r="CG143" s="853">
        <f t="shared" si="149"/>
        <v>42</v>
      </c>
      <c r="CH143" s="853">
        <f t="shared" si="149"/>
        <v>42</v>
      </c>
      <c r="CI143" s="853">
        <f t="shared" si="149"/>
        <v>42</v>
      </c>
      <c r="CJ143" s="853">
        <f t="shared" si="149"/>
        <v>42</v>
      </c>
      <c r="CK143" s="853">
        <f t="shared" si="149"/>
        <v>42</v>
      </c>
      <c r="CL143" s="853">
        <f t="shared" si="149"/>
        <v>42</v>
      </c>
      <c r="CM143" s="853">
        <f t="shared" si="149"/>
        <v>42</v>
      </c>
      <c r="CN143" s="853">
        <f t="shared" si="149"/>
        <v>42</v>
      </c>
      <c r="CO143" s="854">
        <f t="shared" ref="CO143:CO179" si="169">SUM(CC143:CN143)</f>
        <v>504</v>
      </c>
      <c r="CP143" s="855">
        <f t="shared" ref="CP143:CP179" si="170">SUM(BO143,CB143,CO143)</f>
        <v>894.6</v>
      </c>
    </row>
    <row r="144" spans="1:94">
      <c r="A144" s="856">
        <v>3</v>
      </c>
      <c r="B144" s="846" t="str">
        <f>B85</f>
        <v>Telavi (LSS)</v>
      </c>
      <c r="C144" s="847">
        <v>4</v>
      </c>
      <c r="D144" s="847">
        <f>'Xpert needs'!AC16</f>
        <v>1287.9000000000001</v>
      </c>
      <c r="E144" s="847">
        <f t="shared" si="150"/>
        <v>107.325</v>
      </c>
      <c r="F144" s="848">
        <f t="shared" si="151"/>
        <v>5.5995652173913051</v>
      </c>
      <c r="G144" s="849">
        <f t="shared" si="152"/>
        <v>1.3998913043478263</v>
      </c>
      <c r="H144" s="847">
        <f t="shared" si="153"/>
        <v>1287.9000000000001</v>
      </c>
      <c r="I144" s="847">
        <f t="shared" si="154"/>
        <v>107.325</v>
      </c>
      <c r="J144" s="848">
        <f t="shared" si="155"/>
        <v>5.5995652173913051</v>
      </c>
      <c r="K144" s="849">
        <f t="shared" si="156"/>
        <v>1.3998913043478263</v>
      </c>
      <c r="L144" s="847">
        <f t="shared" si="157"/>
        <v>1287.9000000000001</v>
      </c>
      <c r="M144" s="847">
        <f t="shared" si="158"/>
        <v>107.325</v>
      </c>
      <c r="N144" s="848">
        <f t="shared" si="159"/>
        <v>5.5995652173913051</v>
      </c>
      <c r="O144" s="849">
        <f t="shared" si="160"/>
        <v>1.3998913043478263</v>
      </c>
      <c r="P144" s="857">
        <v>0.45</v>
      </c>
      <c r="Q144" s="850">
        <v>0.5</v>
      </c>
      <c r="R144" s="850">
        <v>0.55000000000000004</v>
      </c>
      <c r="S144" s="850">
        <v>0.6</v>
      </c>
      <c r="T144" s="850">
        <v>0.65</v>
      </c>
      <c r="U144" s="850">
        <v>0.79</v>
      </c>
      <c r="V144" s="850">
        <v>0.75</v>
      </c>
      <c r="W144" s="850">
        <v>0.8</v>
      </c>
      <c r="X144" s="850">
        <v>0.8</v>
      </c>
      <c r="Y144" s="850">
        <v>0.8</v>
      </c>
      <c r="Z144" s="850">
        <v>0.8</v>
      </c>
      <c r="AA144" s="850">
        <v>0.8</v>
      </c>
      <c r="AB144" s="851">
        <f t="shared" si="161"/>
        <v>0.69083333333333341</v>
      </c>
      <c r="AC144" s="850">
        <v>0.85</v>
      </c>
      <c r="AD144" s="850">
        <v>0.9</v>
      </c>
      <c r="AE144" s="850">
        <v>0.95</v>
      </c>
      <c r="AF144" s="850">
        <v>1</v>
      </c>
      <c r="AG144" s="850">
        <v>1</v>
      </c>
      <c r="AH144" s="850">
        <v>1</v>
      </c>
      <c r="AI144" s="850">
        <v>1</v>
      </c>
      <c r="AJ144" s="850">
        <v>1</v>
      </c>
      <c r="AK144" s="850">
        <v>1</v>
      </c>
      <c r="AL144" s="850">
        <v>1</v>
      </c>
      <c r="AM144" s="850">
        <v>1</v>
      </c>
      <c r="AN144" s="850">
        <v>1</v>
      </c>
      <c r="AO144" s="851">
        <f t="shared" si="162"/>
        <v>0.97499999999999998</v>
      </c>
      <c r="AP144" s="850">
        <v>1</v>
      </c>
      <c r="AQ144" s="850">
        <v>1</v>
      </c>
      <c r="AR144" s="850">
        <v>1</v>
      </c>
      <c r="AS144" s="850">
        <v>1</v>
      </c>
      <c r="AT144" s="850">
        <v>1</v>
      </c>
      <c r="AU144" s="850">
        <v>1</v>
      </c>
      <c r="AV144" s="850">
        <v>1</v>
      </c>
      <c r="AW144" s="850">
        <v>1</v>
      </c>
      <c r="AX144" s="850">
        <v>1</v>
      </c>
      <c r="AY144" s="850">
        <v>1</v>
      </c>
      <c r="AZ144" s="850">
        <v>1</v>
      </c>
      <c r="BA144" s="850">
        <v>1</v>
      </c>
      <c r="BB144" s="851">
        <f t="shared" si="163"/>
        <v>1.0000000000000002</v>
      </c>
      <c r="BC144" s="853">
        <f t="shared" si="164"/>
        <v>48.296250000000001</v>
      </c>
      <c r="BD144" s="853">
        <f t="shared" si="147"/>
        <v>53.662500000000001</v>
      </c>
      <c r="BE144" s="853">
        <f t="shared" si="147"/>
        <v>59.028750000000009</v>
      </c>
      <c r="BF144" s="853">
        <f t="shared" si="147"/>
        <v>64.394999999999996</v>
      </c>
      <c r="BG144" s="853">
        <f t="shared" si="147"/>
        <v>69.761250000000004</v>
      </c>
      <c r="BH144" s="853">
        <f t="shared" si="147"/>
        <v>84.786750000000012</v>
      </c>
      <c r="BI144" s="853">
        <f t="shared" si="147"/>
        <v>80.493750000000006</v>
      </c>
      <c r="BJ144" s="853">
        <f t="shared" si="147"/>
        <v>85.860000000000014</v>
      </c>
      <c r="BK144" s="853">
        <f t="shared" si="147"/>
        <v>85.860000000000014</v>
      </c>
      <c r="BL144" s="853">
        <f t="shared" si="147"/>
        <v>85.860000000000014</v>
      </c>
      <c r="BM144" s="853">
        <f t="shared" si="147"/>
        <v>85.860000000000014</v>
      </c>
      <c r="BN144" s="853">
        <f t="shared" si="147"/>
        <v>85.860000000000014</v>
      </c>
      <c r="BO144" s="854">
        <f t="shared" si="165"/>
        <v>889.7242500000001</v>
      </c>
      <c r="BP144" s="853">
        <f t="shared" si="166"/>
        <v>91.226249999999993</v>
      </c>
      <c r="BQ144" s="853">
        <f t="shared" si="148"/>
        <v>96.592500000000001</v>
      </c>
      <c r="BR144" s="853">
        <f t="shared" si="148"/>
        <v>101.95874999999999</v>
      </c>
      <c r="BS144" s="853">
        <f t="shared" si="148"/>
        <v>107.325</v>
      </c>
      <c r="BT144" s="853">
        <f t="shared" si="148"/>
        <v>107.325</v>
      </c>
      <c r="BU144" s="853">
        <f t="shared" si="148"/>
        <v>107.325</v>
      </c>
      <c r="BV144" s="853">
        <f t="shared" si="148"/>
        <v>107.325</v>
      </c>
      <c r="BW144" s="853">
        <f t="shared" si="148"/>
        <v>107.325</v>
      </c>
      <c r="BX144" s="853">
        <f t="shared" si="148"/>
        <v>107.325</v>
      </c>
      <c r="BY144" s="853">
        <f t="shared" si="148"/>
        <v>107.325</v>
      </c>
      <c r="BZ144" s="853">
        <f t="shared" si="148"/>
        <v>107.325</v>
      </c>
      <c r="CA144" s="853">
        <f t="shared" si="148"/>
        <v>107.325</v>
      </c>
      <c r="CB144" s="854">
        <f t="shared" si="167"/>
        <v>1255.7025000000001</v>
      </c>
      <c r="CC144" s="853">
        <f t="shared" si="168"/>
        <v>107.325</v>
      </c>
      <c r="CD144" s="853">
        <f t="shared" si="149"/>
        <v>107.325</v>
      </c>
      <c r="CE144" s="853">
        <f t="shared" si="149"/>
        <v>107.325</v>
      </c>
      <c r="CF144" s="853">
        <f t="shared" si="149"/>
        <v>107.325</v>
      </c>
      <c r="CG144" s="853">
        <f t="shared" si="149"/>
        <v>107.325</v>
      </c>
      <c r="CH144" s="853">
        <f t="shared" si="149"/>
        <v>107.325</v>
      </c>
      <c r="CI144" s="853">
        <f t="shared" si="149"/>
        <v>107.325</v>
      </c>
      <c r="CJ144" s="853">
        <f t="shared" si="149"/>
        <v>107.325</v>
      </c>
      <c r="CK144" s="853">
        <f t="shared" si="149"/>
        <v>107.325</v>
      </c>
      <c r="CL144" s="853">
        <f t="shared" si="149"/>
        <v>107.325</v>
      </c>
      <c r="CM144" s="853">
        <f t="shared" si="149"/>
        <v>107.325</v>
      </c>
      <c r="CN144" s="853">
        <f t="shared" si="149"/>
        <v>107.325</v>
      </c>
      <c r="CO144" s="854">
        <f t="shared" si="169"/>
        <v>1287.9000000000003</v>
      </c>
      <c r="CP144" s="855">
        <f t="shared" si="170"/>
        <v>3433.3267500000002</v>
      </c>
    </row>
    <row r="145" spans="1:94">
      <c r="A145" s="845">
        <v>4</v>
      </c>
      <c r="B145" s="846" t="s">
        <v>890</v>
      </c>
      <c r="C145" s="847">
        <v>2</v>
      </c>
      <c r="D145" s="847">
        <f>'Xpert needs'!AC17</f>
        <v>393.59999999999997</v>
      </c>
      <c r="E145" s="847">
        <f t="shared" si="150"/>
        <v>32.799999999999997</v>
      </c>
      <c r="F145" s="848">
        <f t="shared" si="151"/>
        <v>1.7113043478260868</v>
      </c>
      <c r="G145" s="849">
        <f t="shared" si="152"/>
        <v>0.85565217391304338</v>
      </c>
      <c r="H145" s="847">
        <f t="shared" si="153"/>
        <v>393.59999999999997</v>
      </c>
      <c r="I145" s="847">
        <f t="shared" si="154"/>
        <v>32.799999999999997</v>
      </c>
      <c r="J145" s="848">
        <f t="shared" si="155"/>
        <v>1.7113043478260868</v>
      </c>
      <c r="K145" s="849">
        <f t="shared" si="156"/>
        <v>0.85565217391304338</v>
      </c>
      <c r="L145" s="847">
        <f t="shared" si="157"/>
        <v>393.59999999999997</v>
      </c>
      <c r="M145" s="847">
        <f t="shared" si="158"/>
        <v>32.799999999999997</v>
      </c>
      <c r="N145" s="848">
        <f t="shared" si="159"/>
        <v>1.7113043478260868</v>
      </c>
      <c r="O145" s="849">
        <f t="shared" si="160"/>
        <v>0.85565217391304338</v>
      </c>
      <c r="P145" s="850"/>
      <c r="Q145" s="850"/>
      <c r="R145" s="850"/>
      <c r="S145" s="850"/>
      <c r="T145" s="850"/>
      <c r="U145" s="850"/>
      <c r="V145" s="850"/>
      <c r="W145" s="850"/>
      <c r="X145" s="850"/>
      <c r="Y145" s="850"/>
      <c r="Z145" s="850"/>
      <c r="AA145" s="850"/>
      <c r="AB145" s="851">
        <f t="shared" si="161"/>
        <v>0</v>
      </c>
      <c r="AC145" s="852">
        <v>0.1</v>
      </c>
      <c r="AD145" s="850">
        <v>0.3</v>
      </c>
      <c r="AE145" s="850">
        <v>0.5</v>
      </c>
      <c r="AF145" s="850">
        <v>0.7</v>
      </c>
      <c r="AG145" s="850">
        <v>0.8</v>
      </c>
      <c r="AH145" s="850">
        <v>0.9</v>
      </c>
      <c r="AI145" s="850">
        <v>1</v>
      </c>
      <c r="AJ145" s="850">
        <v>1</v>
      </c>
      <c r="AK145" s="850">
        <v>1</v>
      </c>
      <c r="AL145" s="850">
        <v>1</v>
      </c>
      <c r="AM145" s="850">
        <v>1</v>
      </c>
      <c r="AN145" s="850">
        <v>1</v>
      </c>
      <c r="AO145" s="851">
        <f t="shared" si="162"/>
        <v>0.77500000000000013</v>
      </c>
      <c r="AP145" s="850">
        <v>1</v>
      </c>
      <c r="AQ145" s="850">
        <v>1</v>
      </c>
      <c r="AR145" s="850">
        <v>1</v>
      </c>
      <c r="AS145" s="850">
        <v>1</v>
      </c>
      <c r="AT145" s="850">
        <v>1</v>
      </c>
      <c r="AU145" s="850">
        <v>1</v>
      </c>
      <c r="AV145" s="850">
        <v>1</v>
      </c>
      <c r="AW145" s="850">
        <v>1</v>
      </c>
      <c r="AX145" s="850">
        <v>1</v>
      </c>
      <c r="AY145" s="850">
        <v>1</v>
      </c>
      <c r="AZ145" s="850">
        <v>1</v>
      </c>
      <c r="BA145" s="850">
        <v>1</v>
      </c>
      <c r="BB145" s="851">
        <f t="shared" si="163"/>
        <v>1.0000000000000002</v>
      </c>
      <c r="BC145" s="853">
        <f t="shared" si="164"/>
        <v>0</v>
      </c>
      <c r="BD145" s="853">
        <f t="shared" si="147"/>
        <v>0</v>
      </c>
      <c r="BE145" s="853">
        <f t="shared" si="147"/>
        <v>0</v>
      </c>
      <c r="BF145" s="853">
        <f t="shared" si="147"/>
        <v>0</v>
      </c>
      <c r="BG145" s="853">
        <f t="shared" si="147"/>
        <v>0</v>
      </c>
      <c r="BH145" s="853">
        <f t="shared" si="147"/>
        <v>0</v>
      </c>
      <c r="BI145" s="853">
        <f t="shared" si="147"/>
        <v>0</v>
      </c>
      <c r="BJ145" s="853">
        <f t="shared" si="147"/>
        <v>0</v>
      </c>
      <c r="BK145" s="853">
        <f t="shared" si="147"/>
        <v>0</v>
      </c>
      <c r="BL145" s="853">
        <f t="shared" si="147"/>
        <v>0</v>
      </c>
      <c r="BM145" s="853">
        <f t="shared" si="147"/>
        <v>0</v>
      </c>
      <c r="BN145" s="853">
        <f t="shared" si="147"/>
        <v>0</v>
      </c>
      <c r="BO145" s="854">
        <f t="shared" si="165"/>
        <v>0</v>
      </c>
      <c r="BP145" s="853">
        <f t="shared" si="166"/>
        <v>3.28</v>
      </c>
      <c r="BQ145" s="853">
        <f t="shared" si="148"/>
        <v>9.8399999999999981</v>
      </c>
      <c r="BR145" s="853">
        <f t="shared" si="148"/>
        <v>16.399999999999999</v>
      </c>
      <c r="BS145" s="853">
        <f t="shared" si="148"/>
        <v>22.959999999999997</v>
      </c>
      <c r="BT145" s="853">
        <f t="shared" si="148"/>
        <v>26.24</v>
      </c>
      <c r="BU145" s="853">
        <f t="shared" si="148"/>
        <v>29.52</v>
      </c>
      <c r="BV145" s="853">
        <f t="shared" si="148"/>
        <v>32.799999999999997</v>
      </c>
      <c r="BW145" s="853">
        <f t="shared" si="148"/>
        <v>32.799999999999997</v>
      </c>
      <c r="BX145" s="853">
        <f t="shared" si="148"/>
        <v>32.799999999999997</v>
      </c>
      <c r="BY145" s="853">
        <f t="shared" si="148"/>
        <v>32.799999999999997</v>
      </c>
      <c r="BZ145" s="853">
        <f t="shared" si="148"/>
        <v>32.799999999999997</v>
      </c>
      <c r="CA145" s="853">
        <f t="shared" si="148"/>
        <v>32.799999999999997</v>
      </c>
      <c r="CB145" s="854">
        <f t="shared" si="167"/>
        <v>305.04000000000002</v>
      </c>
      <c r="CC145" s="853">
        <f t="shared" si="168"/>
        <v>32.799999999999997</v>
      </c>
      <c r="CD145" s="853">
        <f t="shared" si="149"/>
        <v>32.799999999999997</v>
      </c>
      <c r="CE145" s="853">
        <f t="shared" si="149"/>
        <v>32.799999999999997</v>
      </c>
      <c r="CF145" s="853">
        <f t="shared" si="149"/>
        <v>32.799999999999997</v>
      </c>
      <c r="CG145" s="853">
        <f t="shared" si="149"/>
        <v>32.799999999999997</v>
      </c>
      <c r="CH145" s="853">
        <f t="shared" si="149"/>
        <v>32.799999999999997</v>
      </c>
      <c r="CI145" s="853">
        <f t="shared" si="149"/>
        <v>32.799999999999997</v>
      </c>
      <c r="CJ145" s="853">
        <f t="shared" si="149"/>
        <v>32.799999999999997</v>
      </c>
      <c r="CK145" s="853">
        <f t="shared" si="149"/>
        <v>32.799999999999997</v>
      </c>
      <c r="CL145" s="853">
        <f t="shared" si="149"/>
        <v>32.799999999999997</v>
      </c>
      <c r="CM145" s="853">
        <f t="shared" si="149"/>
        <v>32.799999999999997</v>
      </c>
      <c r="CN145" s="853">
        <f t="shared" si="149"/>
        <v>32.799999999999997</v>
      </c>
      <c r="CO145" s="854">
        <f t="shared" si="169"/>
        <v>393.60000000000008</v>
      </c>
      <c r="CP145" s="855">
        <f t="shared" si="170"/>
        <v>698.6400000000001</v>
      </c>
    </row>
    <row r="146" spans="1:94">
      <c r="A146" s="856">
        <v>5</v>
      </c>
      <c r="B146" s="846" t="s">
        <v>1692</v>
      </c>
      <c r="C146" s="847">
        <v>4</v>
      </c>
      <c r="D146" s="847">
        <f>'Xpert needs'!AC23</f>
        <v>1794.4</v>
      </c>
      <c r="E146" s="847">
        <f t="shared" si="150"/>
        <v>149.53333333333333</v>
      </c>
      <c r="F146" s="848">
        <f t="shared" si="151"/>
        <v>7.8017391304347834</v>
      </c>
      <c r="G146" s="849">
        <f t="shared" si="152"/>
        <v>1.9504347826086958</v>
      </c>
      <c r="H146" s="847">
        <f t="shared" si="153"/>
        <v>1794.4</v>
      </c>
      <c r="I146" s="847">
        <f t="shared" si="154"/>
        <v>149.53333333333333</v>
      </c>
      <c r="J146" s="848">
        <f t="shared" si="155"/>
        <v>7.8017391304347834</v>
      </c>
      <c r="K146" s="849">
        <f t="shared" si="156"/>
        <v>1.9504347826086958</v>
      </c>
      <c r="L146" s="883">
        <f t="shared" si="157"/>
        <v>1794.4</v>
      </c>
      <c r="M146" s="847">
        <f t="shared" si="158"/>
        <v>149.53333333333333</v>
      </c>
      <c r="N146" s="848">
        <f t="shared" si="159"/>
        <v>7.8017391304347834</v>
      </c>
      <c r="O146" s="849">
        <f t="shared" si="160"/>
        <v>1.9504347826086958</v>
      </c>
      <c r="P146" s="857">
        <v>0.7</v>
      </c>
      <c r="Q146" s="850">
        <v>0.7</v>
      </c>
      <c r="R146" s="850">
        <v>0.75</v>
      </c>
      <c r="S146" s="850">
        <v>0.75</v>
      </c>
      <c r="T146" s="850">
        <v>0.8</v>
      </c>
      <c r="U146" s="850">
        <v>0.8</v>
      </c>
      <c r="V146" s="850">
        <v>0.8</v>
      </c>
      <c r="W146" s="850">
        <v>0.8</v>
      </c>
      <c r="X146" s="850">
        <v>0.85</v>
      </c>
      <c r="Y146" s="850">
        <v>0.85</v>
      </c>
      <c r="Z146" s="850">
        <v>0.9</v>
      </c>
      <c r="AA146" s="850">
        <v>0.9</v>
      </c>
      <c r="AB146" s="851">
        <f t="shared" si="161"/>
        <v>0.79999999999999982</v>
      </c>
      <c r="AC146" s="850">
        <v>0.9</v>
      </c>
      <c r="AD146" s="850">
        <v>0.9</v>
      </c>
      <c r="AE146" s="850">
        <v>0.95</v>
      </c>
      <c r="AF146" s="850">
        <v>0.95</v>
      </c>
      <c r="AG146" s="850">
        <v>1</v>
      </c>
      <c r="AH146" s="850">
        <v>1</v>
      </c>
      <c r="AI146" s="850">
        <v>1</v>
      </c>
      <c r="AJ146" s="850">
        <v>1</v>
      </c>
      <c r="AK146" s="850">
        <v>1</v>
      </c>
      <c r="AL146" s="850">
        <v>1</v>
      </c>
      <c r="AM146" s="850">
        <v>1</v>
      </c>
      <c r="AN146" s="850">
        <v>1</v>
      </c>
      <c r="AO146" s="851">
        <f t="shared" si="162"/>
        <v>0.97499999999999976</v>
      </c>
      <c r="AP146" s="850">
        <v>1</v>
      </c>
      <c r="AQ146" s="850">
        <v>1</v>
      </c>
      <c r="AR146" s="850">
        <v>1</v>
      </c>
      <c r="AS146" s="850">
        <v>1</v>
      </c>
      <c r="AT146" s="850">
        <v>1</v>
      </c>
      <c r="AU146" s="850">
        <v>1</v>
      </c>
      <c r="AV146" s="850">
        <v>1</v>
      </c>
      <c r="AW146" s="850">
        <v>1</v>
      </c>
      <c r="AX146" s="850">
        <v>1</v>
      </c>
      <c r="AY146" s="850">
        <v>1</v>
      </c>
      <c r="AZ146" s="850">
        <v>1</v>
      </c>
      <c r="BA146" s="850">
        <v>1</v>
      </c>
      <c r="BB146" s="851">
        <f t="shared" si="163"/>
        <v>0.99999999999999989</v>
      </c>
      <c r="BC146" s="853">
        <f t="shared" si="164"/>
        <v>104.67333333333333</v>
      </c>
      <c r="BD146" s="853">
        <f t="shared" si="147"/>
        <v>104.67333333333333</v>
      </c>
      <c r="BE146" s="853">
        <f t="shared" si="147"/>
        <v>112.15</v>
      </c>
      <c r="BF146" s="853">
        <f t="shared" si="147"/>
        <v>112.15</v>
      </c>
      <c r="BG146" s="853">
        <f t="shared" si="147"/>
        <v>119.62666666666667</v>
      </c>
      <c r="BH146" s="853">
        <f t="shared" si="147"/>
        <v>119.62666666666667</v>
      </c>
      <c r="BI146" s="853">
        <f t="shared" si="147"/>
        <v>119.62666666666667</v>
      </c>
      <c r="BJ146" s="853">
        <f t="shared" si="147"/>
        <v>119.62666666666667</v>
      </c>
      <c r="BK146" s="853">
        <f t="shared" si="147"/>
        <v>127.10333333333332</v>
      </c>
      <c r="BL146" s="853">
        <f t="shared" si="147"/>
        <v>127.10333333333332</v>
      </c>
      <c r="BM146" s="853">
        <f t="shared" si="147"/>
        <v>134.58000000000001</v>
      </c>
      <c r="BN146" s="853">
        <f t="shared" si="147"/>
        <v>134.58000000000001</v>
      </c>
      <c r="BO146" s="854">
        <f t="shared" si="165"/>
        <v>1435.5199999999998</v>
      </c>
      <c r="BP146" s="853">
        <f t="shared" si="166"/>
        <v>134.58000000000001</v>
      </c>
      <c r="BQ146" s="853">
        <f t="shared" si="148"/>
        <v>134.58000000000001</v>
      </c>
      <c r="BR146" s="853">
        <f t="shared" si="148"/>
        <v>142.05666666666667</v>
      </c>
      <c r="BS146" s="853">
        <f t="shared" si="148"/>
        <v>142.05666666666667</v>
      </c>
      <c r="BT146" s="853">
        <f t="shared" si="148"/>
        <v>149.53333333333333</v>
      </c>
      <c r="BU146" s="853">
        <f t="shared" si="148"/>
        <v>149.53333333333333</v>
      </c>
      <c r="BV146" s="853">
        <f t="shared" si="148"/>
        <v>149.53333333333333</v>
      </c>
      <c r="BW146" s="853">
        <f t="shared" si="148"/>
        <v>149.53333333333333</v>
      </c>
      <c r="BX146" s="853">
        <f t="shared" si="148"/>
        <v>149.53333333333333</v>
      </c>
      <c r="BY146" s="853">
        <f t="shared" si="148"/>
        <v>149.53333333333333</v>
      </c>
      <c r="BZ146" s="853">
        <f t="shared" si="148"/>
        <v>149.53333333333333</v>
      </c>
      <c r="CA146" s="853">
        <f t="shared" si="148"/>
        <v>149.53333333333333</v>
      </c>
      <c r="CB146" s="854">
        <f t="shared" si="167"/>
        <v>1749.5399999999997</v>
      </c>
      <c r="CC146" s="853">
        <f t="shared" si="168"/>
        <v>149.53333333333333</v>
      </c>
      <c r="CD146" s="853">
        <f t="shared" si="149"/>
        <v>149.53333333333333</v>
      </c>
      <c r="CE146" s="853">
        <f t="shared" si="149"/>
        <v>149.53333333333333</v>
      </c>
      <c r="CF146" s="853">
        <f t="shared" si="149"/>
        <v>149.53333333333333</v>
      </c>
      <c r="CG146" s="853">
        <f t="shared" si="149"/>
        <v>149.53333333333333</v>
      </c>
      <c r="CH146" s="853">
        <f t="shared" si="149"/>
        <v>149.53333333333333</v>
      </c>
      <c r="CI146" s="853">
        <f t="shared" si="149"/>
        <v>149.53333333333333</v>
      </c>
      <c r="CJ146" s="853">
        <f t="shared" si="149"/>
        <v>149.53333333333333</v>
      </c>
      <c r="CK146" s="853">
        <f t="shared" si="149"/>
        <v>149.53333333333333</v>
      </c>
      <c r="CL146" s="853">
        <f t="shared" si="149"/>
        <v>149.53333333333333</v>
      </c>
      <c r="CM146" s="853">
        <f t="shared" si="149"/>
        <v>149.53333333333333</v>
      </c>
      <c r="CN146" s="853">
        <f t="shared" si="149"/>
        <v>149.53333333333333</v>
      </c>
      <c r="CO146" s="854">
        <f t="shared" si="169"/>
        <v>1794.3999999999999</v>
      </c>
      <c r="CP146" s="855">
        <f t="shared" si="170"/>
        <v>4979.4599999999991</v>
      </c>
    </row>
    <row r="147" spans="1:94">
      <c r="A147" s="845">
        <v>6</v>
      </c>
      <c r="B147" s="846" t="s">
        <v>901</v>
      </c>
      <c r="C147" s="869">
        <v>4</v>
      </c>
      <c r="D147" s="847">
        <f>'Xpert needs'!AC28</f>
        <v>994.40000000000009</v>
      </c>
      <c r="E147" s="847">
        <f t="shared" si="150"/>
        <v>82.866666666666674</v>
      </c>
      <c r="F147" s="848">
        <f t="shared" si="151"/>
        <v>4.3234782608695657</v>
      </c>
      <c r="G147" s="849">
        <f t="shared" si="152"/>
        <v>1.0808695652173914</v>
      </c>
      <c r="H147" s="847">
        <f t="shared" si="153"/>
        <v>994.40000000000009</v>
      </c>
      <c r="I147" s="847">
        <f t="shared" si="154"/>
        <v>82.866666666666674</v>
      </c>
      <c r="J147" s="848">
        <f t="shared" si="155"/>
        <v>4.3234782608695657</v>
      </c>
      <c r="K147" s="849">
        <f t="shared" si="156"/>
        <v>1.0808695652173914</v>
      </c>
      <c r="L147" s="847">
        <f>H147</f>
        <v>994.40000000000009</v>
      </c>
      <c r="M147" s="847">
        <f t="shared" si="158"/>
        <v>82.866666666666674</v>
      </c>
      <c r="N147" s="848">
        <f t="shared" si="159"/>
        <v>4.3234782608695657</v>
      </c>
      <c r="O147" s="849">
        <f t="shared" si="160"/>
        <v>1.0808695652173914</v>
      </c>
      <c r="P147" s="850"/>
      <c r="Q147" s="850"/>
      <c r="R147" s="850"/>
      <c r="S147" s="850"/>
      <c r="T147" s="850"/>
      <c r="U147" s="850"/>
      <c r="V147" s="850"/>
      <c r="W147" s="850"/>
      <c r="X147" s="850"/>
      <c r="Y147" s="850"/>
      <c r="Z147" s="850"/>
      <c r="AA147" s="850"/>
      <c r="AB147" s="851">
        <f t="shared" si="161"/>
        <v>0</v>
      </c>
      <c r="AC147" s="852">
        <v>0.1</v>
      </c>
      <c r="AD147" s="850">
        <v>0.3</v>
      </c>
      <c r="AE147" s="850">
        <v>0.5</v>
      </c>
      <c r="AF147" s="850">
        <v>0.7</v>
      </c>
      <c r="AG147" s="850">
        <v>0.8</v>
      </c>
      <c r="AH147" s="850">
        <v>0.9</v>
      </c>
      <c r="AI147" s="850">
        <v>1</v>
      </c>
      <c r="AJ147" s="850">
        <v>1</v>
      </c>
      <c r="AK147" s="850">
        <v>1</v>
      </c>
      <c r="AL147" s="850">
        <v>1</v>
      </c>
      <c r="AM147" s="850">
        <v>1</v>
      </c>
      <c r="AN147" s="850">
        <v>1</v>
      </c>
      <c r="AO147" s="851">
        <f t="shared" si="162"/>
        <v>0.77500000000000002</v>
      </c>
      <c r="AP147" s="850">
        <v>1</v>
      </c>
      <c r="AQ147" s="850">
        <v>1</v>
      </c>
      <c r="AR147" s="850">
        <v>1</v>
      </c>
      <c r="AS147" s="850">
        <v>1</v>
      </c>
      <c r="AT147" s="850">
        <v>1</v>
      </c>
      <c r="AU147" s="850">
        <v>1</v>
      </c>
      <c r="AV147" s="850">
        <v>1</v>
      </c>
      <c r="AW147" s="850">
        <v>1</v>
      </c>
      <c r="AX147" s="850">
        <v>1</v>
      </c>
      <c r="AY147" s="850">
        <v>1</v>
      </c>
      <c r="AZ147" s="850">
        <v>1</v>
      </c>
      <c r="BA147" s="850">
        <v>1</v>
      </c>
      <c r="BB147" s="851">
        <f t="shared" si="163"/>
        <v>1</v>
      </c>
      <c r="BC147" s="853">
        <f t="shared" si="164"/>
        <v>0</v>
      </c>
      <c r="BD147" s="853">
        <f t="shared" si="147"/>
        <v>0</v>
      </c>
      <c r="BE147" s="853">
        <f t="shared" si="147"/>
        <v>0</v>
      </c>
      <c r="BF147" s="853">
        <f t="shared" si="147"/>
        <v>0</v>
      </c>
      <c r="BG147" s="853">
        <f t="shared" si="147"/>
        <v>0</v>
      </c>
      <c r="BH147" s="853">
        <f t="shared" si="147"/>
        <v>0</v>
      </c>
      <c r="BI147" s="853">
        <f t="shared" si="147"/>
        <v>0</v>
      </c>
      <c r="BJ147" s="853">
        <f t="shared" si="147"/>
        <v>0</v>
      </c>
      <c r="BK147" s="853">
        <f t="shared" si="147"/>
        <v>0</v>
      </c>
      <c r="BL147" s="853">
        <f t="shared" si="147"/>
        <v>0</v>
      </c>
      <c r="BM147" s="853">
        <f t="shared" si="147"/>
        <v>0</v>
      </c>
      <c r="BN147" s="853">
        <f t="shared" si="147"/>
        <v>0</v>
      </c>
      <c r="BO147" s="854">
        <f t="shared" si="165"/>
        <v>0</v>
      </c>
      <c r="BP147" s="853">
        <f t="shared" si="166"/>
        <v>8.2866666666666671</v>
      </c>
      <c r="BQ147" s="853">
        <f t="shared" si="148"/>
        <v>24.860000000000003</v>
      </c>
      <c r="BR147" s="853">
        <f t="shared" si="148"/>
        <v>41.433333333333337</v>
      </c>
      <c r="BS147" s="853">
        <f t="shared" si="148"/>
        <v>58.006666666666668</v>
      </c>
      <c r="BT147" s="853">
        <f t="shared" si="148"/>
        <v>66.293333333333337</v>
      </c>
      <c r="BU147" s="853">
        <f t="shared" si="148"/>
        <v>74.580000000000013</v>
      </c>
      <c r="BV147" s="853">
        <f t="shared" si="148"/>
        <v>82.866666666666674</v>
      </c>
      <c r="BW147" s="853">
        <f t="shared" si="148"/>
        <v>82.866666666666674</v>
      </c>
      <c r="BX147" s="853">
        <f t="shared" si="148"/>
        <v>82.866666666666674</v>
      </c>
      <c r="BY147" s="853">
        <f t="shared" si="148"/>
        <v>82.866666666666674</v>
      </c>
      <c r="BZ147" s="853">
        <f t="shared" si="148"/>
        <v>82.866666666666674</v>
      </c>
      <c r="CA147" s="853">
        <f t="shared" si="148"/>
        <v>82.866666666666674</v>
      </c>
      <c r="CB147" s="854">
        <f t="shared" si="167"/>
        <v>770.66000000000008</v>
      </c>
      <c r="CC147" s="853">
        <f t="shared" si="168"/>
        <v>82.866666666666674</v>
      </c>
      <c r="CD147" s="853">
        <f t="shared" si="149"/>
        <v>82.866666666666674</v>
      </c>
      <c r="CE147" s="853">
        <f t="shared" si="149"/>
        <v>82.866666666666674</v>
      </c>
      <c r="CF147" s="853">
        <f t="shared" si="149"/>
        <v>82.866666666666674</v>
      </c>
      <c r="CG147" s="853">
        <f t="shared" si="149"/>
        <v>82.866666666666674</v>
      </c>
      <c r="CH147" s="853">
        <f t="shared" si="149"/>
        <v>82.866666666666674</v>
      </c>
      <c r="CI147" s="853">
        <f t="shared" si="149"/>
        <v>82.866666666666674</v>
      </c>
      <c r="CJ147" s="853">
        <f t="shared" si="149"/>
        <v>82.866666666666674</v>
      </c>
      <c r="CK147" s="853">
        <f t="shared" si="149"/>
        <v>82.866666666666674</v>
      </c>
      <c r="CL147" s="853">
        <f t="shared" si="149"/>
        <v>82.866666666666674</v>
      </c>
      <c r="CM147" s="853">
        <f t="shared" si="149"/>
        <v>82.866666666666674</v>
      </c>
      <c r="CN147" s="853">
        <f t="shared" si="149"/>
        <v>82.866666666666674</v>
      </c>
      <c r="CO147" s="854">
        <f t="shared" si="169"/>
        <v>994.40000000000009</v>
      </c>
      <c r="CP147" s="855">
        <f t="shared" si="170"/>
        <v>1765.0600000000002</v>
      </c>
    </row>
    <row r="148" spans="1:94">
      <c r="A148" s="845">
        <v>7</v>
      </c>
      <c r="B148" s="846" t="s">
        <v>905</v>
      </c>
      <c r="C148" s="847">
        <v>2</v>
      </c>
      <c r="D148" s="847">
        <f>'Xpert needs'!AC32</f>
        <v>496.4</v>
      </c>
      <c r="E148" s="847">
        <f t="shared" si="150"/>
        <v>41.366666666666667</v>
      </c>
      <c r="F148" s="848">
        <f t="shared" si="151"/>
        <v>2.1582608695652175</v>
      </c>
      <c r="G148" s="849">
        <f t="shared" si="152"/>
        <v>1.0791304347826087</v>
      </c>
      <c r="H148" s="847">
        <f t="shared" si="153"/>
        <v>496.4</v>
      </c>
      <c r="I148" s="847">
        <f t="shared" si="154"/>
        <v>41.366666666666667</v>
      </c>
      <c r="J148" s="848">
        <f t="shared" si="155"/>
        <v>2.1582608695652175</v>
      </c>
      <c r="K148" s="849">
        <f t="shared" si="156"/>
        <v>1.0791304347826087</v>
      </c>
      <c r="L148" s="847">
        <f t="shared" ref="L148" si="171">H148</f>
        <v>496.4</v>
      </c>
      <c r="M148" s="847">
        <f t="shared" si="158"/>
        <v>41.366666666666667</v>
      </c>
      <c r="N148" s="848">
        <f t="shared" si="159"/>
        <v>2.1582608695652175</v>
      </c>
      <c r="O148" s="849">
        <f t="shared" si="160"/>
        <v>1.0791304347826087</v>
      </c>
      <c r="P148" s="850"/>
      <c r="Q148" s="850"/>
      <c r="R148" s="850"/>
      <c r="S148" s="850"/>
      <c r="T148" s="850"/>
      <c r="U148" s="850"/>
      <c r="V148" s="850"/>
      <c r="W148" s="850"/>
      <c r="X148" s="850"/>
      <c r="Y148" s="850"/>
      <c r="Z148" s="850"/>
      <c r="AA148" s="850"/>
      <c r="AB148" s="851">
        <f t="shared" si="161"/>
        <v>0</v>
      </c>
      <c r="AC148" s="852">
        <v>0.1</v>
      </c>
      <c r="AD148" s="850">
        <v>0.2</v>
      </c>
      <c r="AE148" s="850">
        <v>0.3</v>
      </c>
      <c r="AF148" s="850">
        <v>0.4</v>
      </c>
      <c r="AG148" s="850">
        <v>0.5</v>
      </c>
      <c r="AH148" s="850">
        <v>0.6</v>
      </c>
      <c r="AI148" s="850">
        <v>0.7</v>
      </c>
      <c r="AJ148" s="850">
        <v>0.8</v>
      </c>
      <c r="AK148" s="850">
        <v>0.9</v>
      </c>
      <c r="AL148" s="850">
        <v>1</v>
      </c>
      <c r="AM148" s="850">
        <v>1</v>
      </c>
      <c r="AN148" s="850">
        <v>1</v>
      </c>
      <c r="AO148" s="851">
        <f t="shared" si="162"/>
        <v>0.62500000000000011</v>
      </c>
      <c r="AP148" s="850">
        <v>1</v>
      </c>
      <c r="AQ148" s="850">
        <v>1</v>
      </c>
      <c r="AR148" s="850">
        <v>1</v>
      </c>
      <c r="AS148" s="850">
        <v>1</v>
      </c>
      <c r="AT148" s="850">
        <v>1</v>
      </c>
      <c r="AU148" s="850">
        <v>1</v>
      </c>
      <c r="AV148" s="850">
        <v>1</v>
      </c>
      <c r="AW148" s="850">
        <v>1</v>
      </c>
      <c r="AX148" s="850">
        <v>1</v>
      </c>
      <c r="AY148" s="850">
        <v>1</v>
      </c>
      <c r="AZ148" s="850">
        <v>1</v>
      </c>
      <c r="BA148" s="850">
        <v>1</v>
      </c>
      <c r="BB148" s="851">
        <f t="shared" si="163"/>
        <v>1.0000000000000002</v>
      </c>
      <c r="BC148" s="853">
        <f t="shared" si="164"/>
        <v>0</v>
      </c>
      <c r="BD148" s="853">
        <f t="shared" si="147"/>
        <v>0</v>
      </c>
      <c r="BE148" s="853">
        <f t="shared" si="147"/>
        <v>0</v>
      </c>
      <c r="BF148" s="853">
        <f t="shared" si="147"/>
        <v>0</v>
      </c>
      <c r="BG148" s="853">
        <f t="shared" si="147"/>
        <v>0</v>
      </c>
      <c r="BH148" s="853">
        <f t="shared" si="147"/>
        <v>0</v>
      </c>
      <c r="BI148" s="853">
        <f t="shared" si="147"/>
        <v>0</v>
      </c>
      <c r="BJ148" s="853">
        <f t="shared" si="147"/>
        <v>0</v>
      </c>
      <c r="BK148" s="853">
        <f t="shared" si="147"/>
        <v>0</v>
      </c>
      <c r="BL148" s="853">
        <f t="shared" si="147"/>
        <v>0</v>
      </c>
      <c r="BM148" s="853">
        <f t="shared" si="147"/>
        <v>0</v>
      </c>
      <c r="BN148" s="853">
        <f t="shared" si="147"/>
        <v>0</v>
      </c>
      <c r="BO148" s="854">
        <f t="shared" si="165"/>
        <v>0</v>
      </c>
      <c r="BP148" s="853">
        <f t="shared" si="166"/>
        <v>4.1366666666666667</v>
      </c>
      <c r="BQ148" s="853">
        <f t="shared" si="148"/>
        <v>8.2733333333333334</v>
      </c>
      <c r="BR148" s="853">
        <f t="shared" si="148"/>
        <v>12.41</v>
      </c>
      <c r="BS148" s="853">
        <f t="shared" si="148"/>
        <v>16.546666666666667</v>
      </c>
      <c r="BT148" s="853">
        <f t="shared" si="148"/>
        <v>20.683333333333334</v>
      </c>
      <c r="BU148" s="853">
        <f t="shared" si="148"/>
        <v>24.82</v>
      </c>
      <c r="BV148" s="853">
        <f t="shared" si="148"/>
        <v>28.956666666666663</v>
      </c>
      <c r="BW148" s="853">
        <f t="shared" si="148"/>
        <v>33.093333333333334</v>
      </c>
      <c r="BX148" s="853">
        <f t="shared" si="148"/>
        <v>37.230000000000004</v>
      </c>
      <c r="BY148" s="853">
        <f t="shared" si="148"/>
        <v>41.366666666666667</v>
      </c>
      <c r="BZ148" s="853">
        <f t="shared" si="148"/>
        <v>41.366666666666667</v>
      </c>
      <c r="CA148" s="853">
        <f t="shared" si="148"/>
        <v>41.366666666666667</v>
      </c>
      <c r="CB148" s="854">
        <f t="shared" si="167"/>
        <v>310.25000000000006</v>
      </c>
      <c r="CC148" s="853">
        <f t="shared" si="168"/>
        <v>41.366666666666667</v>
      </c>
      <c r="CD148" s="853">
        <f t="shared" si="149"/>
        <v>41.366666666666667</v>
      </c>
      <c r="CE148" s="853">
        <f t="shared" si="149"/>
        <v>41.366666666666667</v>
      </c>
      <c r="CF148" s="853">
        <f t="shared" si="149"/>
        <v>41.366666666666667</v>
      </c>
      <c r="CG148" s="853">
        <f t="shared" si="149"/>
        <v>41.366666666666667</v>
      </c>
      <c r="CH148" s="853">
        <f t="shared" si="149"/>
        <v>41.366666666666667</v>
      </c>
      <c r="CI148" s="853">
        <f t="shared" si="149"/>
        <v>41.366666666666667</v>
      </c>
      <c r="CJ148" s="853">
        <f t="shared" si="149"/>
        <v>41.366666666666667</v>
      </c>
      <c r="CK148" s="853">
        <f t="shared" si="149"/>
        <v>41.366666666666667</v>
      </c>
      <c r="CL148" s="853">
        <f t="shared" si="149"/>
        <v>41.366666666666667</v>
      </c>
      <c r="CM148" s="853">
        <f t="shared" si="149"/>
        <v>41.366666666666667</v>
      </c>
      <c r="CN148" s="853">
        <f t="shared" si="149"/>
        <v>41.366666666666667</v>
      </c>
      <c r="CO148" s="854">
        <f t="shared" si="169"/>
        <v>496.40000000000003</v>
      </c>
      <c r="CP148" s="855">
        <f t="shared" si="170"/>
        <v>806.65000000000009</v>
      </c>
    </row>
    <row r="149" spans="1:94">
      <c r="A149" s="845">
        <v>8</v>
      </c>
      <c r="B149" s="846" t="s">
        <v>907</v>
      </c>
      <c r="C149" s="869">
        <v>4</v>
      </c>
      <c r="D149" s="847">
        <f>'Xpert needs'!AC34</f>
        <v>672.75</v>
      </c>
      <c r="E149" s="847">
        <f t="shared" si="150"/>
        <v>56.0625</v>
      </c>
      <c r="F149" s="848">
        <f t="shared" si="151"/>
        <v>2.9249999999999998</v>
      </c>
      <c r="G149" s="849">
        <f t="shared" si="152"/>
        <v>0.73124999999999996</v>
      </c>
      <c r="H149" s="847">
        <f t="shared" si="153"/>
        <v>672.75</v>
      </c>
      <c r="I149" s="847">
        <f t="shared" si="154"/>
        <v>56.0625</v>
      </c>
      <c r="J149" s="848">
        <f t="shared" si="155"/>
        <v>2.9249999999999998</v>
      </c>
      <c r="K149" s="849">
        <f t="shared" si="156"/>
        <v>0.73124999999999996</v>
      </c>
      <c r="L149" s="847">
        <f>H149</f>
        <v>672.75</v>
      </c>
      <c r="M149" s="847">
        <f t="shared" si="158"/>
        <v>56.0625</v>
      </c>
      <c r="N149" s="848">
        <f t="shared" si="159"/>
        <v>2.9249999999999998</v>
      </c>
      <c r="O149" s="849">
        <f t="shared" si="160"/>
        <v>0.73124999999999996</v>
      </c>
      <c r="P149" s="850"/>
      <c r="Q149" s="850"/>
      <c r="R149" s="850"/>
      <c r="S149" s="850"/>
      <c r="T149" s="850"/>
      <c r="U149" s="850"/>
      <c r="V149" s="850"/>
      <c r="W149" s="850"/>
      <c r="X149" s="850"/>
      <c r="Y149" s="850"/>
      <c r="Z149" s="850"/>
      <c r="AA149" s="850"/>
      <c r="AB149" s="851">
        <f t="shared" si="161"/>
        <v>0</v>
      </c>
      <c r="AC149" s="852">
        <v>0.1</v>
      </c>
      <c r="AD149" s="850">
        <v>0.2</v>
      </c>
      <c r="AE149" s="850">
        <v>0.3</v>
      </c>
      <c r="AF149" s="850">
        <v>0.4</v>
      </c>
      <c r="AG149" s="850">
        <v>0.5</v>
      </c>
      <c r="AH149" s="850">
        <v>0.6</v>
      </c>
      <c r="AI149" s="850">
        <v>0.7</v>
      </c>
      <c r="AJ149" s="850">
        <v>0.8</v>
      </c>
      <c r="AK149" s="850">
        <v>0.9</v>
      </c>
      <c r="AL149" s="850">
        <v>1</v>
      </c>
      <c r="AM149" s="850">
        <v>1</v>
      </c>
      <c r="AN149" s="850">
        <v>1</v>
      </c>
      <c r="AO149" s="851">
        <f t="shared" si="162"/>
        <v>0.625</v>
      </c>
      <c r="AP149" s="850">
        <v>1</v>
      </c>
      <c r="AQ149" s="850">
        <v>1</v>
      </c>
      <c r="AR149" s="850">
        <v>1</v>
      </c>
      <c r="AS149" s="850">
        <v>1</v>
      </c>
      <c r="AT149" s="850">
        <v>1</v>
      </c>
      <c r="AU149" s="850">
        <v>1</v>
      </c>
      <c r="AV149" s="850">
        <v>1</v>
      </c>
      <c r="AW149" s="850">
        <v>1</v>
      </c>
      <c r="AX149" s="850">
        <v>1</v>
      </c>
      <c r="AY149" s="850">
        <v>1</v>
      </c>
      <c r="AZ149" s="850">
        <v>1</v>
      </c>
      <c r="BA149" s="850">
        <v>1</v>
      </c>
      <c r="BB149" s="851">
        <f t="shared" si="163"/>
        <v>1</v>
      </c>
      <c r="BC149" s="853">
        <f t="shared" si="164"/>
        <v>0</v>
      </c>
      <c r="BD149" s="853">
        <f t="shared" si="147"/>
        <v>0</v>
      </c>
      <c r="BE149" s="853">
        <f t="shared" si="147"/>
        <v>0</v>
      </c>
      <c r="BF149" s="853">
        <f t="shared" si="147"/>
        <v>0</v>
      </c>
      <c r="BG149" s="853">
        <f t="shared" si="147"/>
        <v>0</v>
      </c>
      <c r="BH149" s="853">
        <f t="shared" si="147"/>
        <v>0</v>
      </c>
      <c r="BI149" s="853">
        <f t="shared" si="147"/>
        <v>0</v>
      </c>
      <c r="BJ149" s="853">
        <f t="shared" si="147"/>
        <v>0</v>
      </c>
      <c r="BK149" s="853">
        <f t="shared" si="147"/>
        <v>0</v>
      </c>
      <c r="BL149" s="853">
        <f t="shared" si="147"/>
        <v>0</v>
      </c>
      <c r="BM149" s="853">
        <f t="shared" si="147"/>
        <v>0</v>
      </c>
      <c r="BN149" s="853">
        <f t="shared" si="147"/>
        <v>0</v>
      </c>
      <c r="BO149" s="854">
        <f t="shared" si="165"/>
        <v>0</v>
      </c>
      <c r="BP149" s="853">
        <f t="shared" si="166"/>
        <v>5.6062500000000002</v>
      </c>
      <c r="BQ149" s="853">
        <f t="shared" si="148"/>
        <v>11.2125</v>
      </c>
      <c r="BR149" s="853">
        <f t="shared" si="148"/>
        <v>16.818749999999998</v>
      </c>
      <c r="BS149" s="853">
        <f t="shared" si="148"/>
        <v>22.425000000000001</v>
      </c>
      <c r="BT149" s="853">
        <f t="shared" si="148"/>
        <v>28.03125</v>
      </c>
      <c r="BU149" s="853">
        <f t="shared" si="148"/>
        <v>33.637499999999996</v>
      </c>
      <c r="BV149" s="853">
        <f t="shared" si="148"/>
        <v>39.243749999999999</v>
      </c>
      <c r="BW149" s="853">
        <f t="shared" si="148"/>
        <v>44.85</v>
      </c>
      <c r="BX149" s="853">
        <f t="shared" si="148"/>
        <v>50.456250000000004</v>
      </c>
      <c r="BY149" s="853">
        <f t="shared" si="148"/>
        <v>56.0625</v>
      </c>
      <c r="BZ149" s="853">
        <f t="shared" si="148"/>
        <v>56.0625</v>
      </c>
      <c r="CA149" s="853">
        <f t="shared" si="148"/>
        <v>56.0625</v>
      </c>
      <c r="CB149" s="854">
        <f t="shared" si="167"/>
        <v>420.46875</v>
      </c>
      <c r="CC149" s="853">
        <f t="shared" si="168"/>
        <v>56.0625</v>
      </c>
      <c r="CD149" s="853">
        <f t="shared" si="149"/>
        <v>56.0625</v>
      </c>
      <c r="CE149" s="853">
        <f t="shared" si="149"/>
        <v>56.0625</v>
      </c>
      <c r="CF149" s="853">
        <f t="shared" si="149"/>
        <v>56.0625</v>
      </c>
      <c r="CG149" s="853">
        <f t="shared" si="149"/>
        <v>56.0625</v>
      </c>
      <c r="CH149" s="853">
        <f t="shared" si="149"/>
        <v>56.0625</v>
      </c>
      <c r="CI149" s="853">
        <f t="shared" si="149"/>
        <v>56.0625</v>
      </c>
      <c r="CJ149" s="853">
        <f t="shared" si="149"/>
        <v>56.0625</v>
      </c>
      <c r="CK149" s="853">
        <f t="shared" si="149"/>
        <v>56.0625</v>
      </c>
      <c r="CL149" s="853">
        <f t="shared" si="149"/>
        <v>56.0625</v>
      </c>
      <c r="CM149" s="853">
        <f t="shared" si="149"/>
        <v>56.0625</v>
      </c>
      <c r="CN149" s="853">
        <f t="shared" si="149"/>
        <v>56.0625</v>
      </c>
      <c r="CO149" s="854">
        <f t="shared" si="169"/>
        <v>672.75</v>
      </c>
      <c r="CP149" s="855">
        <f t="shared" si="170"/>
        <v>1093.21875</v>
      </c>
    </row>
    <row r="150" spans="1:94">
      <c r="A150" s="856">
        <v>9</v>
      </c>
      <c r="B150" s="846" t="s">
        <v>1693</v>
      </c>
      <c r="C150" s="847">
        <v>4</v>
      </c>
      <c r="D150" s="847">
        <f>'Xpert needs'!AC36*55%</f>
        <v>1395.0200000000002</v>
      </c>
      <c r="E150" s="847">
        <f t="shared" si="150"/>
        <v>116.25166666666668</v>
      </c>
      <c r="F150" s="848">
        <f t="shared" si="151"/>
        <v>6.0653043478260882</v>
      </c>
      <c r="G150" s="849">
        <f t="shared" si="152"/>
        <v>1.516326086956522</v>
      </c>
      <c r="H150" s="847">
        <f t="shared" si="153"/>
        <v>1395.0200000000002</v>
      </c>
      <c r="I150" s="847">
        <f t="shared" si="154"/>
        <v>116.25166666666668</v>
      </c>
      <c r="J150" s="848">
        <f t="shared" si="155"/>
        <v>6.0653043478260882</v>
      </c>
      <c r="K150" s="849">
        <f t="shared" si="156"/>
        <v>1.516326086956522</v>
      </c>
      <c r="L150" s="883">
        <f>H150</f>
        <v>1395.0200000000002</v>
      </c>
      <c r="M150" s="847">
        <f t="shared" si="158"/>
        <v>116.25166666666668</v>
      </c>
      <c r="N150" s="848">
        <f t="shared" si="159"/>
        <v>6.0653043478260882</v>
      </c>
      <c r="O150" s="849">
        <f t="shared" si="160"/>
        <v>1.516326086956522</v>
      </c>
      <c r="P150" s="857">
        <v>1.4</v>
      </c>
      <c r="Q150" s="850">
        <v>1.4</v>
      </c>
      <c r="R150" s="850">
        <v>1.4</v>
      </c>
      <c r="S150" s="850">
        <v>1.4</v>
      </c>
      <c r="T150" s="850">
        <v>1.4</v>
      </c>
      <c r="U150" s="850">
        <v>1.4</v>
      </c>
      <c r="V150" s="850">
        <v>1.4</v>
      </c>
      <c r="W150" s="850">
        <v>1.4</v>
      </c>
      <c r="X150" s="850">
        <v>1.4</v>
      </c>
      <c r="Y150" s="850">
        <v>1.4</v>
      </c>
      <c r="Z150" s="850">
        <v>1.4</v>
      </c>
      <c r="AA150" s="850">
        <v>1.4</v>
      </c>
      <c r="AB150" s="851">
        <f t="shared" si="161"/>
        <v>1.4</v>
      </c>
      <c r="AC150" s="850">
        <v>1.4</v>
      </c>
      <c r="AD150" s="850">
        <v>1.3</v>
      </c>
      <c r="AE150" s="850">
        <v>1.2</v>
      </c>
      <c r="AF150" s="850">
        <v>1.1499999999999999</v>
      </c>
      <c r="AG150" s="850">
        <v>1.1000000000000001</v>
      </c>
      <c r="AH150" s="850">
        <v>1.05</v>
      </c>
      <c r="AI150" s="850">
        <v>1</v>
      </c>
      <c r="AJ150" s="850">
        <v>1</v>
      </c>
      <c r="AK150" s="850">
        <v>1</v>
      </c>
      <c r="AL150" s="850">
        <v>1</v>
      </c>
      <c r="AM150" s="850">
        <v>1</v>
      </c>
      <c r="AN150" s="850">
        <v>1</v>
      </c>
      <c r="AO150" s="851">
        <f t="shared" si="162"/>
        <v>1.1000000000000003</v>
      </c>
      <c r="AP150" s="850">
        <v>1</v>
      </c>
      <c r="AQ150" s="850">
        <v>1</v>
      </c>
      <c r="AR150" s="850">
        <v>1</v>
      </c>
      <c r="AS150" s="850">
        <v>1</v>
      </c>
      <c r="AT150" s="850">
        <v>1</v>
      </c>
      <c r="AU150" s="850">
        <v>1</v>
      </c>
      <c r="AV150" s="850">
        <v>1</v>
      </c>
      <c r="AW150" s="850">
        <v>1</v>
      </c>
      <c r="AX150" s="850">
        <v>1</v>
      </c>
      <c r="AY150" s="850">
        <v>1</v>
      </c>
      <c r="AZ150" s="850">
        <v>1</v>
      </c>
      <c r="BA150" s="850">
        <v>1</v>
      </c>
      <c r="BB150" s="851">
        <f t="shared" si="163"/>
        <v>1.0000000000000002</v>
      </c>
      <c r="BC150" s="853">
        <f t="shared" si="164"/>
        <v>162.75233333333335</v>
      </c>
      <c r="BD150" s="853">
        <f t="shared" si="147"/>
        <v>162.75233333333335</v>
      </c>
      <c r="BE150" s="853">
        <f t="shared" si="147"/>
        <v>162.75233333333335</v>
      </c>
      <c r="BF150" s="853">
        <f t="shared" si="147"/>
        <v>162.75233333333335</v>
      </c>
      <c r="BG150" s="853">
        <f t="shared" si="147"/>
        <v>162.75233333333335</v>
      </c>
      <c r="BH150" s="853">
        <f t="shared" si="147"/>
        <v>162.75233333333335</v>
      </c>
      <c r="BI150" s="853">
        <f t="shared" si="147"/>
        <v>162.75233333333335</v>
      </c>
      <c r="BJ150" s="853">
        <f t="shared" si="147"/>
        <v>162.75233333333335</v>
      </c>
      <c r="BK150" s="853">
        <f t="shared" si="147"/>
        <v>162.75233333333335</v>
      </c>
      <c r="BL150" s="853">
        <f t="shared" si="147"/>
        <v>162.75233333333335</v>
      </c>
      <c r="BM150" s="853">
        <f t="shared" si="147"/>
        <v>162.75233333333335</v>
      </c>
      <c r="BN150" s="853">
        <f t="shared" si="147"/>
        <v>162.75233333333335</v>
      </c>
      <c r="BO150" s="854">
        <f t="shared" si="165"/>
        <v>1953.0280000000002</v>
      </c>
      <c r="BP150" s="853">
        <f t="shared" si="166"/>
        <v>162.75233333333335</v>
      </c>
      <c r="BQ150" s="853">
        <f t="shared" si="148"/>
        <v>151.12716666666668</v>
      </c>
      <c r="BR150" s="853">
        <f t="shared" si="148"/>
        <v>139.50200000000001</v>
      </c>
      <c r="BS150" s="853">
        <f t="shared" si="148"/>
        <v>133.68941666666666</v>
      </c>
      <c r="BT150" s="853">
        <f t="shared" si="148"/>
        <v>127.87683333333335</v>
      </c>
      <c r="BU150" s="853">
        <f t="shared" si="148"/>
        <v>122.06425000000002</v>
      </c>
      <c r="BV150" s="853">
        <f t="shared" si="148"/>
        <v>116.25166666666668</v>
      </c>
      <c r="BW150" s="853">
        <f t="shared" si="148"/>
        <v>116.25166666666668</v>
      </c>
      <c r="BX150" s="853">
        <f t="shared" si="148"/>
        <v>116.25166666666668</v>
      </c>
      <c r="BY150" s="853">
        <f t="shared" si="148"/>
        <v>116.25166666666668</v>
      </c>
      <c r="BZ150" s="853">
        <f t="shared" si="148"/>
        <v>116.25166666666668</v>
      </c>
      <c r="CA150" s="853">
        <f t="shared" si="148"/>
        <v>116.25166666666668</v>
      </c>
      <c r="CB150" s="854">
        <f t="shared" si="167"/>
        <v>1534.5220000000006</v>
      </c>
      <c r="CC150" s="853">
        <f t="shared" si="168"/>
        <v>116.25166666666668</v>
      </c>
      <c r="CD150" s="853">
        <f t="shared" si="149"/>
        <v>116.25166666666668</v>
      </c>
      <c r="CE150" s="853">
        <f t="shared" si="149"/>
        <v>116.25166666666668</v>
      </c>
      <c r="CF150" s="853">
        <f t="shared" si="149"/>
        <v>116.25166666666668</v>
      </c>
      <c r="CG150" s="853">
        <f t="shared" si="149"/>
        <v>116.25166666666668</v>
      </c>
      <c r="CH150" s="853">
        <f t="shared" si="149"/>
        <v>116.25166666666668</v>
      </c>
      <c r="CI150" s="853">
        <f t="shared" si="149"/>
        <v>116.25166666666668</v>
      </c>
      <c r="CJ150" s="853">
        <f t="shared" si="149"/>
        <v>116.25166666666668</v>
      </c>
      <c r="CK150" s="853">
        <f t="shared" si="149"/>
        <v>116.25166666666668</v>
      </c>
      <c r="CL150" s="853">
        <f t="shared" si="149"/>
        <v>116.25166666666668</v>
      </c>
      <c r="CM150" s="853">
        <f t="shared" si="149"/>
        <v>116.25166666666668</v>
      </c>
      <c r="CN150" s="853">
        <f t="shared" si="149"/>
        <v>116.25166666666668</v>
      </c>
      <c r="CO150" s="854">
        <f t="shared" si="169"/>
        <v>1395.0200000000004</v>
      </c>
      <c r="CP150" s="855">
        <f t="shared" si="170"/>
        <v>4882.5700000000015</v>
      </c>
    </row>
    <row r="151" spans="1:94">
      <c r="A151" s="856">
        <v>10</v>
      </c>
      <c r="B151" s="846" t="s">
        <v>1694</v>
      </c>
      <c r="C151" s="847">
        <v>4</v>
      </c>
      <c r="D151" s="847">
        <f>'Xpert needs'!AC36*45%</f>
        <v>1141.3800000000001</v>
      </c>
      <c r="E151" s="847">
        <f t="shared" si="150"/>
        <v>95.115000000000009</v>
      </c>
      <c r="F151" s="848">
        <f t="shared" si="151"/>
        <v>4.9625217391304348</v>
      </c>
      <c r="G151" s="849">
        <f t="shared" si="152"/>
        <v>1.2406304347826087</v>
      </c>
      <c r="H151" s="847">
        <f t="shared" si="153"/>
        <v>1141.3800000000001</v>
      </c>
      <c r="I151" s="847">
        <f t="shared" si="154"/>
        <v>95.115000000000009</v>
      </c>
      <c r="J151" s="848">
        <f t="shared" si="155"/>
        <v>4.9625217391304348</v>
      </c>
      <c r="K151" s="849">
        <f t="shared" si="156"/>
        <v>1.2406304347826087</v>
      </c>
      <c r="L151" s="883">
        <f>H151*95%</f>
        <v>1084.3110000000001</v>
      </c>
      <c r="M151" s="847">
        <f t="shared" si="158"/>
        <v>90.359250000000017</v>
      </c>
      <c r="N151" s="848">
        <f t="shared" si="159"/>
        <v>4.7143956521739137</v>
      </c>
      <c r="O151" s="849">
        <f t="shared" si="160"/>
        <v>1.1785989130434784</v>
      </c>
      <c r="P151" s="857">
        <f t="shared" ref="P151:AA151" si="172">P150</f>
        <v>1.4</v>
      </c>
      <c r="Q151" s="850">
        <f t="shared" si="172"/>
        <v>1.4</v>
      </c>
      <c r="R151" s="850">
        <f t="shared" si="172"/>
        <v>1.4</v>
      </c>
      <c r="S151" s="850">
        <f t="shared" si="172"/>
        <v>1.4</v>
      </c>
      <c r="T151" s="850">
        <f t="shared" si="172"/>
        <v>1.4</v>
      </c>
      <c r="U151" s="850">
        <f t="shared" si="172"/>
        <v>1.4</v>
      </c>
      <c r="V151" s="850">
        <f t="shared" si="172"/>
        <v>1.4</v>
      </c>
      <c r="W151" s="850">
        <f t="shared" si="172"/>
        <v>1.4</v>
      </c>
      <c r="X151" s="850">
        <f t="shared" si="172"/>
        <v>1.4</v>
      </c>
      <c r="Y151" s="850">
        <f t="shared" si="172"/>
        <v>1.4</v>
      </c>
      <c r="Z151" s="850">
        <f t="shared" si="172"/>
        <v>1.4</v>
      </c>
      <c r="AA151" s="850">
        <f t="shared" si="172"/>
        <v>1.4</v>
      </c>
      <c r="AB151" s="851">
        <f t="shared" si="161"/>
        <v>1.4000000000000004</v>
      </c>
      <c r="AC151" s="850">
        <f>AC150</f>
        <v>1.4</v>
      </c>
      <c r="AD151" s="850">
        <f t="shared" ref="AD151:AN151" si="173">AD150</f>
        <v>1.3</v>
      </c>
      <c r="AE151" s="850">
        <f t="shared" si="173"/>
        <v>1.2</v>
      </c>
      <c r="AF151" s="850">
        <f t="shared" si="173"/>
        <v>1.1499999999999999</v>
      </c>
      <c r="AG151" s="850">
        <f t="shared" si="173"/>
        <v>1.1000000000000001</v>
      </c>
      <c r="AH151" s="850">
        <f t="shared" si="173"/>
        <v>1.05</v>
      </c>
      <c r="AI151" s="850">
        <f t="shared" si="173"/>
        <v>1</v>
      </c>
      <c r="AJ151" s="850">
        <f t="shared" si="173"/>
        <v>1</v>
      </c>
      <c r="AK151" s="850">
        <f t="shared" si="173"/>
        <v>1</v>
      </c>
      <c r="AL151" s="850">
        <f t="shared" si="173"/>
        <v>1</v>
      </c>
      <c r="AM151" s="850">
        <f t="shared" si="173"/>
        <v>1</v>
      </c>
      <c r="AN151" s="850">
        <f t="shared" si="173"/>
        <v>1</v>
      </c>
      <c r="AO151" s="851">
        <f t="shared" si="162"/>
        <v>1.1000000000000001</v>
      </c>
      <c r="AP151" s="850">
        <v>1</v>
      </c>
      <c r="AQ151" s="850">
        <v>1</v>
      </c>
      <c r="AR151" s="850">
        <v>1</v>
      </c>
      <c r="AS151" s="850">
        <v>1</v>
      </c>
      <c r="AT151" s="850">
        <v>1</v>
      </c>
      <c r="AU151" s="850">
        <v>1</v>
      </c>
      <c r="AV151" s="850">
        <v>1</v>
      </c>
      <c r="AW151" s="850">
        <v>1</v>
      </c>
      <c r="AX151" s="850">
        <v>1</v>
      </c>
      <c r="AY151" s="850">
        <v>1</v>
      </c>
      <c r="AZ151" s="850">
        <v>1</v>
      </c>
      <c r="BA151" s="850">
        <v>1</v>
      </c>
      <c r="BB151" s="851">
        <f t="shared" si="163"/>
        <v>0.99999999999999978</v>
      </c>
      <c r="BC151" s="853">
        <f t="shared" si="164"/>
        <v>133.161</v>
      </c>
      <c r="BD151" s="853">
        <f t="shared" si="147"/>
        <v>133.161</v>
      </c>
      <c r="BE151" s="853">
        <f t="shared" si="147"/>
        <v>133.161</v>
      </c>
      <c r="BF151" s="853">
        <f t="shared" si="147"/>
        <v>133.161</v>
      </c>
      <c r="BG151" s="853">
        <f t="shared" si="147"/>
        <v>133.161</v>
      </c>
      <c r="BH151" s="853">
        <f t="shared" si="147"/>
        <v>133.161</v>
      </c>
      <c r="BI151" s="853">
        <f t="shared" si="147"/>
        <v>133.161</v>
      </c>
      <c r="BJ151" s="853">
        <f t="shared" si="147"/>
        <v>133.161</v>
      </c>
      <c r="BK151" s="853">
        <f t="shared" si="147"/>
        <v>133.161</v>
      </c>
      <c r="BL151" s="853">
        <f t="shared" si="147"/>
        <v>133.161</v>
      </c>
      <c r="BM151" s="853">
        <f t="shared" si="147"/>
        <v>133.161</v>
      </c>
      <c r="BN151" s="853">
        <f t="shared" si="147"/>
        <v>133.161</v>
      </c>
      <c r="BO151" s="854">
        <f t="shared" si="165"/>
        <v>1597.9320000000005</v>
      </c>
      <c r="BP151" s="853">
        <f t="shared" si="166"/>
        <v>133.161</v>
      </c>
      <c r="BQ151" s="853">
        <f t="shared" si="148"/>
        <v>123.64950000000002</v>
      </c>
      <c r="BR151" s="853">
        <f t="shared" si="148"/>
        <v>114.13800000000001</v>
      </c>
      <c r="BS151" s="853">
        <f t="shared" si="148"/>
        <v>109.38225</v>
      </c>
      <c r="BT151" s="853">
        <f t="shared" si="148"/>
        <v>104.62650000000002</v>
      </c>
      <c r="BU151" s="853">
        <f t="shared" si="148"/>
        <v>99.870750000000015</v>
      </c>
      <c r="BV151" s="853">
        <f t="shared" si="148"/>
        <v>95.115000000000009</v>
      </c>
      <c r="BW151" s="853">
        <f t="shared" si="148"/>
        <v>95.115000000000009</v>
      </c>
      <c r="BX151" s="853">
        <f t="shared" si="148"/>
        <v>95.115000000000009</v>
      </c>
      <c r="BY151" s="853">
        <f t="shared" si="148"/>
        <v>95.115000000000009</v>
      </c>
      <c r="BZ151" s="853">
        <f t="shared" si="148"/>
        <v>95.115000000000009</v>
      </c>
      <c r="CA151" s="853">
        <f t="shared" si="148"/>
        <v>95.115000000000009</v>
      </c>
      <c r="CB151" s="854">
        <f t="shared" si="167"/>
        <v>1255.5180000000003</v>
      </c>
      <c r="CC151" s="853">
        <f t="shared" si="168"/>
        <v>90.359250000000017</v>
      </c>
      <c r="CD151" s="853">
        <f t="shared" si="149"/>
        <v>90.359250000000017</v>
      </c>
      <c r="CE151" s="853">
        <f t="shared" si="149"/>
        <v>90.359250000000017</v>
      </c>
      <c r="CF151" s="853">
        <f t="shared" si="149"/>
        <v>90.359250000000017</v>
      </c>
      <c r="CG151" s="853">
        <f t="shared" si="149"/>
        <v>90.359250000000017</v>
      </c>
      <c r="CH151" s="853">
        <f t="shared" si="149"/>
        <v>90.359250000000017</v>
      </c>
      <c r="CI151" s="853">
        <f t="shared" si="149"/>
        <v>90.359250000000017</v>
      </c>
      <c r="CJ151" s="853">
        <f t="shared" si="149"/>
        <v>90.359250000000017</v>
      </c>
      <c r="CK151" s="853">
        <f t="shared" si="149"/>
        <v>90.359250000000017</v>
      </c>
      <c r="CL151" s="853">
        <f t="shared" si="149"/>
        <v>90.359250000000017</v>
      </c>
      <c r="CM151" s="853">
        <f t="shared" si="149"/>
        <v>90.359250000000017</v>
      </c>
      <c r="CN151" s="853">
        <f t="shared" si="149"/>
        <v>90.359250000000017</v>
      </c>
      <c r="CO151" s="854">
        <f t="shared" si="169"/>
        <v>1084.3109999999999</v>
      </c>
      <c r="CP151" s="855">
        <f t="shared" si="170"/>
        <v>3937.7610000000004</v>
      </c>
    </row>
    <row r="152" spans="1:94">
      <c r="A152" s="845">
        <v>11</v>
      </c>
      <c r="B152" s="846" t="s">
        <v>914</v>
      </c>
      <c r="C152" s="847">
        <v>2</v>
      </c>
      <c r="D152" s="847">
        <f>'Xpert needs'!AC41</f>
        <v>514.79999999999995</v>
      </c>
      <c r="E152" s="847">
        <f t="shared" si="150"/>
        <v>42.9</v>
      </c>
      <c r="F152" s="848">
        <f t="shared" si="151"/>
        <v>2.2382608695652171</v>
      </c>
      <c r="G152" s="849">
        <f t="shared" si="152"/>
        <v>1.1191304347826085</v>
      </c>
      <c r="H152" s="847">
        <f t="shared" si="153"/>
        <v>514.79999999999995</v>
      </c>
      <c r="I152" s="847">
        <f t="shared" si="154"/>
        <v>42.9</v>
      </c>
      <c r="J152" s="848">
        <f t="shared" si="155"/>
        <v>2.2382608695652171</v>
      </c>
      <c r="K152" s="849">
        <f t="shared" si="156"/>
        <v>1.1191304347826085</v>
      </c>
      <c r="L152" s="847">
        <f t="shared" ref="L152:L155" si="174">H152</f>
        <v>514.79999999999995</v>
      </c>
      <c r="M152" s="847">
        <f t="shared" si="158"/>
        <v>42.9</v>
      </c>
      <c r="N152" s="848">
        <f t="shared" si="159"/>
        <v>2.2382608695652171</v>
      </c>
      <c r="O152" s="849">
        <f t="shared" si="160"/>
        <v>1.1191304347826085</v>
      </c>
      <c r="P152" s="850"/>
      <c r="Q152" s="850"/>
      <c r="R152" s="850"/>
      <c r="S152" s="850"/>
      <c r="T152" s="850"/>
      <c r="U152" s="850"/>
      <c r="V152" s="850"/>
      <c r="W152" s="850"/>
      <c r="X152" s="850"/>
      <c r="Y152" s="850"/>
      <c r="Z152" s="850"/>
      <c r="AA152" s="850"/>
      <c r="AB152" s="851">
        <f t="shared" si="161"/>
        <v>0</v>
      </c>
      <c r="AC152" s="850"/>
      <c r="AD152" s="850"/>
      <c r="AE152" s="850"/>
      <c r="AF152" s="852">
        <v>0.1</v>
      </c>
      <c r="AG152" s="850">
        <v>0.3</v>
      </c>
      <c r="AH152" s="850">
        <v>0.5</v>
      </c>
      <c r="AI152" s="850">
        <v>0.7</v>
      </c>
      <c r="AJ152" s="850">
        <v>0.8</v>
      </c>
      <c r="AK152" s="850">
        <v>0.9</v>
      </c>
      <c r="AL152" s="850">
        <v>1</v>
      </c>
      <c r="AM152" s="850">
        <v>1</v>
      </c>
      <c r="AN152" s="850">
        <v>1</v>
      </c>
      <c r="AO152" s="851">
        <f t="shared" si="162"/>
        <v>0.52500000000000002</v>
      </c>
      <c r="AP152" s="850">
        <v>1</v>
      </c>
      <c r="AQ152" s="850">
        <v>1</v>
      </c>
      <c r="AR152" s="850">
        <v>1</v>
      </c>
      <c r="AS152" s="850">
        <v>1</v>
      </c>
      <c r="AT152" s="850">
        <v>1</v>
      </c>
      <c r="AU152" s="850">
        <v>1</v>
      </c>
      <c r="AV152" s="850">
        <v>1</v>
      </c>
      <c r="AW152" s="850">
        <v>1</v>
      </c>
      <c r="AX152" s="850">
        <v>1</v>
      </c>
      <c r="AY152" s="850">
        <v>1</v>
      </c>
      <c r="AZ152" s="850">
        <v>1</v>
      </c>
      <c r="BA152" s="850">
        <v>1</v>
      </c>
      <c r="BB152" s="851">
        <f t="shared" si="163"/>
        <v>0.99999999999999978</v>
      </c>
      <c r="BC152" s="853">
        <f t="shared" si="164"/>
        <v>0</v>
      </c>
      <c r="BD152" s="853">
        <f t="shared" si="147"/>
        <v>0</v>
      </c>
      <c r="BE152" s="853">
        <f t="shared" si="147"/>
        <v>0</v>
      </c>
      <c r="BF152" s="853">
        <f t="shared" si="147"/>
        <v>0</v>
      </c>
      <c r="BG152" s="853">
        <f t="shared" si="147"/>
        <v>0</v>
      </c>
      <c r="BH152" s="853">
        <f t="shared" si="147"/>
        <v>0</v>
      </c>
      <c r="BI152" s="853">
        <f t="shared" si="147"/>
        <v>0</v>
      </c>
      <c r="BJ152" s="853">
        <f t="shared" si="147"/>
        <v>0</v>
      </c>
      <c r="BK152" s="853">
        <f t="shared" si="147"/>
        <v>0</v>
      </c>
      <c r="BL152" s="853">
        <f t="shared" si="147"/>
        <v>0</v>
      </c>
      <c r="BM152" s="853">
        <f t="shared" si="147"/>
        <v>0</v>
      </c>
      <c r="BN152" s="853">
        <f t="shared" si="147"/>
        <v>0</v>
      </c>
      <c r="BO152" s="854">
        <f t="shared" si="165"/>
        <v>0</v>
      </c>
      <c r="BP152" s="853">
        <f t="shared" si="166"/>
        <v>0</v>
      </c>
      <c r="BQ152" s="853">
        <f t="shared" si="148"/>
        <v>0</v>
      </c>
      <c r="BR152" s="853">
        <f t="shared" si="148"/>
        <v>0</v>
      </c>
      <c r="BS152" s="853">
        <f t="shared" si="148"/>
        <v>4.29</v>
      </c>
      <c r="BT152" s="853">
        <f t="shared" si="148"/>
        <v>12.87</v>
      </c>
      <c r="BU152" s="853">
        <f t="shared" si="148"/>
        <v>21.45</v>
      </c>
      <c r="BV152" s="853">
        <f t="shared" si="148"/>
        <v>30.029999999999998</v>
      </c>
      <c r="BW152" s="853">
        <f t="shared" si="148"/>
        <v>34.32</v>
      </c>
      <c r="BX152" s="853">
        <f t="shared" si="148"/>
        <v>38.61</v>
      </c>
      <c r="BY152" s="853">
        <f t="shared" si="148"/>
        <v>42.9</v>
      </c>
      <c r="BZ152" s="853">
        <f t="shared" si="148"/>
        <v>42.9</v>
      </c>
      <c r="CA152" s="853">
        <f t="shared" si="148"/>
        <v>42.9</v>
      </c>
      <c r="CB152" s="854">
        <f t="shared" si="167"/>
        <v>270.27</v>
      </c>
      <c r="CC152" s="853">
        <f t="shared" si="168"/>
        <v>42.9</v>
      </c>
      <c r="CD152" s="853">
        <f t="shared" si="149"/>
        <v>42.9</v>
      </c>
      <c r="CE152" s="853">
        <f t="shared" si="149"/>
        <v>42.9</v>
      </c>
      <c r="CF152" s="853">
        <f t="shared" si="149"/>
        <v>42.9</v>
      </c>
      <c r="CG152" s="853">
        <f t="shared" si="149"/>
        <v>42.9</v>
      </c>
      <c r="CH152" s="853">
        <f t="shared" si="149"/>
        <v>42.9</v>
      </c>
      <c r="CI152" s="853">
        <f t="shared" si="149"/>
        <v>42.9</v>
      </c>
      <c r="CJ152" s="853">
        <f t="shared" si="149"/>
        <v>42.9</v>
      </c>
      <c r="CK152" s="853">
        <f t="shared" si="149"/>
        <v>42.9</v>
      </c>
      <c r="CL152" s="853">
        <f t="shared" si="149"/>
        <v>42.9</v>
      </c>
      <c r="CM152" s="853">
        <f t="shared" si="149"/>
        <v>42.9</v>
      </c>
      <c r="CN152" s="853">
        <f t="shared" si="149"/>
        <v>42.9</v>
      </c>
      <c r="CO152" s="854">
        <f t="shared" si="169"/>
        <v>514.79999999999984</v>
      </c>
      <c r="CP152" s="855">
        <f t="shared" si="170"/>
        <v>785.06999999999982</v>
      </c>
    </row>
    <row r="153" spans="1:94">
      <c r="A153" s="845">
        <v>12</v>
      </c>
      <c r="B153" s="846" t="s">
        <v>915</v>
      </c>
      <c r="C153" s="847">
        <v>2</v>
      </c>
      <c r="D153" s="847">
        <f>'Xpert needs'!AC42</f>
        <v>512</v>
      </c>
      <c r="E153" s="847">
        <f t="shared" si="150"/>
        <v>42.666666666666664</v>
      </c>
      <c r="F153" s="848">
        <f t="shared" si="151"/>
        <v>2.2260869565217392</v>
      </c>
      <c r="G153" s="849">
        <f t="shared" si="152"/>
        <v>1.1130434782608696</v>
      </c>
      <c r="H153" s="847">
        <f t="shared" si="153"/>
        <v>512</v>
      </c>
      <c r="I153" s="847">
        <f t="shared" si="154"/>
        <v>42.666666666666664</v>
      </c>
      <c r="J153" s="848">
        <f t="shared" si="155"/>
        <v>2.2260869565217392</v>
      </c>
      <c r="K153" s="849">
        <f t="shared" si="156"/>
        <v>1.1130434782608696</v>
      </c>
      <c r="L153" s="847">
        <f t="shared" si="174"/>
        <v>512</v>
      </c>
      <c r="M153" s="847">
        <f t="shared" si="158"/>
        <v>42.666666666666664</v>
      </c>
      <c r="N153" s="848">
        <f t="shared" si="159"/>
        <v>2.2260869565217392</v>
      </c>
      <c r="O153" s="849">
        <f t="shared" si="160"/>
        <v>1.1130434782608696</v>
      </c>
      <c r="P153" s="850"/>
      <c r="Q153" s="850"/>
      <c r="R153" s="850"/>
      <c r="S153" s="850"/>
      <c r="T153" s="850"/>
      <c r="U153" s="850"/>
      <c r="V153" s="850"/>
      <c r="W153" s="850"/>
      <c r="X153" s="850"/>
      <c r="Y153" s="850"/>
      <c r="Z153" s="850"/>
      <c r="AA153" s="850"/>
      <c r="AB153" s="851">
        <f t="shared" si="161"/>
        <v>0</v>
      </c>
      <c r="AC153" s="850"/>
      <c r="AD153" s="850"/>
      <c r="AE153" s="850"/>
      <c r="AF153" s="852">
        <v>0.1</v>
      </c>
      <c r="AG153" s="850">
        <v>0.3</v>
      </c>
      <c r="AH153" s="850">
        <v>0.5</v>
      </c>
      <c r="AI153" s="850">
        <v>0.7</v>
      </c>
      <c r="AJ153" s="850">
        <v>0.8</v>
      </c>
      <c r="AK153" s="850">
        <v>0.9</v>
      </c>
      <c r="AL153" s="850">
        <v>1</v>
      </c>
      <c r="AM153" s="850">
        <v>1</v>
      </c>
      <c r="AN153" s="850">
        <v>1</v>
      </c>
      <c r="AO153" s="851">
        <f t="shared" si="162"/>
        <v>0.52500000000000002</v>
      </c>
      <c r="AP153" s="850">
        <v>1</v>
      </c>
      <c r="AQ153" s="850">
        <v>1</v>
      </c>
      <c r="AR153" s="850">
        <v>1</v>
      </c>
      <c r="AS153" s="850">
        <v>1</v>
      </c>
      <c r="AT153" s="850">
        <v>1</v>
      </c>
      <c r="AU153" s="850">
        <v>1</v>
      </c>
      <c r="AV153" s="850">
        <v>1</v>
      </c>
      <c r="AW153" s="850">
        <v>1</v>
      </c>
      <c r="AX153" s="850">
        <v>1</v>
      </c>
      <c r="AY153" s="850">
        <v>1</v>
      </c>
      <c r="AZ153" s="850">
        <v>1</v>
      </c>
      <c r="BA153" s="850">
        <v>1</v>
      </c>
      <c r="BB153" s="851">
        <f t="shared" si="163"/>
        <v>1</v>
      </c>
      <c r="BC153" s="853">
        <f t="shared" si="164"/>
        <v>0</v>
      </c>
      <c r="BD153" s="853">
        <f t="shared" si="147"/>
        <v>0</v>
      </c>
      <c r="BE153" s="853">
        <f t="shared" si="147"/>
        <v>0</v>
      </c>
      <c r="BF153" s="853">
        <f t="shared" si="147"/>
        <v>0</v>
      </c>
      <c r="BG153" s="853">
        <f t="shared" si="147"/>
        <v>0</v>
      </c>
      <c r="BH153" s="853">
        <f t="shared" si="147"/>
        <v>0</v>
      </c>
      <c r="BI153" s="853">
        <f t="shared" si="147"/>
        <v>0</v>
      </c>
      <c r="BJ153" s="853">
        <f t="shared" si="147"/>
        <v>0</v>
      </c>
      <c r="BK153" s="853">
        <f t="shared" si="147"/>
        <v>0</v>
      </c>
      <c r="BL153" s="853">
        <f t="shared" si="147"/>
        <v>0</v>
      </c>
      <c r="BM153" s="853">
        <f t="shared" si="147"/>
        <v>0</v>
      </c>
      <c r="BN153" s="853">
        <f t="shared" si="147"/>
        <v>0</v>
      </c>
      <c r="BO153" s="854">
        <f t="shared" si="165"/>
        <v>0</v>
      </c>
      <c r="BP153" s="853">
        <f t="shared" si="166"/>
        <v>0</v>
      </c>
      <c r="BQ153" s="853">
        <f t="shared" si="148"/>
        <v>0</v>
      </c>
      <c r="BR153" s="853">
        <f t="shared" si="148"/>
        <v>0</v>
      </c>
      <c r="BS153" s="853">
        <f t="shared" si="148"/>
        <v>4.2666666666666666</v>
      </c>
      <c r="BT153" s="853">
        <f t="shared" si="148"/>
        <v>12.799999999999999</v>
      </c>
      <c r="BU153" s="853">
        <f t="shared" si="148"/>
        <v>21.333333333333332</v>
      </c>
      <c r="BV153" s="853">
        <f t="shared" si="148"/>
        <v>29.866666666666664</v>
      </c>
      <c r="BW153" s="853">
        <f t="shared" si="148"/>
        <v>34.133333333333333</v>
      </c>
      <c r="BX153" s="853">
        <f t="shared" si="148"/>
        <v>38.4</v>
      </c>
      <c r="BY153" s="853">
        <f t="shared" si="148"/>
        <v>42.666666666666664</v>
      </c>
      <c r="BZ153" s="853">
        <f t="shared" si="148"/>
        <v>42.666666666666664</v>
      </c>
      <c r="CA153" s="853">
        <f t="shared" si="148"/>
        <v>42.666666666666664</v>
      </c>
      <c r="CB153" s="854">
        <f t="shared" si="167"/>
        <v>268.8</v>
      </c>
      <c r="CC153" s="853">
        <f t="shared" si="168"/>
        <v>42.666666666666664</v>
      </c>
      <c r="CD153" s="853">
        <f t="shared" si="149"/>
        <v>42.666666666666664</v>
      </c>
      <c r="CE153" s="853">
        <f t="shared" si="149"/>
        <v>42.666666666666664</v>
      </c>
      <c r="CF153" s="853">
        <f t="shared" si="149"/>
        <v>42.666666666666664</v>
      </c>
      <c r="CG153" s="853">
        <f t="shared" si="149"/>
        <v>42.666666666666664</v>
      </c>
      <c r="CH153" s="853">
        <f t="shared" si="149"/>
        <v>42.666666666666664</v>
      </c>
      <c r="CI153" s="853">
        <f t="shared" si="149"/>
        <v>42.666666666666664</v>
      </c>
      <c r="CJ153" s="853">
        <f t="shared" si="149"/>
        <v>42.666666666666664</v>
      </c>
      <c r="CK153" s="853">
        <f t="shared" si="149"/>
        <v>42.666666666666664</v>
      </c>
      <c r="CL153" s="853">
        <f t="shared" si="149"/>
        <v>42.666666666666664</v>
      </c>
      <c r="CM153" s="853">
        <f t="shared" si="149"/>
        <v>42.666666666666664</v>
      </c>
      <c r="CN153" s="853">
        <f t="shared" si="149"/>
        <v>42.666666666666664</v>
      </c>
      <c r="CO153" s="854">
        <f t="shared" si="169"/>
        <v>512</v>
      </c>
      <c r="CP153" s="855">
        <f t="shared" si="170"/>
        <v>780.8</v>
      </c>
    </row>
    <row r="154" spans="1:94">
      <c r="A154" s="845">
        <v>13</v>
      </c>
      <c r="B154" s="846" t="s">
        <v>919</v>
      </c>
      <c r="C154" s="847">
        <v>2</v>
      </c>
      <c r="D154" s="847">
        <f>'Xpert needs'!AC46</f>
        <v>414</v>
      </c>
      <c r="E154" s="847">
        <f t="shared" si="150"/>
        <v>34.5</v>
      </c>
      <c r="F154" s="848">
        <f t="shared" si="151"/>
        <v>1.8</v>
      </c>
      <c r="G154" s="849">
        <f t="shared" si="152"/>
        <v>0.9</v>
      </c>
      <c r="H154" s="847">
        <f t="shared" si="153"/>
        <v>414</v>
      </c>
      <c r="I154" s="847">
        <f t="shared" si="154"/>
        <v>34.5</v>
      </c>
      <c r="J154" s="848">
        <f t="shared" si="155"/>
        <v>1.8</v>
      </c>
      <c r="K154" s="849">
        <f t="shared" si="156"/>
        <v>0.9</v>
      </c>
      <c r="L154" s="847">
        <f t="shared" si="174"/>
        <v>414</v>
      </c>
      <c r="M154" s="847">
        <f t="shared" si="158"/>
        <v>34.5</v>
      </c>
      <c r="N154" s="848">
        <f t="shared" si="159"/>
        <v>1.8</v>
      </c>
      <c r="O154" s="849">
        <f t="shared" si="160"/>
        <v>0.9</v>
      </c>
      <c r="P154" s="850"/>
      <c r="Q154" s="850"/>
      <c r="R154" s="850"/>
      <c r="S154" s="850"/>
      <c r="T154" s="850"/>
      <c r="U154" s="850"/>
      <c r="V154" s="850"/>
      <c r="W154" s="850"/>
      <c r="X154" s="850"/>
      <c r="Y154" s="850"/>
      <c r="Z154" s="850"/>
      <c r="AA154" s="850"/>
      <c r="AB154" s="851">
        <f t="shared" si="161"/>
        <v>0</v>
      </c>
      <c r="AC154" s="850"/>
      <c r="AD154" s="850"/>
      <c r="AE154" s="850"/>
      <c r="AF154" s="852">
        <v>0.1</v>
      </c>
      <c r="AG154" s="850">
        <v>0.3</v>
      </c>
      <c r="AH154" s="850">
        <v>0.5</v>
      </c>
      <c r="AI154" s="850">
        <v>0.7</v>
      </c>
      <c r="AJ154" s="850">
        <v>0.8</v>
      </c>
      <c r="AK154" s="850">
        <v>0.9</v>
      </c>
      <c r="AL154" s="850">
        <v>1</v>
      </c>
      <c r="AM154" s="850">
        <v>1</v>
      </c>
      <c r="AN154" s="850">
        <v>1</v>
      </c>
      <c r="AO154" s="851">
        <f t="shared" si="162"/>
        <v>0.52500000000000002</v>
      </c>
      <c r="AP154" s="850">
        <v>1</v>
      </c>
      <c r="AQ154" s="850">
        <v>1</v>
      </c>
      <c r="AR154" s="850">
        <v>1</v>
      </c>
      <c r="AS154" s="850">
        <v>1</v>
      </c>
      <c r="AT154" s="850">
        <v>1</v>
      </c>
      <c r="AU154" s="850">
        <v>1</v>
      </c>
      <c r="AV154" s="850">
        <v>1</v>
      </c>
      <c r="AW154" s="850">
        <v>1</v>
      </c>
      <c r="AX154" s="850">
        <v>1</v>
      </c>
      <c r="AY154" s="850">
        <v>1</v>
      </c>
      <c r="AZ154" s="850">
        <v>1</v>
      </c>
      <c r="BA154" s="850">
        <v>1</v>
      </c>
      <c r="BB154" s="851">
        <f t="shared" si="163"/>
        <v>1</v>
      </c>
      <c r="BC154" s="853">
        <f t="shared" si="164"/>
        <v>0</v>
      </c>
      <c r="BD154" s="853">
        <f t="shared" si="147"/>
        <v>0</v>
      </c>
      <c r="BE154" s="853">
        <f t="shared" si="147"/>
        <v>0</v>
      </c>
      <c r="BF154" s="853">
        <f t="shared" si="147"/>
        <v>0</v>
      </c>
      <c r="BG154" s="853">
        <f t="shared" si="147"/>
        <v>0</v>
      </c>
      <c r="BH154" s="853">
        <f t="shared" si="147"/>
        <v>0</v>
      </c>
      <c r="BI154" s="853">
        <f t="shared" si="147"/>
        <v>0</v>
      </c>
      <c r="BJ154" s="853">
        <f t="shared" si="147"/>
        <v>0</v>
      </c>
      <c r="BK154" s="853">
        <f t="shared" si="147"/>
        <v>0</v>
      </c>
      <c r="BL154" s="853">
        <f t="shared" si="147"/>
        <v>0</v>
      </c>
      <c r="BM154" s="853">
        <f t="shared" si="147"/>
        <v>0</v>
      </c>
      <c r="BN154" s="853">
        <f t="shared" si="147"/>
        <v>0</v>
      </c>
      <c r="BO154" s="854">
        <f t="shared" si="165"/>
        <v>0</v>
      </c>
      <c r="BP154" s="853">
        <f t="shared" si="166"/>
        <v>0</v>
      </c>
      <c r="BQ154" s="853">
        <f t="shared" si="148"/>
        <v>0</v>
      </c>
      <c r="BR154" s="853">
        <f t="shared" si="148"/>
        <v>0</v>
      </c>
      <c r="BS154" s="853">
        <f t="shared" si="148"/>
        <v>3.45</v>
      </c>
      <c r="BT154" s="853">
        <f t="shared" si="148"/>
        <v>10.35</v>
      </c>
      <c r="BU154" s="853">
        <f t="shared" si="148"/>
        <v>17.25</v>
      </c>
      <c r="BV154" s="853">
        <f t="shared" si="148"/>
        <v>24.15</v>
      </c>
      <c r="BW154" s="853">
        <f t="shared" si="148"/>
        <v>27.6</v>
      </c>
      <c r="BX154" s="853">
        <f t="shared" si="148"/>
        <v>31.05</v>
      </c>
      <c r="BY154" s="853">
        <f t="shared" si="148"/>
        <v>34.5</v>
      </c>
      <c r="BZ154" s="853">
        <f t="shared" si="148"/>
        <v>34.5</v>
      </c>
      <c r="CA154" s="853">
        <f t="shared" si="148"/>
        <v>34.5</v>
      </c>
      <c r="CB154" s="854">
        <f t="shared" si="167"/>
        <v>217.35000000000002</v>
      </c>
      <c r="CC154" s="853">
        <f t="shared" si="168"/>
        <v>34.5</v>
      </c>
      <c r="CD154" s="853">
        <f t="shared" si="149"/>
        <v>34.5</v>
      </c>
      <c r="CE154" s="853">
        <f t="shared" si="149"/>
        <v>34.5</v>
      </c>
      <c r="CF154" s="853">
        <f t="shared" si="149"/>
        <v>34.5</v>
      </c>
      <c r="CG154" s="853">
        <f t="shared" si="149"/>
        <v>34.5</v>
      </c>
      <c r="CH154" s="853">
        <f t="shared" si="149"/>
        <v>34.5</v>
      </c>
      <c r="CI154" s="853">
        <f t="shared" si="149"/>
        <v>34.5</v>
      </c>
      <c r="CJ154" s="853">
        <f t="shared" si="149"/>
        <v>34.5</v>
      </c>
      <c r="CK154" s="853">
        <f t="shared" si="149"/>
        <v>34.5</v>
      </c>
      <c r="CL154" s="853">
        <f t="shared" si="149"/>
        <v>34.5</v>
      </c>
      <c r="CM154" s="853">
        <f t="shared" si="149"/>
        <v>34.5</v>
      </c>
      <c r="CN154" s="853">
        <f t="shared" si="149"/>
        <v>34.5</v>
      </c>
      <c r="CO154" s="854">
        <f t="shared" si="169"/>
        <v>414</v>
      </c>
      <c r="CP154" s="855">
        <f t="shared" si="170"/>
        <v>631.35</v>
      </c>
    </row>
    <row r="155" spans="1:94">
      <c r="A155" s="845">
        <v>14</v>
      </c>
      <c r="B155" s="846" t="s">
        <v>920</v>
      </c>
      <c r="C155" s="847">
        <v>2</v>
      </c>
      <c r="D155" s="847">
        <f>'Xpert needs'!AC47</f>
        <v>423</v>
      </c>
      <c r="E155" s="847">
        <f t="shared" si="150"/>
        <v>35.25</v>
      </c>
      <c r="F155" s="848">
        <f t="shared" si="151"/>
        <v>1.8391304347826087</v>
      </c>
      <c r="G155" s="849">
        <f t="shared" si="152"/>
        <v>0.91956521739130437</v>
      </c>
      <c r="H155" s="847">
        <f t="shared" si="153"/>
        <v>423</v>
      </c>
      <c r="I155" s="847">
        <f t="shared" si="154"/>
        <v>35.25</v>
      </c>
      <c r="J155" s="848">
        <f t="shared" si="155"/>
        <v>1.8391304347826087</v>
      </c>
      <c r="K155" s="849">
        <f t="shared" si="156"/>
        <v>0.91956521739130437</v>
      </c>
      <c r="L155" s="847">
        <f t="shared" si="174"/>
        <v>423</v>
      </c>
      <c r="M155" s="847">
        <f t="shared" si="158"/>
        <v>35.25</v>
      </c>
      <c r="N155" s="848">
        <f t="shared" si="159"/>
        <v>1.8391304347826087</v>
      </c>
      <c r="O155" s="849">
        <f t="shared" si="160"/>
        <v>0.91956521739130437</v>
      </c>
      <c r="P155" s="850"/>
      <c r="Q155" s="850"/>
      <c r="R155" s="850"/>
      <c r="S155" s="850"/>
      <c r="T155" s="850"/>
      <c r="U155" s="850"/>
      <c r="V155" s="850"/>
      <c r="W155" s="850"/>
      <c r="X155" s="850"/>
      <c r="Y155" s="850"/>
      <c r="Z155" s="850"/>
      <c r="AA155" s="850"/>
      <c r="AB155" s="851">
        <f t="shared" si="161"/>
        <v>0</v>
      </c>
      <c r="AC155" s="850"/>
      <c r="AD155" s="850"/>
      <c r="AE155" s="850"/>
      <c r="AF155" s="852">
        <v>0.1</v>
      </c>
      <c r="AG155" s="850">
        <v>0.3</v>
      </c>
      <c r="AH155" s="850">
        <v>0.5</v>
      </c>
      <c r="AI155" s="850">
        <v>0.7</v>
      </c>
      <c r="AJ155" s="850">
        <v>0.8</v>
      </c>
      <c r="AK155" s="850">
        <v>0.9</v>
      </c>
      <c r="AL155" s="850">
        <v>1</v>
      </c>
      <c r="AM155" s="850">
        <v>1</v>
      </c>
      <c r="AN155" s="850">
        <v>1</v>
      </c>
      <c r="AO155" s="851">
        <f t="shared" si="162"/>
        <v>0.52500000000000002</v>
      </c>
      <c r="AP155" s="850">
        <v>1</v>
      </c>
      <c r="AQ155" s="850">
        <v>1</v>
      </c>
      <c r="AR155" s="850">
        <v>1</v>
      </c>
      <c r="AS155" s="850">
        <v>1</v>
      </c>
      <c r="AT155" s="850">
        <v>1</v>
      </c>
      <c r="AU155" s="850">
        <v>1</v>
      </c>
      <c r="AV155" s="850">
        <v>1</v>
      </c>
      <c r="AW155" s="850">
        <v>1</v>
      </c>
      <c r="AX155" s="850">
        <v>1</v>
      </c>
      <c r="AY155" s="850">
        <v>1</v>
      </c>
      <c r="AZ155" s="850">
        <v>1</v>
      </c>
      <c r="BA155" s="850">
        <v>1</v>
      </c>
      <c r="BB155" s="851">
        <f t="shared" si="163"/>
        <v>1</v>
      </c>
      <c r="BC155" s="853">
        <f t="shared" si="164"/>
        <v>0</v>
      </c>
      <c r="BD155" s="853">
        <f t="shared" si="147"/>
        <v>0</v>
      </c>
      <c r="BE155" s="853">
        <f t="shared" si="147"/>
        <v>0</v>
      </c>
      <c r="BF155" s="853">
        <f t="shared" si="147"/>
        <v>0</v>
      </c>
      <c r="BG155" s="853">
        <f t="shared" si="147"/>
        <v>0</v>
      </c>
      <c r="BH155" s="853">
        <f t="shared" si="147"/>
        <v>0</v>
      </c>
      <c r="BI155" s="853">
        <f t="shared" si="147"/>
        <v>0</v>
      </c>
      <c r="BJ155" s="853">
        <f t="shared" si="147"/>
        <v>0</v>
      </c>
      <c r="BK155" s="853">
        <f t="shared" si="147"/>
        <v>0</v>
      </c>
      <c r="BL155" s="853">
        <f t="shared" si="147"/>
        <v>0</v>
      </c>
      <c r="BM155" s="853">
        <f t="shared" si="147"/>
        <v>0</v>
      </c>
      <c r="BN155" s="853">
        <f t="shared" si="147"/>
        <v>0</v>
      </c>
      <c r="BO155" s="854">
        <f t="shared" si="165"/>
        <v>0</v>
      </c>
      <c r="BP155" s="853">
        <f t="shared" si="166"/>
        <v>0</v>
      </c>
      <c r="BQ155" s="853">
        <f t="shared" si="148"/>
        <v>0</v>
      </c>
      <c r="BR155" s="853">
        <f t="shared" si="148"/>
        <v>0</v>
      </c>
      <c r="BS155" s="853">
        <f t="shared" si="148"/>
        <v>3.5250000000000004</v>
      </c>
      <c r="BT155" s="853">
        <f t="shared" si="148"/>
        <v>10.574999999999999</v>
      </c>
      <c r="BU155" s="853">
        <f t="shared" si="148"/>
        <v>17.625</v>
      </c>
      <c r="BV155" s="853">
        <f t="shared" si="148"/>
        <v>24.674999999999997</v>
      </c>
      <c r="BW155" s="853">
        <f t="shared" si="148"/>
        <v>28.200000000000003</v>
      </c>
      <c r="BX155" s="853">
        <f t="shared" si="148"/>
        <v>31.725000000000001</v>
      </c>
      <c r="BY155" s="853">
        <f t="shared" si="148"/>
        <v>35.25</v>
      </c>
      <c r="BZ155" s="853">
        <f t="shared" si="148"/>
        <v>35.25</v>
      </c>
      <c r="CA155" s="853">
        <f t="shared" si="148"/>
        <v>35.25</v>
      </c>
      <c r="CB155" s="854">
        <f t="shared" si="167"/>
        <v>222.07499999999999</v>
      </c>
      <c r="CC155" s="853">
        <f t="shared" si="168"/>
        <v>35.25</v>
      </c>
      <c r="CD155" s="853">
        <f t="shared" si="149"/>
        <v>35.25</v>
      </c>
      <c r="CE155" s="853">
        <f t="shared" si="149"/>
        <v>35.25</v>
      </c>
      <c r="CF155" s="853">
        <f t="shared" si="149"/>
        <v>35.25</v>
      </c>
      <c r="CG155" s="853">
        <f t="shared" si="149"/>
        <v>35.25</v>
      </c>
      <c r="CH155" s="853">
        <f t="shared" si="149"/>
        <v>35.25</v>
      </c>
      <c r="CI155" s="853">
        <f t="shared" si="149"/>
        <v>35.25</v>
      </c>
      <c r="CJ155" s="853">
        <f t="shared" si="149"/>
        <v>35.25</v>
      </c>
      <c r="CK155" s="853">
        <f t="shared" si="149"/>
        <v>35.25</v>
      </c>
      <c r="CL155" s="853">
        <f t="shared" si="149"/>
        <v>35.25</v>
      </c>
      <c r="CM155" s="853">
        <f t="shared" si="149"/>
        <v>35.25</v>
      </c>
      <c r="CN155" s="853">
        <f t="shared" si="149"/>
        <v>35.25</v>
      </c>
      <c r="CO155" s="854">
        <f t="shared" si="169"/>
        <v>423</v>
      </c>
      <c r="CP155" s="855">
        <f t="shared" si="170"/>
        <v>645.07500000000005</v>
      </c>
    </row>
    <row r="156" spans="1:94">
      <c r="A156" s="856">
        <v>15</v>
      </c>
      <c r="B156" s="846" t="s">
        <v>1695</v>
      </c>
      <c r="C156" s="847">
        <v>4</v>
      </c>
      <c r="D156" s="847">
        <f>'Xpert needs'!AC56</f>
        <v>974.7</v>
      </c>
      <c r="E156" s="847">
        <f t="shared" si="150"/>
        <v>81.225000000000009</v>
      </c>
      <c r="F156" s="848">
        <f t="shared" si="151"/>
        <v>4.2378260869565221</v>
      </c>
      <c r="G156" s="849">
        <f t="shared" si="152"/>
        <v>1.0594565217391305</v>
      </c>
      <c r="H156" s="847">
        <f t="shared" si="153"/>
        <v>974.7</v>
      </c>
      <c r="I156" s="847">
        <f t="shared" si="154"/>
        <v>81.225000000000009</v>
      </c>
      <c r="J156" s="848">
        <f t="shared" si="155"/>
        <v>4.2378260869565221</v>
      </c>
      <c r="K156" s="849">
        <f t="shared" si="156"/>
        <v>1.0594565217391305</v>
      </c>
      <c r="L156" s="847">
        <f>H156</f>
        <v>974.7</v>
      </c>
      <c r="M156" s="847">
        <f t="shared" si="158"/>
        <v>81.225000000000009</v>
      </c>
      <c r="N156" s="848">
        <f t="shared" si="159"/>
        <v>4.2378260869565221</v>
      </c>
      <c r="O156" s="849">
        <f t="shared" si="160"/>
        <v>1.0594565217391305</v>
      </c>
      <c r="P156" s="857">
        <v>0.5</v>
      </c>
      <c r="Q156" s="850">
        <v>0.5</v>
      </c>
      <c r="R156" s="850">
        <v>0.55000000000000004</v>
      </c>
      <c r="S156" s="850">
        <v>0.55000000000000004</v>
      </c>
      <c r="T156" s="850">
        <v>0.6</v>
      </c>
      <c r="U156" s="850">
        <v>0.6</v>
      </c>
      <c r="V156" s="850">
        <v>0.65</v>
      </c>
      <c r="W156" s="850">
        <v>0.65</v>
      </c>
      <c r="X156" s="850">
        <v>0.7</v>
      </c>
      <c r="Y156" s="850">
        <v>0.7</v>
      </c>
      <c r="Z156" s="850">
        <v>0.75</v>
      </c>
      <c r="AA156" s="850">
        <v>0.75</v>
      </c>
      <c r="AB156" s="851">
        <f t="shared" si="161"/>
        <v>0.62500000000000011</v>
      </c>
      <c r="AC156" s="850">
        <v>0.8</v>
      </c>
      <c r="AD156" s="850">
        <v>0.8</v>
      </c>
      <c r="AE156" s="850">
        <v>0.85</v>
      </c>
      <c r="AF156" s="850">
        <v>0.85</v>
      </c>
      <c r="AG156" s="850">
        <v>0.9</v>
      </c>
      <c r="AH156" s="850">
        <v>0.9</v>
      </c>
      <c r="AI156" s="850">
        <v>0.95</v>
      </c>
      <c r="AJ156" s="850">
        <v>0.95</v>
      </c>
      <c r="AK156" s="850">
        <v>1</v>
      </c>
      <c r="AL156" s="850">
        <v>1</v>
      </c>
      <c r="AM156" s="850">
        <v>1</v>
      </c>
      <c r="AN156" s="850">
        <v>1</v>
      </c>
      <c r="AO156" s="851">
        <f t="shared" si="162"/>
        <v>0.91666666666666674</v>
      </c>
      <c r="AP156" s="850">
        <v>1</v>
      </c>
      <c r="AQ156" s="850">
        <v>1</v>
      </c>
      <c r="AR156" s="850">
        <v>1</v>
      </c>
      <c r="AS156" s="850">
        <v>1</v>
      </c>
      <c r="AT156" s="850">
        <v>1</v>
      </c>
      <c r="AU156" s="850">
        <v>1</v>
      </c>
      <c r="AV156" s="850">
        <v>1</v>
      </c>
      <c r="AW156" s="850">
        <v>1</v>
      </c>
      <c r="AX156" s="850">
        <v>1</v>
      </c>
      <c r="AY156" s="850">
        <v>1</v>
      </c>
      <c r="AZ156" s="850">
        <v>1</v>
      </c>
      <c r="BA156" s="850">
        <v>1</v>
      </c>
      <c r="BB156" s="851">
        <f t="shared" si="163"/>
        <v>1.0000000000000002</v>
      </c>
      <c r="BC156" s="853">
        <f t="shared" si="164"/>
        <v>40.612500000000004</v>
      </c>
      <c r="BD156" s="853">
        <f t="shared" si="147"/>
        <v>40.612500000000004</v>
      </c>
      <c r="BE156" s="853">
        <f t="shared" si="147"/>
        <v>44.673750000000005</v>
      </c>
      <c r="BF156" s="853">
        <f t="shared" si="147"/>
        <v>44.673750000000005</v>
      </c>
      <c r="BG156" s="853">
        <f t="shared" si="147"/>
        <v>48.735000000000007</v>
      </c>
      <c r="BH156" s="853">
        <f t="shared" si="147"/>
        <v>48.735000000000007</v>
      </c>
      <c r="BI156" s="853">
        <f t="shared" si="147"/>
        <v>52.796250000000008</v>
      </c>
      <c r="BJ156" s="853">
        <f t="shared" si="147"/>
        <v>52.796250000000008</v>
      </c>
      <c r="BK156" s="853">
        <f t="shared" si="147"/>
        <v>56.857500000000002</v>
      </c>
      <c r="BL156" s="853">
        <f t="shared" si="147"/>
        <v>56.857500000000002</v>
      </c>
      <c r="BM156" s="853">
        <f t="shared" si="147"/>
        <v>60.918750000000003</v>
      </c>
      <c r="BN156" s="853">
        <f t="shared" si="147"/>
        <v>60.918750000000003</v>
      </c>
      <c r="BO156" s="854">
        <f t="shared" si="165"/>
        <v>609.18750000000011</v>
      </c>
      <c r="BP156" s="853">
        <f t="shared" si="166"/>
        <v>64.98</v>
      </c>
      <c r="BQ156" s="853">
        <f t="shared" si="148"/>
        <v>64.98</v>
      </c>
      <c r="BR156" s="853">
        <f t="shared" si="148"/>
        <v>69.041250000000005</v>
      </c>
      <c r="BS156" s="853">
        <f t="shared" si="148"/>
        <v>69.041250000000005</v>
      </c>
      <c r="BT156" s="853">
        <f t="shared" si="148"/>
        <v>73.102500000000006</v>
      </c>
      <c r="BU156" s="853">
        <f t="shared" si="148"/>
        <v>73.102500000000006</v>
      </c>
      <c r="BV156" s="853">
        <f t="shared" si="148"/>
        <v>77.163750000000007</v>
      </c>
      <c r="BW156" s="853">
        <f t="shared" si="148"/>
        <v>77.163750000000007</v>
      </c>
      <c r="BX156" s="853">
        <f t="shared" si="148"/>
        <v>81.225000000000009</v>
      </c>
      <c r="BY156" s="853">
        <f t="shared" si="148"/>
        <v>81.225000000000009</v>
      </c>
      <c r="BZ156" s="853">
        <f t="shared" si="148"/>
        <v>81.225000000000009</v>
      </c>
      <c r="CA156" s="853">
        <f t="shared" si="148"/>
        <v>81.225000000000009</v>
      </c>
      <c r="CB156" s="854">
        <f t="shared" si="167"/>
        <v>893.47500000000014</v>
      </c>
      <c r="CC156" s="853">
        <f t="shared" si="168"/>
        <v>81.225000000000009</v>
      </c>
      <c r="CD156" s="853">
        <f t="shared" si="149"/>
        <v>81.225000000000009</v>
      </c>
      <c r="CE156" s="853">
        <f t="shared" si="149"/>
        <v>81.225000000000009</v>
      </c>
      <c r="CF156" s="853">
        <f t="shared" si="149"/>
        <v>81.225000000000009</v>
      </c>
      <c r="CG156" s="853">
        <f t="shared" si="149"/>
        <v>81.225000000000009</v>
      </c>
      <c r="CH156" s="853">
        <f t="shared" si="149"/>
        <v>81.225000000000009</v>
      </c>
      <c r="CI156" s="853">
        <f t="shared" si="149"/>
        <v>81.225000000000009</v>
      </c>
      <c r="CJ156" s="853">
        <f t="shared" si="149"/>
        <v>81.225000000000009</v>
      </c>
      <c r="CK156" s="853">
        <f t="shared" si="149"/>
        <v>81.225000000000009</v>
      </c>
      <c r="CL156" s="853">
        <f t="shared" si="149"/>
        <v>81.225000000000009</v>
      </c>
      <c r="CM156" s="853">
        <f t="shared" si="149"/>
        <v>81.225000000000009</v>
      </c>
      <c r="CN156" s="853">
        <f t="shared" si="149"/>
        <v>81.225000000000009</v>
      </c>
      <c r="CO156" s="854">
        <f t="shared" si="169"/>
        <v>974.70000000000016</v>
      </c>
      <c r="CP156" s="855">
        <f t="shared" si="170"/>
        <v>2477.3625000000006</v>
      </c>
    </row>
    <row r="157" spans="1:94">
      <c r="A157" s="856">
        <v>16</v>
      </c>
      <c r="B157" s="846" t="s">
        <v>838</v>
      </c>
      <c r="C157" s="847">
        <v>4</v>
      </c>
      <c r="D157" s="847">
        <f>'Xpert needs'!AC58</f>
        <v>2045.3999999999999</v>
      </c>
      <c r="E157" s="847">
        <f t="shared" si="150"/>
        <v>170.45</v>
      </c>
      <c r="F157" s="848">
        <f t="shared" si="151"/>
        <v>8.8930434782608696</v>
      </c>
      <c r="G157" s="849">
        <f t="shared" si="152"/>
        <v>2.2232608695652174</v>
      </c>
      <c r="H157" s="847">
        <f t="shared" si="153"/>
        <v>2045.3999999999999</v>
      </c>
      <c r="I157" s="847">
        <f t="shared" si="154"/>
        <v>170.45</v>
      </c>
      <c r="J157" s="848">
        <f t="shared" si="155"/>
        <v>8.8930434782608696</v>
      </c>
      <c r="K157" s="849">
        <f t="shared" si="156"/>
        <v>2.2232608695652174</v>
      </c>
      <c r="L157" s="847">
        <f>H157*95%</f>
        <v>1943.1299999999999</v>
      </c>
      <c r="M157" s="847">
        <f t="shared" si="158"/>
        <v>161.92749999999998</v>
      </c>
      <c r="N157" s="848">
        <f t="shared" si="159"/>
        <v>8.448391304347826</v>
      </c>
      <c r="O157" s="849">
        <f t="shared" si="160"/>
        <v>2.1120978260869565</v>
      </c>
      <c r="P157" s="857">
        <v>0.8</v>
      </c>
      <c r="Q157" s="850">
        <v>0.8</v>
      </c>
      <c r="R157" s="850">
        <v>0.8</v>
      </c>
      <c r="S157" s="850">
        <v>0.8</v>
      </c>
      <c r="T157" s="850">
        <v>0.8</v>
      </c>
      <c r="U157" s="850">
        <v>0.8</v>
      </c>
      <c r="V157" s="850">
        <v>0.8</v>
      </c>
      <c r="W157" s="850">
        <v>0.8</v>
      </c>
      <c r="X157" s="850">
        <v>0.8</v>
      </c>
      <c r="Y157" s="850">
        <v>0.85</v>
      </c>
      <c r="Z157" s="850">
        <v>0.85</v>
      </c>
      <c r="AA157" s="850">
        <v>0.85</v>
      </c>
      <c r="AB157" s="851">
        <f t="shared" si="161"/>
        <v>0.81249999999999989</v>
      </c>
      <c r="AC157" s="850">
        <v>1</v>
      </c>
      <c r="AD157" s="850">
        <v>1</v>
      </c>
      <c r="AE157" s="850">
        <v>1</v>
      </c>
      <c r="AF157" s="850">
        <v>1</v>
      </c>
      <c r="AG157" s="850">
        <v>1</v>
      </c>
      <c r="AH157" s="850">
        <v>1</v>
      </c>
      <c r="AI157" s="850">
        <v>1</v>
      </c>
      <c r="AJ157" s="850">
        <v>1</v>
      </c>
      <c r="AK157" s="850">
        <v>1</v>
      </c>
      <c r="AL157" s="850">
        <v>1</v>
      </c>
      <c r="AM157" s="850">
        <v>1</v>
      </c>
      <c r="AN157" s="850">
        <v>1</v>
      </c>
      <c r="AO157" s="851">
        <f t="shared" si="162"/>
        <v>1.0000000000000002</v>
      </c>
      <c r="AP157" s="850">
        <v>1</v>
      </c>
      <c r="AQ157" s="850">
        <v>1</v>
      </c>
      <c r="AR157" s="850">
        <v>1</v>
      </c>
      <c r="AS157" s="850">
        <v>1</v>
      </c>
      <c r="AT157" s="850">
        <v>1</v>
      </c>
      <c r="AU157" s="850">
        <v>1</v>
      </c>
      <c r="AV157" s="850">
        <v>1</v>
      </c>
      <c r="AW157" s="850">
        <v>1</v>
      </c>
      <c r="AX157" s="850">
        <v>1</v>
      </c>
      <c r="AY157" s="850">
        <v>1</v>
      </c>
      <c r="AZ157" s="850">
        <v>1</v>
      </c>
      <c r="BA157" s="850">
        <v>1</v>
      </c>
      <c r="BB157" s="851">
        <f t="shared" si="163"/>
        <v>1</v>
      </c>
      <c r="BC157" s="853">
        <f t="shared" si="164"/>
        <v>136.35999999999999</v>
      </c>
      <c r="BD157" s="853">
        <f t="shared" si="147"/>
        <v>136.35999999999999</v>
      </c>
      <c r="BE157" s="853">
        <f t="shared" si="147"/>
        <v>136.35999999999999</v>
      </c>
      <c r="BF157" s="853">
        <f t="shared" si="147"/>
        <v>136.35999999999999</v>
      </c>
      <c r="BG157" s="853">
        <f t="shared" si="147"/>
        <v>136.35999999999999</v>
      </c>
      <c r="BH157" s="853">
        <f t="shared" si="147"/>
        <v>136.35999999999999</v>
      </c>
      <c r="BI157" s="853">
        <f t="shared" si="147"/>
        <v>136.35999999999999</v>
      </c>
      <c r="BJ157" s="853">
        <f t="shared" si="147"/>
        <v>136.35999999999999</v>
      </c>
      <c r="BK157" s="853">
        <f t="shared" si="147"/>
        <v>136.35999999999999</v>
      </c>
      <c r="BL157" s="853">
        <f t="shared" si="147"/>
        <v>144.88249999999999</v>
      </c>
      <c r="BM157" s="853">
        <f t="shared" si="147"/>
        <v>144.88249999999999</v>
      </c>
      <c r="BN157" s="853">
        <f t="shared" si="147"/>
        <v>144.88249999999999</v>
      </c>
      <c r="BO157" s="854">
        <f t="shared" si="165"/>
        <v>1661.8874999999996</v>
      </c>
      <c r="BP157" s="853">
        <f t="shared" si="166"/>
        <v>170.45</v>
      </c>
      <c r="BQ157" s="853">
        <f t="shared" si="148"/>
        <v>170.45</v>
      </c>
      <c r="BR157" s="853">
        <f t="shared" si="148"/>
        <v>170.45</v>
      </c>
      <c r="BS157" s="853">
        <f t="shared" si="148"/>
        <v>170.45</v>
      </c>
      <c r="BT157" s="853">
        <f t="shared" si="148"/>
        <v>170.45</v>
      </c>
      <c r="BU157" s="853">
        <f t="shared" si="148"/>
        <v>170.45</v>
      </c>
      <c r="BV157" s="853">
        <f t="shared" si="148"/>
        <v>170.45</v>
      </c>
      <c r="BW157" s="853">
        <f t="shared" si="148"/>
        <v>170.45</v>
      </c>
      <c r="BX157" s="853">
        <f t="shared" si="148"/>
        <v>170.45</v>
      </c>
      <c r="BY157" s="853">
        <f t="shared" si="148"/>
        <v>170.45</v>
      </c>
      <c r="BZ157" s="853">
        <f t="shared" si="148"/>
        <v>170.45</v>
      </c>
      <c r="CA157" s="853">
        <f t="shared" si="148"/>
        <v>170.45</v>
      </c>
      <c r="CB157" s="854">
        <f t="shared" si="167"/>
        <v>2045.4000000000003</v>
      </c>
      <c r="CC157" s="853">
        <f t="shared" si="168"/>
        <v>161.92749999999998</v>
      </c>
      <c r="CD157" s="853">
        <f t="shared" si="149"/>
        <v>161.92749999999998</v>
      </c>
      <c r="CE157" s="853">
        <f t="shared" si="149"/>
        <v>161.92749999999998</v>
      </c>
      <c r="CF157" s="853">
        <f t="shared" si="149"/>
        <v>161.92749999999998</v>
      </c>
      <c r="CG157" s="853">
        <f t="shared" si="149"/>
        <v>161.92749999999998</v>
      </c>
      <c r="CH157" s="853">
        <f t="shared" si="149"/>
        <v>161.92749999999998</v>
      </c>
      <c r="CI157" s="853">
        <f t="shared" si="149"/>
        <v>161.92749999999998</v>
      </c>
      <c r="CJ157" s="853">
        <f t="shared" si="149"/>
        <v>161.92749999999998</v>
      </c>
      <c r="CK157" s="853">
        <f t="shared" si="149"/>
        <v>161.92749999999998</v>
      </c>
      <c r="CL157" s="853">
        <f t="shared" si="149"/>
        <v>161.92749999999998</v>
      </c>
      <c r="CM157" s="853">
        <f t="shared" si="149"/>
        <v>161.92749999999998</v>
      </c>
      <c r="CN157" s="853">
        <f t="shared" si="149"/>
        <v>161.92749999999998</v>
      </c>
      <c r="CO157" s="854">
        <f t="shared" si="169"/>
        <v>1943.1299999999999</v>
      </c>
      <c r="CP157" s="855">
        <f t="shared" si="170"/>
        <v>5650.4174999999996</v>
      </c>
    </row>
    <row r="158" spans="1:94">
      <c r="A158" s="845">
        <v>17</v>
      </c>
      <c r="B158" s="846" t="s">
        <v>934</v>
      </c>
      <c r="C158" s="847">
        <v>2</v>
      </c>
      <c r="D158" s="847">
        <f>'Xpert needs'!AC61</f>
        <v>490.1</v>
      </c>
      <c r="E158" s="847">
        <f t="shared" si="150"/>
        <v>40.841666666666669</v>
      </c>
      <c r="F158" s="848">
        <f t="shared" si="151"/>
        <v>2.1308695652173912</v>
      </c>
      <c r="G158" s="849">
        <f t="shared" si="152"/>
        <v>1.0654347826086956</v>
      </c>
      <c r="H158" s="847">
        <f t="shared" si="153"/>
        <v>490.1</v>
      </c>
      <c r="I158" s="847">
        <f t="shared" si="154"/>
        <v>40.841666666666669</v>
      </c>
      <c r="J158" s="848">
        <f t="shared" si="155"/>
        <v>2.1308695652173912</v>
      </c>
      <c r="K158" s="849">
        <f t="shared" si="156"/>
        <v>1.0654347826086956</v>
      </c>
      <c r="L158" s="847">
        <f t="shared" ref="L158" si="175">H158</f>
        <v>490.1</v>
      </c>
      <c r="M158" s="847">
        <f t="shared" si="158"/>
        <v>40.841666666666669</v>
      </c>
      <c r="N158" s="848">
        <f t="shared" si="159"/>
        <v>2.1308695652173912</v>
      </c>
      <c r="O158" s="849">
        <f t="shared" si="160"/>
        <v>1.0654347826086956</v>
      </c>
      <c r="P158" s="850"/>
      <c r="Q158" s="850"/>
      <c r="R158" s="850"/>
      <c r="S158" s="850"/>
      <c r="T158" s="850"/>
      <c r="U158" s="850"/>
      <c r="V158" s="850"/>
      <c r="W158" s="850"/>
      <c r="X158" s="850"/>
      <c r="Y158" s="850"/>
      <c r="Z158" s="850"/>
      <c r="AA158" s="850"/>
      <c r="AB158" s="851">
        <f t="shared" si="161"/>
        <v>0</v>
      </c>
      <c r="AC158" s="850"/>
      <c r="AD158" s="850"/>
      <c r="AE158" s="850"/>
      <c r="AF158" s="850"/>
      <c r="AG158" s="850"/>
      <c r="AH158" s="850"/>
      <c r="AI158" s="852">
        <v>0.1</v>
      </c>
      <c r="AJ158" s="850">
        <v>0.3</v>
      </c>
      <c r="AK158" s="850">
        <v>0.5</v>
      </c>
      <c r="AL158" s="850">
        <v>0.7</v>
      </c>
      <c r="AM158" s="850">
        <v>0.8</v>
      </c>
      <c r="AN158" s="850">
        <v>0.9</v>
      </c>
      <c r="AO158" s="851">
        <f t="shared" si="162"/>
        <v>0.27499999999999997</v>
      </c>
      <c r="AP158" s="850">
        <v>1</v>
      </c>
      <c r="AQ158" s="850">
        <v>1</v>
      </c>
      <c r="AR158" s="850">
        <v>1</v>
      </c>
      <c r="AS158" s="850">
        <v>1</v>
      </c>
      <c r="AT158" s="850">
        <v>1</v>
      </c>
      <c r="AU158" s="850">
        <v>1</v>
      </c>
      <c r="AV158" s="850">
        <v>1</v>
      </c>
      <c r="AW158" s="850">
        <v>1</v>
      </c>
      <c r="AX158" s="850">
        <v>1</v>
      </c>
      <c r="AY158" s="850">
        <v>1</v>
      </c>
      <c r="AZ158" s="850">
        <v>1</v>
      </c>
      <c r="BA158" s="850">
        <v>1</v>
      </c>
      <c r="BB158" s="851">
        <f t="shared" si="163"/>
        <v>1.0000000000000002</v>
      </c>
      <c r="BC158" s="853">
        <f t="shared" si="164"/>
        <v>0</v>
      </c>
      <c r="BD158" s="853">
        <f t="shared" si="147"/>
        <v>0</v>
      </c>
      <c r="BE158" s="853">
        <f t="shared" si="147"/>
        <v>0</v>
      </c>
      <c r="BF158" s="853">
        <f t="shared" si="147"/>
        <v>0</v>
      </c>
      <c r="BG158" s="853">
        <f t="shared" si="147"/>
        <v>0</v>
      </c>
      <c r="BH158" s="853">
        <f t="shared" si="147"/>
        <v>0</v>
      </c>
      <c r="BI158" s="853">
        <f t="shared" si="147"/>
        <v>0</v>
      </c>
      <c r="BJ158" s="853">
        <f t="shared" si="147"/>
        <v>0</v>
      </c>
      <c r="BK158" s="853">
        <f t="shared" si="147"/>
        <v>0</v>
      </c>
      <c r="BL158" s="853">
        <f t="shared" si="147"/>
        <v>0</v>
      </c>
      <c r="BM158" s="853">
        <f t="shared" si="147"/>
        <v>0</v>
      </c>
      <c r="BN158" s="853">
        <f t="shared" si="147"/>
        <v>0</v>
      </c>
      <c r="BO158" s="854">
        <f t="shared" si="165"/>
        <v>0</v>
      </c>
      <c r="BP158" s="853">
        <f t="shared" si="166"/>
        <v>0</v>
      </c>
      <c r="BQ158" s="853">
        <f t="shared" si="148"/>
        <v>0</v>
      </c>
      <c r="BR158" s="853">
        <f t="shared" si="148"/>
        <v>0</v>
      </c>
      <c r="BS158" s="853">
        <f t="shared" si="148"/>
        <v>0</v>
      </c>
      <c r="BT158" s="853">
        <f t="shared" si="148"/>
        <v>0</v>
      </c>
      <c r="BU158" s="853">
        <f t="shared" si="148"/>
        <v>0</v>
      </c>
      <c r="BV158" s="853">
        <f t="shared" si="148"/>
        <v>4.0841666666666674</v>
      </c>
      <c r="BW158" s="853">
        <f t="shared" si="148"/>
        <v>12.2525</v>
      </c>
      <c r="BX158" s="853">
        <f t="shared" si="148"/>
        <v>20.420833333333334</v>
      </c>
      <c r="BY158" s="853">
        <f t="shared" si="148"/>
        <v>28.589166666666667</v>
      </c>
      <c r="BZ158" s="853">
        <f t="shared" si="148"/>
        <v>32.673333333333339</v>
      </c>
      <c r="CA158" s="853">
        <f t="shared" si="148"/>
        <v>36.7575</v>
      </c>
      <c r="CB158" s="854">
        <f t="shared" si="167"/>
        <v>134.7775</v>
      </c>
      <c r="CC158" s="853">
        <f t="shared" si="168"/>
        <v>40.841666666666669</v>
      </c>
      <c r="CD158" s="853">
        <f t="shared" si="149"/>
        <v>40.841666666666669</v>
      </c>
      <c r="CE158" s="853">
        <f t="shared" si="149"/>
        <v>40.841666666666669</v>
      </c>
      <c r="CF158" s="853">
        <f t="shared" si="149"/>
        <v>40.841666666666669</v>
      </c>
      <c r="CG158" s="853">
        <f t="shared" si="149"/>
        <v>40.841666666666669</v>
      </c>
      <c r="CH158" s="853">
        <f t="shared" si="149"/>
        <v>40.841666666666669</v>
      </c>
      <c r="CI158" s="853">
        <f t="shared" si="149"/>
        <v>40.841666666666669</v>
      </c>
      <c r="CJ158" s="853">
        <f t="shared" si="149"/>
        <v>40.841666666666669</v>
      </c>
      <c r="CK158" s="853">
        <f t="shared" si="149"/>
        <v>40.841666666666669</v>
      </c>
      <c r="CL158" s="853">
        <f t="shared" si="149"/>
        <v>40.841666666666669</v>
      </c>
      <c r="CM158" s="853">
        <f t="shared" si="149"/>
        <v>40.841666666666669</v>
      </c>
      <c r="CN158" s="853">
        <f t="shared" si="149"/>
        <v>40.841666666666669</v>
      </c>
      <c r="CO158" s="854">
        <f t="shared" si="169"/>
        <v>490.10000000000014</v>
      </c>
      <c r="CP158" s="855">
        <f t="shared" si="170"/>
        <v>624.87750000000017</v>
      </c>
    </row>
    <row r="159" spans="1:94" s="838" customFormat="1">
      <c r="A159" s="856">
        <v>18</v>
      </c>
      <c r="B159" s="846" t="s">
        <v>1696</v>
      </c>
      <c r="C159" s="847">
        <v>4</v>
      </c>
      <c r="D159" s="847">
        <f>'Xpert needs'!AC66</f>
        <v>617.1</v>
      </c>
      <c r="E159" s="847">
        <f t="shared" si="150"/>
        <v>51.425000000000004</v>
      </c>
      <c r="F159" s="848">
        <f t="shared" si="151"/>
        <v>2.6830434782608696</v>
      </c>
      <c r="G159" s="849">
        <f t="shared" si="152"/>
        <v>0.67076086956521741</v>
      </c>
      <c r="H159" s="847">
        <f t="shared" si="153"/>
        <v>617.1</v>
      </c>
      <c r="I159" s="847">
        <f t="shared" si="154"/>
        <v>51.425000000000004</v>
      </c>
      <c r="J159" s="848">
        <f t="shared" si="155"/>
        <v>2.6830434782608696</v>
      </c>
      <c r="K159" s="849">
        <f t="shared" si="156"/>
        <v>0.67076086956521741</v>
      </c>
      <c r="L159" s="883">
        <f>H159*95%</f>
        <v>586.245</v>
      </c>
      <c r="M159" s="847">
        <f t="shared" si="158"/>
        <v>48.853749999999998</v>
      </c>
      <c r="N159" s="848">
        <f t="shared" si="159"/>
        <v>2.5488913043478263</v>
      </c>
      <c r="O159" s="849">
        <f t="shared" si="160"/>
        <v>0.63722282608695657</v>
      </c>
      <c r="P159" s="857">
        <v>0.8</v>
      </c>
      <c r="Q159" s="850">
        <v>0.9</v>
      </c>
      <c r="R159" s="850">
        <v>1</v>
      </c>
      <c r="S159" s="850">
        <v>1</v>
      </c>
      <c r="T159" s="850">
        <v>1</v>
      </c>
      <c r="U159" s="850">
        <v>1</v>
      </c>
      <c r="V159" s="850">
        <v>1</v>
      </c>
      <c r="W159" s="850">
        <v>1</v>
      </c>
      <c r="X159" s="850">
        <v>1</v>
      </c>
      <c r="Y159" s="850">
        <v>1</v>
      </c>
      <c r="Z159" s="850">
        <v>1</v>
      </c>
      <c r="AA159" s="850">
        <v>1</v>
      </c>
      <c r="AB159" s="851">
        <f t="shared" si="161"/>
        <v>0.97499999999999998</v>
      </c>
      <c r="AC159" s="850">
        <v>1</v>
      </c>
      <c r="AD159" s="850">
        <v>1</v>
      </c>
      <c r="AE159" s="850">
        <v>1</v>
      </c>
      <c r="AF159" s="850">
        <v>1</v>
      </c>
      <c r="AG159" s="850">
        <v>1</v>
      </c>
      <c r="AH159" s="850">
        <v>1</v>
      </c>
      <c r="AI159" s="850">
        <v>1</v>
      </c>
      <c r="AJ159" s="850">
        <v>1</v>
      </c>
      <c r="AK159" s="850">
        <v>1</v>
      </c>
      <c r="AL159" s="850">
        <v>1</v>
      </c>
      <c r="AM159" s="850">
        <v>1</v>
      </c>
      <c r="AN159" s="850">
        <v>1</v>
      </c>
      <c r="AO159" s="851">
        <f t="shared" si="162"/>
        <v>0.99999999999999978</v>
      </c>
      <c r="AP159" s="850">
        <v>1</v>
      </c>
      <c r="AQ159" s="850">
        <v>1</v>
      </c>
      <c r="AR159" s="850">
        <v>1</v>
      </c>
      <c r="AS159" s="850">
        <v>1</v>
      </c>
      <c r="AT159" s="850">
        <v>1</v>
      </c>
      <c r="AU159" s="850">
        <v>1</v>
      </c>
      <c r="AV159" s="850">
        <v>1</v>
      </c>
      <c r="AW159" s="850">
        <v>1</v>
      </c>
      <c r="AX159" s="850">
        <v>1</v>
      </c>
      <c r="AY159" s="850">
        <v>1</v>
      </c>
      <c r="AZ159" s="850">
        <v>1</v>
      </c>
      <c r="BA159" s="850">
        <v>1</v>
      </c>
      <c r="BB159" s="851">
        <f t="shared" si="163"/>
        <v>1</v>
      </c>
      <c r="BC159" s="853">
        <f t="shared" si="164"/>
        <v>41.140000000000008</v>
      </c>
      <c r="BD159" s="853">
        <f t="shared" si="147"/>
        <v>46.282500000000006</v>
      </c>
      <c r="BE159" s="853">
        <f t="shared" si="147"/>
        <v>51.425000000000004</v>
      </c>
      <c r="BF159" s="853">
        <f t="shared" si="147"/>
        <v>51.425000000000004</v>
      </c>
      <c r="BG159" s="853">
        <f t="shared" si="147"/>
        <v>51.425000000000004</v>
      </c>
      <c r="BH159" s="853">
        <f t="shared" si="147"/>
        <v>51.425000000000004</v>
      </c>
      <c r="BI159" s="853">
        <f t="shared" si="147"/>
        <v>51.425000000000004</v>
      </c>
      <c r="BJ159" s="853">
        <f t="shared" si="147"/>
        <v>51.425000000000004</v>
      </c>
      <c r="BK159" s="853">
        <f t="shared" si="147"/>
        <v>51.425000000000004</v>
      </c>
      <c r="BL159" s="853">
        <f t="shared" si="147"/>
        <v>51.425000000000004</v>
      </c>
      <c r="BM159" s="853">
        <f t="shared" si="147"/>
        <v>51.425000000000004</v>
      </c>
      <c r="BN159" s="853">
        <f t="shared" si="147"/>
        <v>51.425000000000004</v>
      </c>
      <c r="BO159" s="854">
        <f t="shared" si="165"/>
        <v>601.67250000000001</v>
      </c>
      <c r="BP159" s="853">
        <f t="shared" si="166"/>
        <v>51.425000000000004</v>
      </c>
      <c r="BQ159" s="853">
        <f t="shared" si="148"/>
        <v>51.425000000000004</v>
      </c>
      <c r="BR159" s="853">
        <f t="shared" si="148"/>
        <v>51.425000000000004</v>
      </c>
      <c r="BS159" s="853">
        <f t="shared" si="148"/>
        <v>51.425000000000004</v>
      </c>
      <c r="BT159" s="853">
        <f t="shared" si="148"/>
        <v>51.425000000000004</v>
      </c>
      <c r="BU159" s="853">
        <f t="shared" si="148"/>
        <v>51.425000000000004</v>
      </c>
      <c r="BV159" s="853">
        <f t="shared" si="148"/>
        <v>51.425000000000004</v>
      </c>
      <c r="BW159" s="853">
        <f t="shared" si="148"/>
        <v>51.425000000000004</v>
      </c>
      <c r="BX159" s="853">
        <f t="shared" si="148"/>
        <v>51.425000000000004</v>
      </c>
      <c r="BY159" s="853">
        <f t="shared" si="148"/>
        <v>51.425000000000004</v>
      </c>
      <c r="BZ159" s="853">
        <f t="shared" si="148"/>
        <v>51.425000000000004</v>
      </c>
      <c r="CA159" s="853">
        <f t="shared" si="148"/>
        <v>51.425000000000004</v>
      </c>
      <c r="CB159" s="854">
        <f t="shared" si="167"/>
        <v>617.09999999999991</v>
      </c>
      <c r="CC159" s="853">
        <f t="shared" si="168"/>
        <v>48.853749999999998</v>
      </c>
      <c r="CD159" s="853">
        <f t="shared" si="149"/>
        <v>48.853749999999998</v>
      </c>
      <c r="CE159" s="853">
        <f t="shared" si="149"/>
        <v>48.853749999999998</v>
      </c>
      <c r="CF159" s="853">
        <f t="shared" si="149"/>
        <v>48.853749999999998</v>
      </c>
      <c r="CG159" s="853">
        <f t="shared" si="149"/>
        <v>48.853749999999998</v>
      </c>
      <c r="CH159" s="853">
        <f t="shared" si="149"/>
        <v>48.853749999999998</v>
      </c>
      <c r="CI159" s="853">
        <f t="shared" si="149"/>
        <v>48.853749999999998</v>
      </c>
      <c r="CJ159" s="853">
        <f t="shared" si="149"/>
        <v>48.853749999999998</v>
      </c>
      <c r="CK159" s="853">
        <f t="shared" si="149"/>
        <v>48.853749999999998</v>
      </c>
      <c r="CL159" s="853">
        <f t="shared" si="149"/>
        <v>48.853749999999998</v>
      </c>
      <c r="CM159" s="853">
        <f t="shared" si="149"/>
        <v>48.853749999999998</v>
      </c>
      <c r="CN159" s="853">
        <f t="shared" si="149"/>
        <v>48.853749999999998</v>
      </c>
      <c r="CO159" s="854">
        <f t="shared" si="169"/>
        <v>586.245</v>
      </c>
      <c r="CP159" s="855">
        <f t="shared" si="170"/>
        <v>1805.0174999999999</v>
      </c>
    </row>
    <row r="160" spans="1:94">
      <c r="A160" s="856">
        <v>19</v>
      </c>
      <c r="B160" s="846" t="s">
        <v>1697</v>
      </c>
      <c r="C160" s="847">
        <v>4</v>
      </c>
      <c r="D160" s="847">
        <f>'Xpert needs'!AC70</f>
        <v>853.4</v>
      </c>
      <c r="E160" s="847">
        <f t="shared" si="150"/>
        <v>71.11666666666666</v>
      </c>
      <c r="F160" s="848">
        <f t="shared" si="151"/>
        <v>3.7104347826086954</v>
      </c>
      <c r="G160" s="849">
        <f t="shared" si="152"/>
        <v>0.92760869565217385</v>
      </c>
      <c r="H160" s="847">
        <f t="shared" si="153"/>
        <v>853.4</v>
      </c>
      <c r="I160" s="847">
        <f t="shared" si="154"/>
        <v>71.11666666666666</v>
      </c>
      <c r="J160" s="848">
        <f t="shared" si="155"/>
        <v>3.7104347826086954</v>
      </c>
      <c r="K160" s="849">
        <f t="shared" si="156"/>
        <v>0.92760869565217385</v>
      </c>
      <c r="L160" s="847">
        <f>H160</f>
        <v>853.4</v>
      </c>
      <c r="M160" s="847">
        <f t="shared" si="158"/>
        <v>71.11666666666666</v>
      </c>
      <c r="N160" s="848">
        <f t="shared" si="159"/>
        <v>3.7104347826086954</v>
      </c>
      <c r="O160" s="849">
        <f t="shared" si="160"/>
        <v>0.92760869565217385</v>
      </c>
      <c r="P160" s="857">
        <v>0.65</v>
      </c>
      <c r="Q160" s="850">
        <v>0.65</v>
      </c>
      <c r="R160" s="850">
        <v>0.7</v>
      </c>
      <c r="S160" s="850">
        <v>0.7</v>
      </c>
      <c r="T160" s="850">
        <v>0.75</v>
      </c>
      <c r="U160" s="850">
        <v>0.75</v>
      </c>
      <c r="V160" s="850">
        <v>0.8</v>
      </c>
      <c r="W160" s="850">
        <v>0.8</v>
      </c>
      <c r="X160" s="850">
        <v>0.85</v>
      </c>
      <c r="Y160" s="850">
        <v>0.85</v>
      </c>
      <c r="Z160" s="850">
        <v>0.9</v>
      </c>
      <c r="AA160" s="850">
        <v>0.9</v>
      </c>
      <c r="AB160" s="851">
        <f t="shared" si="161"/>
        <v>0.77499999999999991</v>
      </c>
      <c r="AC160" s="850">
        <v>0.95</v>
      </c>
      <c r="AD160" s="850">
        <v>0.95</v>
      </c>
      <c r="AE160" s="850">
        <v>1</v>
      </c>
      <c r="AF160" s="850">
        <v>1</v>
      </c>
      <c r="AG160" s="850">
        <v>1</v>
      </c>
      <c r="AH160" s="850">
        <v>1</v>
      </c>
      <c r="AI160" s="850">
        <v>1</v>
      </c>
      <c r="AJ160" s="850">
        <v>1</v>
      </c>
      <c r="AK160" s="850">
        <v>1</v>
      </c>
      <c r="AL160" s="850">
        <v>1</v>
      </c>
      <c r="AM160" s="850">
        <v>1</v>
      </c>
      <c r="AN160" s="850">
        <v>1</v>
      </c>
      <c r="AO160" s="851">
        <f t="shared" si="162"/>
        <v>0.9916666666666667</v>
      </c>
      <c r="AP160" s="850">
        <v>1</v>
      </c>
      <c r="AQ160" s="850">
        <v>1</v>
      </c>
      <c r="AR160" s="850">
        <v>1</v>
      </c>
      <c r="AS160" s="850">
        <v>1</v>
      </c>
      <c r="AT160" s="850">
        <v>1</v>
      </c>
      <c r="AU160" s="850">
        <v>1</v>
      </c>
      <c r="AV160" s="850">
        <v>1</v>
      </c>
      <c r="AW160" s="850">
        <v>1</v>
      </c>
      <c r="AX160" s="850">
        <v>1</v>
      </c>
      <c r="AY160" s="850">
        <v>1</v>
      </c>
      <c r="AZ160" s="850">
        <v>1</v>
      </c>
      <c r="BA160" s="850">
        <v>1</v>
      </c>
      <c r="BB160" s="851">
        <f t="shared" si="163"/>
        <v>1</v>
      </c>
      <c r="BC160" s="853">
        <f t="shared" si="164"/>
        <v>46.225833333333334</v>
      </c>
      <c r="BD160" s="853">
        <f t="shared" si="147"/>
        <v>46.225833333333334</v>
      </c>
      <c r="BE160" s="853">
        <f t="shared" si="147"/>
        <v>49.781666666666659</v>
      </c>
      <c r="BF160" s="853">
        <f t="shared" si="147"/>
        <v>49.781666666666659</v>
      </c>
      <c r="BG160" s="853">
        <f t="shared" si="147"/>
        <v>53.337499999999991</v>
      </c>
      <c r="BH160" s="853">
        <f t="shared" si="147"/>
        <v>53.337499999999991</v>
      </c>
      <c r="BI160" s="853">
        <f t="shared" si="147"/>
        <v>56.893333333333331</v>
      </c>
      <c r="BJ160" s="853">
        <f t="shared" si="147"/>
        <v>56.893333333333331</v>
      </c>
      <c r="BK160" s="853">
        <f t="shared" si="147"/>
        <v>60.449166666666656</v>
      </c>
      <c r="BL160" s="853">
        <f t="shared" si="147"/>
        <v>60.449166666666656</v>
      </c>
      <c r="BM160" s="853">
        <f t="shared" si="147"/>
        <v>64.004999999999995</v>
      </c>
      <c r="BN160" s="853">
        <f t="shared" si="147"/>
        <v>64.004999999999995</v>
      </c>
      <c r="BO160" s="854">
        <f t="shared" si="165"/>
        <v>661.38499999999988</v>
      </c>
      <c r="BP160" s="853">
        <f t="shared" si="166"/>
        <v>67.560833333333321</v>
      </c>
      <c r="BQ160" s="853">
        <f t="shared" si="148"/>
        <v>67.560833333333321</v>
      </c>
      <c r="BR160" s="853">
        <f t="shared" si="148"/>
        <v>71.11666666666666</v>
      </c>
      <c r="BS160" s="853">
        <f t="shared" si="148"/>
        <v>71.11666666666666</v>
      </c>
      <c r="BT160" s="853">
        <f t="shared" si="148"/>
        <v>71.11666666666666</v>
      </c>
      <c r="BU160" s="853">
        <f t="shared" si="148"/>
        <v>71.11666666666666</v>
      </c>
      <c r="BV160" s="853">
        <f t="shared" si="148"/>
        <v>71.11666666666666</v>
      </c>
      <c r="BW160" s="853">
        <f t="shared" si="148"/>
        <v>71.11666666666666</v>
      </c>
      <c r="BX160" s="853">
        <f t="shared" si="148"/>
        <v>71.11666666666666</v>
      </c>
      <c r="BY160" s="853">
        <f t="shared" si="148"/>
        <v>71.11666666666666</v>
      </c>
      <c r="BZ160" s="853">
        <f t="shared" si="148"/>
        <v>71.11666666666666</v>
      </c>
      <c r="CA160" s="853">
        <f t="shared" si="148"/>
        <v>71.11666666666666</v>
      </c>
      <c r="CB160" s="854">
        <f t="shared" si="167"/>
        <v>846.2883333333333</v>
      </c>
      <c r="CC160" s="853">
        <f t="shared" si="168"/>
        <v>71.11666666666666</v>
      </c>
      <c r="CD160" s="853">
        <f t="shared" si="149"/>
        <v>71.11666666666666</v>
      </c>
      <c r="CE160" s="853">
        <f t="shared" si="149"/>
        <v>71.11666666666666</v>
      </c>
      <c r="CF160" s="853">
        <f t="shared" si="149"/>
        <v>71.11666666666666</v>
      </c>
      <c r="CG160" s="853">
        <f t="shared" si="149"/>
        <v>71.11666666666666</v>
      </c>
      <c r="CH160" s="853">
        <f t="shared" si="149"/>
        <v>71.11666666666666</v>
      </c>
      <c r="CI160" s="853">
        <f t="shared" si="149"/>
        <v>71.11666666666666</v>
      </c>
      <c r="CJ160" s="853">
        <f t="shared" si="149"/>
        <v>71.11666666666666</v>
      </c>
      <c r="CK160" s="853">
        <f t="shared" si="149"/>
        <v>71.11666666666666</v>
      </c>
      <c r="CL160" s="853">
        <f t="shared" si="149"/>
        <v>71.11666666666666</v>
      </c>
      <c r="CM160" s="853">
        <f t="shared" si="149"/>
        <v>71.11666666666666</v>
      </c>
      <c r="CN160" s="853">
        <f t="shared" si="149"/>
        <v>71.11666666666666</v>
      </c>
      <c r="CO160" s="854">
        <f t="shared" si="169"/>
        <v>853.4</v>
      </c>
      <c r="CP160" s="855">
        <f t="shared" si="170"/>
        <v>2361.0733333333333</v>
      </c>
    </row>
    <row r="161" spans="1:94">
      <c r="A161" s="845">
        <v>20</v>
      </c>
      <c r="B161" s="846" t="s">
        <v>944</v>
      </c>
      <c r="C161" s="847">
        <v>2</v>
      </c>
      <c r="D161" s="847">
        <f>'Xpert needs'!AC71</f>
        <v>409.5</v>
      </c>
      <c r="E161" s="847">
        <f t="shared" si="150"/>
        <v>34.125</v>
      </c>
      <c r="F161" s="848">
        <f t="shared" si="151"/>
        <v>1.7804347826086957</v>
      </c>
      <c r="G161" s="849">
        <f t="shared" si="152"/>
        <v>0.89021739130434785</v>
      </c>
      <c r="H161" s="847">
        <f t="shared" si="153"/>
        <v>409.5</v>
      </c>
      <c r="I161" s="847">
        <f t="shared" si="154"/>
        <v>34.125</v>
      </c>
      <c r="J161" s="848">
        <f t="shared" si="155"/>
        <v>1.7804347826086957</v>
      </c>
      <c r="K161" s="849">
        <f t="shared" si="156"/>
        <v>0.89021739130434785</v>
      </c>
      <c r="L161" s="847">
        <f t="shared" ref="L161:L163" si="176">H161</f>
        <v>409.5</v>
      </c>
      <c r="M161" s="847">
        <f t="shared" si="158"/>
        <v>34.125</v>
      </c>
      <c r="N161" s="848">
        <f t="shared" si="159"/>
        <v>1.7804347826086957</v>
      </c>
      <c r="O161" s="849">
        <f t="shared" si="160"/>
        <v>0.89021739130434785</v>
      </c>
      <c r="P161" s="850"/>
      <c r="Q161" s="850"/>
      <c r="R161" s="850"/>
      <c r="S161" s="850"/>
      <c r="T161" s="850"/>
      <c r="U161" s="850"/>
      <c r="V161" s="850"/>
      <c r="W161" s="850"/>
      <c r="X161" s="850"/>
      <c r="Y161" s="850"/>
      <c r="Z161" s="850"/>
      <c r="AA161" s="850"/>
      <c r="AB161" s="851">
        <f t="shared" si="161"/>
        <v>0</v>
      </c>
      <c r="AC161" s="850"/>
      <c r="AD161" s="850"/>
      <c r="AE161" s="850"/>
      <c r="AF161" s="850"/>
      <c r="AG161" s="850"/>
      <c r="AH161" s="850"/>
      <c r="AI161" s="852">
        <v>0.1</v>
      </c>
      <c r="AJ161" s="850">
        <v>0.2</v>
      </c>
      <c r="AK161" s="850">
        <v>0.3</v>
      </c>
      <c r="AL161" s="850">
        <v>0.4</v>
      </c>
      <c r="AM161" s="850">
        <v>0.5</v>
      </c>
      <c r="AN161" s="850">
        <v>0.6</v>
      </c>
      <c r="AO161" s="851">
        <f t="shared" si="162"/>
        <v>0.17499999999999999</v>
      </c>
      <c r="AP161" s="850">
        <v>0.7</v>
      </c>
      <c r="AQ161" s="850">
        <v>0.8</v>
      </c>
      <c r="AR161" s="850">
        <v>0.9</v>
      </c>
      <c r="AS161" s="850">
        <v>1</v>
      </c>
      <c r="AT161" s="850">
        <v>1</v>
      </c>
      <c r="AU161" s="850">
        <v>1</v>
      </c>
      <c r="AV161" s="850">
        <v>1</v>
      </c>
      <c r="AW161" s="850">
        <v>1</v>
      </c>
      <c r="AX161" s="850">
        <v>1</v>
      </c>
      <c r="AY161" s="850">
        <v>1</v>
      </c>
      <c r="AZ161" s="850">
        <v>1</v>
      </c>
      <c r="BA161" s="850">
        <v>1</v>
      </c>
      <c r="BB161" s="851">
        <f t="shared" si="163"/>
        <v>0.95</v>
      </c>
      <c r="BC161" s="853">
        <f t="shared" si="164"/>
        <v>0</v>
      </c>
      <c r="BD161" s="853">
        <f t="shared" si="147"/>
        <v>0</v>
      </c>
      <c r="BE161" s="853">
        <f t="shared" si="147"/>
        <v>0</v>
      </c>
      <c r="BF161" s="853">
        <f t="shared" si="147"/>
        <v>0</v>
      </c>
      <c r="BG161" s="853">
        <f t="shared" si="147"/>
        <v>0</v>
      </c>
      <c r="BH161" s="853">
        <f t="shared" si="147"/>
        <v>0</v>
      </c>
      <c r="BI161" s="853">
        <f t="shared" si="147"/>
        <v>0</v>
      </c>
      <c r="BJ161" s="853">
        <f t="shared" si="147"/>
        <v>0</v>
      </c>
      <c r="BK161" s="853">
        <f t="shared" si="147"/>
        <v>0</v>
      </c>
      <c r="BL161" s="853">
        <f t="shared" si="147"/>
        <v>0</v>
      </c>
      <c r="BM161" s="853">
        <f t="shared" si="147"/>
        <v>0</v>
      </c>
      <c r="BN161" s="853">
        <f t="shared" si="147"/>
        <v>0</v>
      </c>
      <c r="BO161" s="854">
        <f t="shared" si="165"/>
        <v>0</v>
      </c>
      <c r="BP161" s="853">
        <f t="shared" si="166"/>
        <v>0</v>
      </c>
      <c r="BQ161" s="853">
        <f t="shared" si="148"/>
        <v>0</v>
      </c>
      <c r="BR161" s="853">
        <f t="shared" si="148"/>
        <v>0</v>
      </c>
      <c r="BS161" s="853">
        <f t="shared" si="148"/>
        <v>0</v>
      </c>
      <c r="BT161" s="853">
        <f t="shared" si="148"/>
        <v>0</v>
      </c>
      <c r="BU161" s="853">
        <f t="shared" si="148"/>
        <v>0</v>
      </c>
      <c r="BV161" s="853">
        <f t="shared" si="148"/>
        <v>3.4125000000000001</v>
      </c>
      <c r="BW161" s="853">
        <f t="shared" si="148"/>
        <v>6.8250000000000002</v>
      </c>
      <c r="BX161" s="853">
        <f t="shared" si="148"/>
        <v>10.237499999999999</v>
      </c>
      <c r="BY161" s="853">
        <f t="shared" si="148"/>
        <v>13.65</v>
      </c>
      <c r="BZ161" s="853">
        <f t="shared" si="148"/>
        <v>17.0625</v>
      </c>
      <c r="CA161" s="853">
        <f t="shared" si="148"/>
        <v>20.474999999999998</v>
      </c>
      <c r="CB161" s="854">
        <f t="shared" si="167"/>
        <v>71.662499999999994</v>
      </c>
      <c r="CC161" s="853">
        <f t="shared" si="168"/>
        <v>23.887499999999999</v>
      </c>
      <c r="CD161" s="853">
        <f t="shared" si="149"/>
        <v>27.3</v>
      </c>
      <c r="CE161" s="853">
        <f t="shared" si="149"/>
        <v>30.712500000000002</v>
      </c>
      <c r="CF161" s="853">
        <f t="shared" si="149"/>
        <v>34.125</v>
      </c>
      <c r="CG161" s="853">
        <f t="shared" si="149"/>
        <v>34.125</v>
      </c>
      <c r="CH161" s="853">
        <f t="shared" si="149"/>
        <v>34.125</v>
      </c>
      <c r="CI161" s="853">
        <f t="shared" si="149"/>
        <v>34.125</v>
      </c>
      <c r="CJ161" s="853">
        <f t="shared" si="149"/>
        <v>34.125</v>
      </c>
      <c r="CK161" s="853">
        <f t="shared" si="149"/>
        <v>34.125</v>
      </c>
      <c r="CL161" s="853">
        <f t="shared" si="149"/>
        <v>34.125</v>
      </c>
      <c r="CM161" s="853">
        <f t="shared" si="149"/>
        <v>34.125</v>
      </c>
      <c r="CN161" s="853">
        <f t="shared" si="149"/>
        <v>34.125</v>
      </c>
      <c r="CO161" s="854">
        <f t="shared" si="169"/>
        <v>389.02499999999998</v>
      </c>
      <c r="CP161" s="855">
        <f t="shared" si="170"/>
        <v>460.6875</v>
      </c>
    </row>
    <row r="162" spans="1:94">
      <c r="A162" s="845">
        <v>21</v>
      </c>
      <c r="B162" s="846" t="s">
        <v>949</v>
      </c>
      <c r="C162" s="847">
        <v>2</v>
      </c>
      <c r="D162" s="847">
        <f>'Xpert needs'!AC76</f>
        <v>401</v>
      </c>
      <c r="E162" s="847">
        <f t="shared" si="150"/>
        <v>33.416666666666664</v>
      </c>
      <c r="F162" s="848">
        <f t="shared" si="151"/>
        <v>1.7434782608695651</v>
      </c>
      <c r="G162" s="849">
        <f t="shared" si="152"/>
        <v>0.87173913043478257</v>
      </c>
      <c r="H162" s="847">
        <f t="shared" si="153"/>
        <v>401</v>
      </c>
      <c r="I162" s="847">
        <f t="shared" si="154"/>
        <v>33.416666666666664</v>
      </c>
      <c r="J162" s="848">
        <f t="shared" si="155"/>
        <v>1.7434782608695651</v>
      </c>
      <c r="K162" s="849">
        <f t="shared" si="156"/>
        <v>0.87173913043478257</v>
      </c>
      <c r="L162" s="847">
        <f t="shared" si="176"/>
        <v>401</v>
      </c>
      <c r="M162" s="847">
        <f t="shared" si="158"/>
        <v>33.416666666666664</v>
      </c>
      <c r="N162" s="848">
        <f t="shared" si="159"/>
        <v>1.7434782608695651</v>
      </c>
      <c r="O162" s="849">
        <f t="shared" si="160"/>
        <v>0.87173913043478257</v>
      </c>
      <c r="P162" s="850"/>
      <c r="Q162" s="850"/>
      <c r="R162" s="850"/>
      <c r="S162" s="850"/>
      <c r="T162" s="850"/>
      <c r="U162" s="850"/>
      <c r="V162" s="850"/>
      <c r="W162" s="850"/>
      <c r="X162" s="850"/>
      <c r="Y162" s="850"/>
      <c r="Z162" s="850"/>
      <c r="AA162" s="850"/>
      <c r="AB162" s="851">
        <f t="shared" si="161"/>
        <v>0</v>
      </c>
      <c r="AC162" s="850"/>
      <c r="AD162" s="850"/>
      <c r="AE162" s="850"/>
      <c r="AF162" s="852">
        <v>0.1</v>
      </c>
      <c r="AG162" s="850">
        <v>0.2</v>
      </c>
      <c r="AH162" s="850">
        <v>0.3</v>
      </c>
      <c r="AI162" s="850">
        <v>0.4</v>
      </c>
      <c r="AJ162" s="850">
        <v>0.5</v>
      </c>
      <c r="AK162" s="850">
        <v>0.6</v>
      </c>
      <c r="AL162" s="850">
        <v>0.7</v>
      </c>
      <c r="AM162" s="850">
        <v>0.8</v>
      </c>
      <c r="AN162" s="850">
        <v>0.9</v>
      </c>
      <c r="AO162" s="851">
        <f t="shared" si="162"/>
        <v>0.375</v>
      </c>
      <c r="AP162" s="850">
        <v>0.95</v>
      </c>
      <c r="AQ162" s="850">
        <v>1</v>
      </c>
      <c r="AR162" s="850">
        <v>1</v>
      </c>
      <c r="AS162" s="850">
        <v>1</v>
      </c>
      <c r="AT162" s="850">
        <v>1</v>
      </c>
      <c r="AU162" s="850">
        <v>1</v>
      </c>
      <c r="AV162" s="850">
        <v>1</v>
      </c>
      <c r="AW162" s="850">
        <v>1</v>
      </c>
      <c r="AX162" s="850">
        <v>1</v>
      </c>
      <c r="AY162" s="850">
        <v>1</v>
      </c>
      <c r="AZ162" s="850">
        <v>1</v>
      </c>
      <c r="BA162" s="850">
        <v>1</v>
      </c>
      <c r="BB162" s="851">
        <f t="shared" si="163"/>
        <v>0.99583333333333346</v>
      </c>
      <c r="BC162" s="853">
        <f t="shared" si="164"/>
        <v>0</v>
      </c>
      <c r="BD162" s="853">
        <f t="shared" si="147"/>
        <v>0</v>
      </c>
      <c r="BE162" s="853">
        <f t="shared" si="147"/>
        <v>0</v>
      </c>
      <c r="BF162" s="853">
        <f t="shared" si="147"/>
        <v>0</v>
      </c>
      <c r="BG162" s="853">
        <f t="shared" si="147"/>
        <v>0</v>
      </c>
      <c r="BH162" s="853">
        <f t="shared" si="147"/>
        <v>0</v>
      </c>
      <c r="BI162" s="853">
        <f t="shared" si="147"/>
        <v>0</v>
      </c>
      <c r="BJ162" s="853">
        <f t="shared" si="147"/>
        <v>0</v>
      </c>
      <c r="BK162" s="853">
        <f t="shared" si="147"/>
        <v>0</v>
      </c>
      <c r="BL162" s="853">
        <f t="shared" si="147"/>
        <v>0</v>
      </c>
      <c r="BM162" s="853">
        <f t="shared" si="147"/>
        <v>0</v>
      </c>
      <c r="BN162" s="853">
        <f t="shared" si="147"/>
        <v>0</v>
      </c>
      <c r="BO162" s="854">
        <f t="shared" si="165"/>
        <v>0</v>
      </c>
      <c r="BP162" s="853">
        <f t="shared" si="166"/>
        <v>0</v>
      </c>
      <c r="BQ162" s="853">
        <f t="shared" si="148"/>
        <v>0</v>
      </c>
      <c r="BR162" s="853">
        <f t="shared" si="148"/>
        <v>0</v>
      </c>
      <c r="BS162" s="853">
        <f t="shared" si="148"/>
        <v>3.3416666666666668</v>
      </c>
      <c r="BT162" s="853">
        <f t="shared" si="148"/>
        <v>6.6833333333333336</v>
      </c>
      <c r="BU162" s="853">
        <f t="shared" si="148"/>
        <v>10.024999999999999</v>
      </c>
      <c r="BV162" s="853">
        <f t="shared" si="148"/>
        <v>13.366666666666667</v>
      </c>
      <c r="BW162" s="853">
        <f t="shared" si="148"/>
        <v>16.708333333333332</v>
      </c>
      <c r="BX162" s="853">
        <f t="shared" si="148"/>
        <v>20.049999999999997</v>
      </c>
      <c r="BY162" s="853">
        <f t="shared" si="148"/>
        <v>23.391666666666662</v>
      </c>
      <c r="BZ162" s="853">
        <f t="shared" si="148"/>
        <v>26.733333333333334</v>
      </c>
      <c r="CA162" s="853">
        <f t="shared" si="148"/>
        <v>30.074999999999999</v>
      </c>
      <c r="CB162" s="854">
        <f t="shared" si="167"/>
        <v>150.375</v>
      </c>
      <c r="CC162" s="853">
        <f t="shared" si="168"/>
        <v>31.74583333333333</v>
      </c>
      <c r="CD162" s="853">
        <f t="shared" si="149"/>
        <v>33.416666666666664</v>
      </c>
      <c r="CE162" s="853">
        <f t="shared" si="149"/>
        <v>33.416666666666664</v>
      </c>
      <c r="CF162" s="853">
        <f t="shared" si="149"/>
        <v>33.416666666666664</v>
      </c>
      <c r="CG162" s="853">
        <f t="shared" si="149"/>
        <v>33.416666666666664</v>
      </c>
      <c r="CH162" s="853">
        <f t="shared" si="149"/>
        <v>33.416666666666664</v>
      </c>
      <c r="CI162" s="853">
        <f t="shared" si="149"/>
        <v>33.416666666666664</v>
      </c>
      <c r="CJ162" s="853">
        <f t="shared" si="149"/>
        <v>33.416666666666664</v>
      </c>
      <c r="CK162" s="853">
        <f t="shared" si="149"/>
        <v>33.416666666666664</v>
      </c>
      <c r="CL162" s="853">
        <f t="shared" si="149"/>
        <v>33.416666666666664</v>
      </c>
      <c r="CM162" s="853">
        <f t="shared" si="149"/>
        <v>33.416666666666664</v>
      </c>
      <c r="CN162" s="853">
        <f t="shared" si="149"/>
        <v>33.416666666666664</v>
      </c>
      <c r="CO162" s="854">
        <f t="shared" si="169"/>
        <v>399.32916666666671</v>
      </c>
      <c r="CP162" s="855">
        <f t="shared" si="170"/>
        <v>549.70416666666665</v>
      </c>
    </row>
    <row r="163" spans="1:94">
      <c r="A163" s="845">
        <v>22</v>
      </c>
      <c r="B163" s="846" t="s">
        <v>953</v>
      </c>
      <c r="C163" s="847">
        <v>2</v>
      </c>
      <c r="D163" s="847">
        <f>'Xpert needs'!AC80</f>
        <v>420</v>
      </c>
      <c r="E163" s="847">
        <f t="shared" si="150"/>
        <v>35</v>
      </c>
      <c r="F163" s="848">
        <f t="shared" si="151"/>
        <v>1.826086956521739</v>
      </c>
      <c r="G163" s="849">
        <f t="shared" si="152"/>
        <v>0.91304347826086951</v>
      </c>
      <c r="H163" s="847">
        <f t="shared" si="153"/>
        <v>420</v>
      </c>
      <c r="I163" s="847">
        <f t="shared" si="154"/>
        <v>35</v>
      </c>
      <c r="J163" s="848">
        <f t="shared" si="155"/>
        <v>1.826086956521739</v>
      </c>
      <c r="K163" s="849">
        <f t="shared" si="156"/>
        <v>0.91304347826086951</v>
      </c>
      <c r="L163" s="847">
        <f t="shared" si="176"/>
        <v>420</v>
      </c>
      <c r="M163" s="847">
        <f t="shared" si="158"/>
        <v>35</v>
      </c>
      <c r="N163" s="848">
        <f t="shared" si="159"/>
        <v>1.826086956521739</v>
      </c>
      <c r="O163" s="849">
        <f t="shared" si="160"/>
        <v>0.91304347826086951</v>
      </c>
      <c r="P163" s="850"/>
      <c r="Q163" s="850"/>
      <c r="R163" s="850"/>
      <c r="S163" s="850"/>
      <c r="T163" s="850"/>
      <c r="U163" s="850"/>
      <c r="V163" s="850"/>
      <c r="W163" s="850"/>
      <c r="X163" s="850"/>
      <c r="Y163" s="850"/>
      <c r="Z163" s="850"/>
      <c r="AA163" s="850"/>
      <c r="AB163" s="851">
        <f t="shared" si="161"/>
        <v>0</v>
      </c>
      <c r="AC163" s="850"/>
      <c r="AD163" s="850"/>
      <c r="AE163" s="850"/>
      <c r="AF163" s="852">
        <v>0.1</v>
      </c>
      <c r="AG163" s="850">
        <v>0.2</v>
      </c>
      <c r="AH163" s="850">
        <v>0.3</v>
      </c>
      <c r="AI163" s="850">
        <v>0.4</v>
      </c>
      <c r="AJ163" s="850">
        <v>0.5</v>
      </c>
      <c r="AK163" s="850">
        <v>0.6</v>
      </c>
      <c r="AL163" s="850">
        <v>0.7</v>
      </c>
      <c r="AM163" s="850">
        <v>0.8</v>
      </c>
      <c r="AN163" s="850">
        <v>0.9</v>
      </c>
      <c r="AO163" s="851">
        <f t="shared" si="162"/>
        <v>0.375</v>
      </c>
      <c r="AP163" s="850">
        <v>0.95</v>
      </c>
      <c r="AQ163" s="850">
        <v>1</v>
      </c>
      <c r="AR163" s="850">
        <v>1</v>
      </c>
      <c r="AS163" s="850">
        <v>1</v>
      </c>
      <c r="AT163" s="850">
        <v>1</v>
      </c>
      <c r="AU163" s="850">
        <v>1</v>
      </c>
      <c r="AV163" s="850">
        <v>1</v>
      </c>
      <c r="AW163" s="850">
        <v>1</v>
      </c>
      <c r="AX163" s="850">
        <v>1</v>
      </c>
      <c r="AY163" s="850">
        <v>1</v>
      </c>
      <c r="AZ163" s="850">
        <v>1</v>
      </c>
      <c r="BA163" s="850">
        <v>1</v>
      </c>
      <c r="BB163" s="851">
        <f t="shared" si="163"/>
        <v>0.99583333333333335</v>
      </c>
      <c r="BC163" s="853">
        <f t="shared" si="164"/>
        <v>0</v>
      </c>
      <c r="BD163" s="853">
        <f t="shared" si="147"/>
        <v>0</v>
      </c>
      <c r="BE163" s="853">
        <f t="shared" si="147"/>
        <v>0</v>
      </c>
      <c r="BF163" s="853">
        <f t="shared" si="147"/>
        <v>0</v>
      </c>
      <c r="BG163" s="853">
        <f t="shared" si="147"/>
        <v>0</v>
      </c>
      <c r="BH163" s="853">
        <f t="shared" si="147"/>
        <v>0</v>
      </c>
      <c r="BI163" s="853">
        <f t="shared" si="147"/>
        <v>0</v>
      </c>
      <c r="BJ163" s="853">
        <f t="shared" si="147"/>
        <v>0</v>
      </c>
      <c r="BK163" s="853">
        <f t="shared" si="147"/>
        <v>0</v>
      </c>
      <c r="BL163" s="853">
        <f t="shared" si="147"/>
        <v>0</v>
      </c>
      <c r="BM163" s="853">
        <f t="shared" si="147"/>
        <v>0</v>
      </c>
      <c r="BN163" s="853">
        <f t="shared" si="147"/>
        <v>0</v>
      </c>
      <c r="BO163" s="854">
        <f t="shared" si="165"/>
        <v>0</v>
      </c>
      <c r="BP163" s="853">
        <f t="shared" si="166"/>
        <v>0</v>
      </c>
      <c r="BQ163" s="853">
        <f t="shared" si="148"/>
        <v>0</v>
      </c>
      <c r="BR163" s="853">
        <f t="shared" si="148"/>
        <v>0</v>
      </c>
      <c r="BS163" s="853">
        <f t="shared" si="148"/>
        <v>3.5</v>
      </c>
      <c r="BT163" s="853">
        <f t="shared" si="148"/>
        <v>7</v>
      </c>
      <c r="BU163" s="853">
        <f t="shared" si="148"/>
        <v>10.5</v>
      </c>
      <c r="BV163" s="853">
        <f t="shared" si="148"/>
        <v>14</v>
      </c>
      <c r="BW163" s="853">
        <f t="shared" si="148"/>
        <v>17.5</v>
      </c>
      <c r="BX163" s="853">
        <f t="shared" si="148"/>
        <v>21</v>
      </c>
      <c r="BY163" s="853">
        <f t="shared" si="148"/>
        <v>24.5</v>
      </c>
      <c r="BZ163" s="853">
        <f t="shared" si="148"/>
        <v>28</v>
      </c>
      <c r="CA163" s="853">
        <f t="shared" si="148"/>
        <v>31.5</v>
      </c>
      <c r="CB163" s="854">
        <f t="shared" si="167"/>
        <v>157.5</v>
      </c>
      <c r="CC163" s="853">
        <f t="shared" si="168"/>
        <v>33.25</v>
      </c>
      <c r="CD163" s="853">
        <f t="shared" si="149"/>
        <v>35</v>
      </c>
      <c r="CE163" s="853">
        <f t="shared" si="149"/>
        <v>35</v>
      </c>
      <c r="CF163" s="853">
        <f t="shared" si="149"/>
        <v>35</v>
      </c>
      <c r="CG163" s="853">
        <f t="shared" si="149"/>
        <v>35</v>
      </c>
      <c r="CH163" s="853">
        <f t="shared" si="149"/>
        <v>35</v>
      </c>
      <c r="CI163" s="853">
        <f t="shared" si="149"/>
        <v>35</v>
      </c>
      <c r="CJ163" s="853">
        <f t="shared" si="149"/>
        <v>35</v>
      </c>
      <c r="CK163" s="853">
        <f t="shared" si="149"/>
        <v>35</v>
      </c>
      <c r="CL163" s="853">
        <f t="shared" si="149"/>
        <v>35</v>
      </c>
      <c r="CM163" s="853">
        <f t="shared" si="149"/>
        <v>35</v>
      </c>
      <c r="CN163" s="853">
        <f t="shared" si="149"/>
        <v>35</v>
      </c>
      <c r="CO163" s="854">
        <f t="shared" si="169"/>
        <v>418.25</v>
      </c>
      <c r="CP163" s="855">
        <f t="shared" si="170"/>
        <v>575.75</v>
      </c>
    </row>
    <row r="164" spans="1:94">
      <c r="A164" s="856">
        <v>23</v>
      </c>
      <c r="B164" s="846" t="s">
        <v>1698</v>
      </c>
      <c r="C164" s="847">
        <v>4</v>
      </c>
      <c r="D164" s="847">
        <f>'Xpert needs'!AC81*40%</f>
        <v>1034.6199999999999</v>
      </c>
      <c r="E164" s="847">
        <f t="shared" si="150"/>
        <v>86.21833333333332</v>
      </c>
      <c r="F164" s="848">
        <f t="shared" si="151"/>
        <v>4.498347826086956</v>
      </c>
      <c r="G164" s="849">
        <f t="shared" si="152"/>
        <v>1.124586956521739</v>
      </c>
      <c r="H164" s="847">
        <f t="shared" si="153"/>
        <v>1034.6199999999999</v>
      </c>
      <c r="I164" s="847">
        <f t="shared" si="154"/>
        <v>86.21833333333332</v>
      </c>
      <c r="J164" s="848">
        <f t="shared" si="155"/>
        <v>4.498347826086956</v>
      </c>
      <c r="K164" s="849">
        <f t="shared" si="156"/>
        <v>1.124586956521739</v>
      </c>
      <c r="L164" s="883">
        <f>H164*95%</f>
        <v>982.8889999999999</v>
      </c>
      <c r="M164" s="847">
        <f t="shared" si="158"/>
        <v>81.907416666666663</v>
      </c>
      <c r="N164" s="848">
        <f t="shared" si="159"/>
        <v>4.2734304347826084</v>
      </c>
      <c r="O164" s="849">
        <f t="shared" si="160"/>
        <v>1.0683576086956521</v>
      </c>
      <c r="P164" s="857">
        <v>1.2</v>
      </c>
      <c r="Q164" s="850">
        <v>1.2</v>
      </c>
      <c r="R164" s="850">
        <v>1.2</v>
      </c>
      <c r="S164" s="850">
        <v>1.2</v>
      </c>
      <c r="T164" s="850">
        <v>1.2</v>
      </c>
      <c r="U164" s="850">
        <v>1.2</v>
      </c>
      <c r="V164" s="850">
        <v>1.2</v>
      </c>
      <c r="W164" s="850">
        <v>1.2</v>
      </c>
      <c r="X164" s="850">
        <v>1.2</v>
      </c>
      <c r="Y164" s="850">
        <v>1.2</v>
      </c>
      <c r="Z164" s="850">
        <v>1.2</v>
      </c>
      <c r="AA164" s="850">
        <v>1.2</v>
      </c>
      <c r="AB164" s="851">
        <f t="shared" si="161"/>
        <v>1.1999999999999997</v>
      </c>
      <c r="AC164" s="850">
        <v>1.2</v>
      </c>
      <c r="AD164" s="850">
        <v>1.2</v>
      </c>
      <c r="AE164" s="850">
        <v>1.2</v>
      </c>
      <c r="AF164" s="850">
        <v>1.2</v>
      </c>
      <c r="AG164" s="850">
        <v>1.2</v>
      </c>
      <c r="AH164" s="850">
        <v>1.2</v>
      </c>
      <c r="AI164" s="850">
        <v>1.1499999999999999</v>
      </c>
      <c r="AJ164" s="850">
        <v>1.1000000000000001</v>
      </c>
      <c r="AK164" s="850">
        <v>1.05</v>
      </c>
      <c r="AL164" s="850">
        <v>1</v>
      </c>
      <c r="AM164" s="850">
        <v>1</v>
      </c>
      <c r="AN164" s="850">
        <v>1</v>
      </c>
      <c r="AO164" s="851">
        <f t="shared" si="162"/>
        <v>1.125</v>
      </c>
      <c r="AP164" s="850">
        <v>1</v>
      </c>
      <c r="AQ164" s="850">
        <v>1</v>
      </c>
      <c r="AR164" s="850">
        <v>1</v>
      </c>
      <c r="AS164" s="850">
        <v>1</v>
      </c>
      <c r="AT164" s="850">
        <v>1</v>
      </c>
      <c r="AU164" s="850">
        <v>1</v>
      </c>
      <c r="AV164" s="850">
        <v>1</v>
      </c>
      <c r="AW164" s="850">
        <v>1</v>
      </c>
      <c r="AX164" s="850">
        <v>1</v>
      </c>
      <c r="AY164" s="850">
        <v>1</v>
      </c>
      <c r="AZ164" s="850">
        <v>1</v>
      </c>
      <c r="BA164" s="850">
        <v>1</v>
      </c>
      <c r="BB164" s="851">
        <f t="shared" si="163"/>
        <v>1.0000000000000002</v>
      </c>
      <c r="BC164" s="853">
        <f t="shared" si="164"/>
        <v>103.46199999999997</v>
      </c>
      <c r="BD164" s="853">
        <f t="shared" si="147"/>
        <v>103.46199999999997</v>
      </c>
      <c r="BE164" s="853">
        <f t="shared" si="147"/>
        <v>103.46199999999997</v>
      </c>
      <c r="BF164" s="853">
        <f t="shared" si="147"/>
        <v>103.46199999999997</v>
      </c>
      <c r="BG164" s="853">
        <f t="shared" si="147"/>
        <v>103.46199999999997</v>
      </c>
      <c r="BH164" s="853">
        <f t="shared" si="147"/>
        <v>103.46199999999997</v>
      </c>
      <c r="BI164" s="853">
        <f t="shared" si="147"/>
        <v>103.46199999999997</v>
      </c>
      <c r="BJ164" s="853">
        <f t="shared" si="147"/>
        <v>103.46199999999997</v>
      </c>
      <c r="BK164" s="853">
        <f t="shared" si="147"/>
        <v>103.46199999999997</v>
      </c>
      <c r="BL164" s="853">
        <f t="shared" si="147"/>
        <v>103.46199999999997</v>
      </c>
      <c r="BM164" s="853">
        <f t="shared" si="147"/>
        <v>103.46199999999997</v>
      </c>
      <c r="BN164" s="853">
        <f t="shared" si="147"/>
        <v>103.46199999999997</v>
      </c>
      <c r="BO164" s="854">
        <f t="shared" si="165"/>
        <v>1241.5439999999996</v>
      </c>
      <c r="BP164" s="853">
        <f t="shared" si="166"/>
        <v>103.46199999999997</v>
      </c>
      <c r="BQ164" s="853">
        <f t="shared" si="148"/>
        <v>103.46199999999997</v>
      </c>
      <c r="BR164" s="853">
        <f t="shared" si="148"/>
        <v>103.46199999999997</v>
      </c>
      <c r="BS164" s="853">
        <f t="shared" si="148"/>
        <v>103.46199999999997</v>
      </c>
      <c r="BT164" s="853">
        <f t="shared" si="148"/>
        <v>103.46199999999997</v>
      </c>
      <c r="BU164" s="853">
        <f t="shared" si="148"/>
        <v>103.46199999999997</v>
      </c>
      <c r="BV164" s="853">
        <f t="shared" si="148"/>
        <v>99.151083333333304</v>
      </c>
      <c r="BW164" s="853">
        <f t="shared" si="148"/>
        <v>94.840166666666661</v>
      </c>
      <c r="BX164" s="853">
        <f t="shared" si="148"/>
        <v>90.52924999999999</v>
      </c>
      <c r="BY164" s="853">
        <f t="shared" si="148"/>
        <v>86.21833333333332</v>
      </c>
      <c r="BZ164" s="853">
        <f t="shared" si="148"/>
        <v>86.21833333333332</v>
      </c>
      <c r="CA164" s="853">
        <f t="shared" si="148"/>
        <v>86.21833333333332</v>
      </c>
      <c r="CB164" s="854">
        <f t="shared" si="167"/>
        <v>1163.9474999999998</v>
      </c>
      <c r="CC164" s="853">
        <f t="shared" si="168"/>
        <v>81.907416666666663</v>
      </c>
      <c r="CD164" s="853">
        <f t="shared" si="149"/>
        <v>81.907416666666663</v>
      </c>
      <c r="CE164" s="853">
        <f t="shared" si="149"/>
        <v>81.907416666666663</v>
      </c>
      <c r="CF164" s="853">
        <f t="shared" si="149"/>
        <v>81.907416666666663</v>
      </c>
      <c r="CG164" s="853">
        <f t="shared" si="149"/>
        <v>81.907416666666663</v>
      </c>
      <c r="CH164" s="853">
        <f t="shared" si="149"/>
        <v>81.907416666666663</v>
      </c>
      <c r="CI164" s="853">
        <f t="shared" si="149"/>
        <v>81.907416666666663</v>
      </c>
      <c r="CJ164" s="853">
        <f t="shared" si="149"/>
        <v>81.907416666666663</v>
      </c>
      <c r="CK164" s="853">
        <f t="shared" si="149"/>
        <v>81.907416666666663</v>
      </c>
      <c r="CL164" s="853">
        <f t="shared" si="149"/>
        <v>81.907416666666663</v>
      </c>
      <c r="CM164" s="853">
        <f t="shared" si="149"/>
        <v>81.907416666666663</v>
      </c>
      <c r="CN164" s="853">
        <f t="shared" si="149"/>
        <v>81.907416666666663</v>
      </c>
      <c r="CO164" s="854">
        <f t="shared" si="169"/>
        <v>982.88900000000001</v>
      </c>
      <c r="CP164" s="855">
        <f t="shared" si="170"/>
        <v>3388.3804999999993</v>
      </c>
    </row>
    <row r="165" spans="1:94">
      <c r="A165" s="856">
        <v>24</v>
      </c>
      <c r="B165" s="846" t="s">
        <v>1699</v>
      </c>
      <c r="C165" s="847">
        <v>4</v>
      </c>
      <c r="D165" s="847">
        <f>'Xpert needs'!AC81*60%</f>
        <v>1551.9299999999998</v>
      </c>
      <c r="E165" s="847">
        <f t="shared" si="150"/>
        <v>129.32749999999999</v>
      </c>
      <c r="F165" s="848">
        <f t="shared" si="151"/>
        <v>6.7475217391304341</v>
      </c>
      <c r="G165" s="849">
        <f t="shared" si="152"/>
        <v>1.6868804347826085</v>
      </c>
      <c r="H165" s="847">
        <f t="shared" si="153"/>
        <v>1551.9299999999998</v>
      </c>
      <c r="I165" s="847">
        <f t="shared" si="154"/>
        <v>129.32749999999999</v>
      </c>
      <c r="J165" s="848">
        <f t="shared" si="155"/>
        <v>6.7475217391304341</v>
      </c>
      <c r="K165" s="849">
        <f t="shared" si="156"/>
        <v>1.6868804347826085</v>
      </c>
      <c r="L165" s="883">
        <f>H165*90%</f>
        <v>1396.7369999999999</v>
      </c>
      <c r="M165" s="847">
        <f t="shared" si="158"/>
        <v>116.39474999999999</v>
      </c>
      <c r="N165" s="848">
        <f t="shared" si="159"/>
        <v>6.0727695652173903</v>
      </c>
      <c r="O165" s="849">
        <f t="shared" si="160"/>
        <v>1.5181923913043476</v>
      </c>
      <c r="P165" s="857">
        <f>P164</f>
        <v>1.2</v>
      </c>
      <c r="Q165" s="850">
        <v>1.2</v>
      </c>
      <c r="R165" s="850">
        <v>1.2</v>
      </c>
      <c r="S165" s="850">
        <v>1.2</v>
      </c>
      <c r="T165" s="850">
        <v>1.2</v>
      </c>
      <c r="U165" s="850">
        <v>1.2</v>
      </c>
      <c r="V165" s="850">
        <v>1.2</v>
      </c>
      <c r="W165" s="850">
        <v>1.2</v>
      </c>
      <c r="X165" s="850">
        <v>1.2</v>
      </c>
      <c r="Y165" s="850">
        <v>1.2</v>
      </c>
      <c r="Z165" s="850">
        <v>1.2</v>
      </c>
      <c r="AA165" s="850">
        <v>1.2</v>
      </c>
      <c r="AB165" s="851">
        <f t="shared" si="161"/>
        <v>1.2</v>
      </c>
      <c r="AC165" s="850">
        <f t="shared" ref="AC165:AN165" si="177">AC164</f>
        <v>1.2</v>
      </c>
      <c r="AD165" s="850">
        <f t="shared" si="177"/>
        <v>1.2</v>
      </c>
      <c r="AE165" s="850">
        <f t="shared" si="177"/>
        <v>1.2</v>
      </c>
      <c r="AF165" s="850">
        <f t="shared" si="177"/>
        <v>1.2</v>
      </c>
      <c r="AG165" s="850">
        <f t="shared" si="177"/>
        <v>1.2</v>
      </c>
      <c r="AH165" s="850">
        <f t="shared" si="177"/>
        <v>1.2</v>
      </c>
      <c r="AI165" s="850">
        <f t="shared" si="177"/>
        <v>1.1499999999999999</v>
      </c>
      <c r="AJ165" s="850">
        <f t="shared" si="177"/>
        <v>1.1000000000000001</v>
      </c>
      <c r="AK165" s="850">
        <f t="shared" si="177"/>
        <v>1.05</v>
      </c>
      <c r="AL165" s="850">
        <f t="shared" si="177"/>
        <v>1</v>
      </c>
      <c r="AM165" s="850">
        <f t="shared" si="177"/>
        <v>1</v>
      </c>
      <c r="AN165" s="850">
        <f t="shared" si="177"/>
        <v>1</v>
      </c>
      <c r="AO165" s="851">
        <f t="shared" si="162"/>
        <v>1.125</v>
      </c>
      <c r="AP165" s="850">
        <v>1</v>
      </c>
      <c r="AQ165" s="850">
        <v>1</v>
      </c>
      <c r="AR165" s="850">
        <v>1</v>
      </c>
      <c r="AS165" s="850">
        <v>1</v>
      </c>
      <c r="AT165" s="850">
        <v>1</v>
      </c>
      <c r="AU165" s="850">
        <v>1</v>
      </c>
      <c r="AV165" s="850">
        <v>1</v>
      </c>
      <c r="AW165" s="850">
        <v>1</v>
      </c>
      <c r="AX165" s="850">
        <v>1</v>
      </c>
      <c r="AY165" s="850">
        <v>1</v>
      </c>
      <c r="AZ165" s="850">
        <v>1</v>
      </c>
      <c r="BA165" s="850">
        <v>1</v>
      </c>
      <c r="BB165" s="851">
        <f t="shared" si="163"/>
        <v>0.99999999999999967</v>
      </c>
      <c r="BC165" s="853">
        <f t="shared" si="164"/>
        <v>155.19299999999998</v>
      </c>
      <c r="BD165" s="853">
        <f t="shared" si="147"/>
        <v>155.19299999999998</v>
      </c>
      <c r="BE165" s="853">
        <f t="shared" si="147"/>
        <v>155.19299999999998</v>
      </c>
      <c r="BF165" s="853">
        <f t="shared" ref="BF165:BN169" si="178">$E165*S165</f>
        <v>155.19299999999998</v>
      </c>
      <c r="BG165" s="853">
        <f t="shared" si="178"/>
        <v>155.19299999999998</v>
      </c>
      <c r="BH165" s="853">
        <f t="shared" si="178"/>
        <v>155.19299999999998</v>
      </c>
      <c r="BI165" s="853">
        <f t="shared" si="178"/>
        <v>155.19299999999998</v>
      </c>
      <c r="BJ165" s="853">
        <f t="shared" si="178"/>
        <v>155.19299999999998</v>
      </c>
      <c r="BK165" s="853">
        <f t="shared" si="178"/>
        <v>155.19299999999998</v>
      </c>
      <c r="BL165" s="853">
        <f t="shared" si="178"/>
        <v>155.19299999999998</v>
      </c>
      <c r="BM165" s="853">
        <f t="shared" si="178"/>
        <v>155.19299999999998</v>
      </c>
      <c r="BN165" s="853">
        <f t="shared" si="178"/>
        <v>155.19299999999998</v>
      </c>
      <c r="BO165" s="854">
        <f t="shared" si="165"/>
        <v>1862.3159999999998</v>
      </c>
      <c r="BP165" s="853">
        <f t="shared" si="166"/>
        <v>155.19299999999998</v>
      </c>
      <c r="BQ165" s="853">
        <f t="shared" si="148"/>
        <v>155.19299999999998</v>
      </c>
      <c r="BR165" s="853">
        <f t="shared" si="148"/>
        <v>155.19299999999998</v>
      </c>
      <c r="BS165" s="853">
        <f t="shared" ref="BS165:CA169" si="179">$I165*AF165</f>
        <v>155.19299999999998</v>
      </c>
      <c r="BT165" s="853">
        <f t="shared" si="179"/>
        <v>155.19299999999998</v>
      </c>
      <c r="BU165" s="853">
        <f t="shared" si="179"/>
        <v>155.19299999999998</v>
      </c>
      <c r="BV165" s="853">
        <f t="shared" si="179"/>
        <v>148.72662499999998</v>
      </c>
      <c r="BW165" s="853">
        <f t="shared" si="179"/>
        <v>142.26024999999998</v>
      </c>
      <c r="BX165" s="853">
        <f t="shared" si="179"/>
        <v>135.79387499999999</v>
      </c>
      <c r="BY165" s="853">
        <f t="shared" si="179"/>
        <v>129.32749999999999</v>
      </c>
      <c r="BZ165" s="853">
        <f t="shared" si="179"/>
        <v>129.32749999999999</v>
      </c>
      <c r="CA165" s="853">
        <f t="shared" si="179"/>
        <v>129.32749999999999</v>
      </c>
      <c r="CB165" s="854">
        <f t="shared" si="167"/>
        <v>1745.9212499999999</v>
      </c>
      <c r="CC165" s="853">
        <f t="shared" si="168"/>
        <v>116.39474999999999</v>
      </c>
      <c r="CD165" s="853">
        <f t="shared" si="149"/>
        <v>116.39474999999999</v>
      </c>
      <c r="CE165" s="853">
        <f t="shared" si="149"/>
        <v>116.39474999999999</v>
      </c>
      <c r="CF165" s="853">
        <f t="shared" ref="CF165:CN169" si="180">$M165*AS165</f>
        <v>116.39474999999999</v>
      </c>
      <c r="CG165" s="853">
        <f t="shared" si="180"/>
        <v>116.39474999999999</v>
      </c>
      <c r="CH165" s="853">
        <f t="shared" si="180"/>
        <v>116.39474999999999</v>
      </c>
      <c r="CI165" s="853">
        <f t="shared" si="180"/>
        <v>116.39474999999999</v>
      </c>
      <c r="CJ165" s="853">
        <f t="shared" si="180"/>
        <v>116.39474999999999</v>
      </c>
      <c r="CK165" s="853">
        <f t="shared" si="180"/>
        <v>116.39474999999999</v>
      </c>
      <c r="CL165" s="853">
        <f t="shared" si="180"/>
        <v>116.39474999999999</v>
      </c>
      <c r="CM165" s="853">
        <f t="shared" si="180"/>
        <v>116.39474999999999</v>
      </c>
      <c r="CN165" s="853">
        <f t="shared" si="180"/>
        <v>116.39474999999999</v>
      </c>
      <c r="CO165" s="854">
        <f t="shared" si="169"/>
        <v>1396.7369999999994</v>
      </c>
      <c r="CP165" s="855">
        <f t="shared" si="170"/>
        <v>5004.9742499999993</v>
      </c>
    </row>
    <row r="166" spans="1:94">
      <c r="A166" s="845">
        <v>33</v>
      </c>
      <c r="B166" s="846" t="s">
        <v>1700</v>
      </c>
      <c r="C166" s="869">
        <v>4</v>
      </c>
      <c r="D166" s="847">
        <f>'Xpert needs'!AB83</f>
        <v>1088</v>
      </c>
      <c r="E166" s="847">
        <f t="shared" si="150"/>
        <v>90.666666666666671</v>
      </c>
      <c r="F166" s="848">
        <f t="shared" si="151"/>
        <v>4.7304347826086959</v>
      </c>
      <c r="G166" s="849">
        <f t="shared" si="152"/>
        <v>1.182608695652174</v>
      </c>
      <c r="H166" s="847">
        <f t="shared" si="153"/>
        <v>1088</v>
      </c>
      <c r="I166" s="847">
        <f t="shared" si="154"/>
        <v>90.666666666666671</v>
      </c>
      <c r="J166" s="848">
        <f t="shared" si="155"/>
        <v>4.7304347826086959</v>
      </c>
      <c r="K166" s="849">
        <f t="shared" si="156"/>
        <v>1.182608695652174</v>
      </c>
      <c r="L166" s="858">
        <f>H166*90%</f>
        <v>979.2</v>
      </c>
      <c r="M166" s="847">
        <f t="shared" si="158"/>
        <v>81.600000000000009</v>
      </c>
      <c r="N166" s="848">
        <f t="shared" si="159"/>
        <v>4.2573913043478262</v>
      </c>
      <c r="O166" s="849">
        <f t="shared" si="160"/>
        <v>1.0643478260869565</v>
      </c>
      <c r="P166" s="850"/>
      <c r="Q166" s="850"/>
      <c r="R166" s="850"/>
      <c r="S166" s="850"/>
      <c r="T166" s="850"/>
      <c r="U166" s="850"/>
      <c r="V166" s="850"/>
      <c r="W166" s="850"/>
      <c r="X166" s="850"/>
      <c r="Y166" s="850"/>
      <c r="Z166" s="850"/>
      <c r="AA166" s="850"/>
      <c r="AB166" s="851">
        <f t="shared" si="161"/>
        <v>0</v>
      </c>
      <c r="AC166" s="850"/>
      <c r="AD166" s="850"/>
      <c r="AE166" s="850"/>
      <c r="AF166" s="850"/>
      <c r="AG166" s="850"/>
      <c r="AH166" s="850"/>
      <c r="AI166" s="852">
        <v>0.1</v>
      </c>
      <c r="AJ166" s="850">
        <v>0.3</v>
      </c>
      <c r="AK166" s="850">
        <v>0.5</v>
      </c>
      <c r="AL166" s="850">
        <v>0.7</v>
      </c>
      <c r="AM166" s="850">
        <v>0.8</v>
      </c>
      <c r="AN166" s="850">
        <v>0.9</v>
      </c>
      <c r="AO166" s="851">
        <f t="shared" si="162"/>
        <v>0.27500000000000002</v>
      </c>
      <c r="AP166" s="850">
        <v>0.96099999999999997</v>
      </c>
      <c r="AQ166" s="850">
        <v>1</v>
      </c>
      <c r="AR166" s="850">
        <v>1</v>
      </c>
      <c r="AS166" s="850">
        <v>1</v>
      </c>
      <c r="AT166" s="850">
        <v>1</v>
      </c>
      <c r="AU166" s="850">
        <v>1</v>
      </c>
      <c r="AV166" s="850">
        <v>1</v>
      </c>
      <c r="AW166" s="850">
        <v>1</v>
      </c>
      <c r="AX166" s="850">
        <v>1</v>
      </c>
      <c r="AY166" s="850">
        <v>1</v>
      </c>
      <c r="AZ166" s="850">
        <v>1</v>
      </c>
      <c r="BA166" s="850">
        <v>1</v>
      </c>
      <c r="BB166" s="851">
        <f t="shared" si="163"/>
        <v>0.99675000000000025</v>
      </c>
      <c r="BC166" s="853">
        <f t="shared" si="164"/>
        <v>0</v>
      </c>
      <c r="BD166" s="853">
        <f t="shared" si="164"/>
        <v>0</v>
      </c>
      <c r="BE166" s="853">
        <f t="shared" si="164"/>
        <v>0</v>
      </c>
      <c r="BF166" s="853">
        <f t="shared" si="178"/>
        <v>0</v>
      </c>
      <c r="BG166" s="853">
        <f t="shared" si="178"/>
        <v>0</v>
      </c>
      <c r="BH166" s="853">
        <f t="shared" si="178"/>
        <v>0</v>
      </c>
      <c r="BI166" s="853">
        <f t="shared" si="178"/>
        <v>0</v>
      </c>
      <c r="BJ166" s="853">
        <f t="shared" si="178"/>
        <v>0</v>
      </c>
      <c r="BK166" s="853">
        <f t="shared" si="178"/>
        <v>0</v>
      </c>
      <c r="BL166" s="853">
        <f t="shared" si="178"/>
        <v>0</v>
      </c>
      <c r="BM166" s="853">
        <f t="shared" si="178"/>
        <v>0</v>
      </c>
      <c r="BN166" s="853">
        <f t="shared" si="178"/>
        <v>0</v>
      </c>
      <c r="BO166" s="854">
        <f t="shared" si="165"/>
        <v>0</v>
      </c>
      <c r="BP166" s="853">
        <f t="shared" si="166"/>
        <v>0</v>
      </c>
      <c r="BQ166" s="853">
        <f t="shared" si="166"/>
        <v>0</v>
      </c>
      <c r="BR166" s="853">
        <f t="shared" si="166"/>
        <v>0</v>
      </c>
      <c r="BS166" s="853">
        <f t="shared" si="179"/>
        <v>0</v>
      </c>
      <c r="BT166" s="853">
        <f t="shared" si="179"/>
        <v>0</v>
      </c>
      <c r="BU166" s="853">
        <f t="shared" si="179"/>
        <v>0</v>
      </c>
      <c r="BV166" s="853">
        <f t="shared" si="179"/>
        <v>9.0666666666666682</v>
      </c>
      <c r="BW166" s="853">
        <f t="shared" si="179"/>
        <v>27.2</v>
      </c>
      <c r="BX166" s="853">
        <f t="shared" si="179"/>
        <v>45.333333333333336</v>
      </c>
      <c r="BY166" s="853">
        <f t="shared" si="179"/>
        <v>63.466666666666669</v>
      </c>
      <c r="BZ166" s="853">
        <f t="shared" si="179"/>
        <v>72.533333333333346</v>
      </c>
      <c r="CA166" s="853">
        <f t="shared" si="179"/>
        <v>81.600000000000009</v>
      </c>
      <c r="CB166" s="854">
        <f t="shared" si="167"/>
        <v>299.20000000000005</v>
      </c>
      <c r="CC166" s="853">
        <f t="shared" si="168"/>
        <v>78.417600000000007</v>
      </c>
      <c r="CD166" s="853">
        <f t="shared" si="168"/>
        <v>81.600000000000009</v>
      </c>
      <c r="CE166" s="853">
        <f t="shared" si="168"/>
        <v>81.600000000000009</v>
      </c>
      <c r="CF166" s="853">
        <f t="shared" si="180"/>
        <v>81.600000000000009</v>
      </c>
      <c r="CG166" s="853">
        <f t="shared" si="180"/>
        <v>81.600000000000009</v>
      </c>
      <c r="CH166" s="853">
        <f t="shared" si="180"/>
        <v>81.600000000000009</v>
      </c>
      <c r="CI166" s="853">
        <f t="shared" si="180"/>
        <v>81.600000000000009</v>
      </c>
      <c r="CJ166" s="853">
        <f t="shared" si="180"/>
        <v>81.600000000000009</v>
      </c>
      <c r="CK166" s="853">
        <f t="shared" si="180"/>
        <v>81.600000000000009</v>
      </c>
      <c r="CL166" s="853">
        <f t="shared" si="180"/>
        <v>81.600000000000009</v>
      </c>
      <c r="CM166" s="853">
        <f t="shared" si="180"/>
        <v>81.600000000000009</v>
      </c>
      <c r="CN166" s="853">
        <f t="shared" si="180"/>
        <v>81.600000000000009</v>
      </c>
      <c r="CO166" s="854">
        <f t="shared" si="169"/>
        <v>976.01760000000024</v>
      </c>
      <c r="CP166" s="855">
        <f t="shared" si="170"/>
        <v>1275.2176000000004</v>
      </c>
    </row>
    <row r="167" spans="1:94">
      <c r="A167" s="845">
        <v>34</v>
      </c>
      <c r="B167" s="846" t="s">
        <v>1701</v>
      </c>
      <c r="C167" s="869">
        <v>4</v>
      </c>
      <c r="D167" s="847">
        <f>'Xpert needs'!AB84</f>
        <v>1035.6000000000001</v>
      </c>
      <c r="E167" s="847">
        <f t="shared" si="150"/>
        <v>86.300000000000011</v>
      </c>
      <c r="F167" s="848">
        <f t="shared" si="151"/>
        <v>4.5026086956521745</v>
      </c>
      <c r="G167" s="849">
        <f t="shared" si="152"/>
        <v>1.1256521739130436</v>
      </c>
      <c r="H167" s="847">
        <f t="shared" si="153"/>
        <v>1035.6000000000001</v>
      </c>
      <c r="I167" s="847">
        <f t="shared" si="154"/>
        <v>86.300000000000011</v>
      </c>
      <c r="J167" s="848">
        <f t="shared" si="155"/>
        <v>4.5026086956521745</v>
      </c>
      <c r="K167" s="849">
        <f t="shared" si="156"/>
        <v>1.1256521739130436</v>
      </c>
      <c r="L167" s="858">
        <f>H167*90%</f>
        <v>932.04000000000019</v>
      </c>
      <c r="M167" s="847">
        <f t="shared" si="158"/>
        <v>77.670000000000016</v>
      </c>
      <c r="N167" s="848">
        <f t="shared" si="159"/>
        <v>4.0523478260869572</v>
      </c>
      <c r="O167" s="849">
        <f t="shared" si="160"/>
        <v>1.0130869565217393</v>
      </c>
      <c r="P167" s="850"/>
      <c r="Q167" s="850"/>
      <c r="R167" s="850"/>
      <c r="S167" s="850"/>
      <c r="T167" s="850"/>
      <c r="U167" s="850"/>
      <c r="V167" s="850"/>
      <c r="W167" s="850"/>
      <c r="X167" s="850"/>
      <c r="Y167" s="850"/>
      <c r="Z167" s="850"/>
      <c r="AA167" s="850"/>
      <c r="AB167" s="851">
        <f t="shared" si="161"/>
        <v>0</v>
      </c>
      <c r="AC167" s="850"/>
      <c r="AD167" s="850"/>
      <c r="AE167" s="850"/>
      <c r="AF167" s="850"/>
      <c r="AG167" s="850"/>
      <c r="AH167" s="850"/>
      <c r="AI167" s="852">
        <v>0.1</v>
      </c>
      <c r="AJ167" s="850">
        <v>0.3</v>
      </c>
      <c r="AK167" s="850">
        <v>0.5</v>
      </c>
      <c r="AL167" s="850">
        <v>0.7</v>
      </c>
      <c r="AM167" s="850">
        <v>0.8</v>
      </c>
      <c r="AN167" s="850">
        <v>0.9</v>
      </c>
      <c r="AO167" s="851">
        <f t="shared" si="162"/>
        <v>0.27499999999999997</v>
      </c>
      <c r="AP167" s="850">
        <v>0.96099999999999997</v>
      </c>
      <c r="AQ167" s="850">
        <v>1</v>
      </c>
      <c r="AR167" s="850">
        <v>1</v>
      </c>
      <c r="AS167" s="850">
        <v>1</v>
      </c>
      <c r="AT167" s="850">
        <v>1</v>
      </c>
      <c r="AU167" s="850">
        <v>1</v>
      </c>
      <c r="AV167" s="850">
        <v>1</v>
      </c>
      <c r="AW167" s="850">
        <v>1</v>
      </c>
      <c r="AX167" s="850">
        <v>1</v>
      </c>
      <c r="AY167" s="850">
        <v>1</v>
      </c>
      <c r="AZ167" s="850">
        <v>1</v>
      </c>
      <c r="BA167" s="850">
        <v>1</v>
      </c>
      <c r="BB167" s="851">
        <f t="shared" si="163"/>
        <v>0.99675000000000036</v>
      </c>
      <c r="BC167" s="853">
        <f t="shared" si="164"/>
        <v>0</v>
      </c>
      <c r="BD167" s="853">
        <f t="shared" si="164"/>
        <v>0</v>
      </c>
      <c r="BE167" s="853">
        <f t="shared" si="164"/>
        <v>0</v>
      </c>
      <c r="BF167" s="853">
        <f t="shared" si="178"/>
        <v>0</v>
      </c>
      <c r="BG167" s="853">
        <f t="shared" si="178"/>
        <v>0</v>
      </c>
      <c r="BH167" s="853">
        <f t="shared" si="178"/>
        <v>0</v>
      </c>
      <c r="BI167" s="853">
        <f t="shared" si="178"/>
        <v>0</v>
      </c>
      <c r="BJ167" s="853">
        <f t="shared" si="178"/>
        <v>0</v>
      </c>
      <c r="BK167" s="853">
        <f t="shared" si="178"/>
        <v>0</v>
      </c>
      <c r="BL167" s="853">
        <f t="shared" si="178"/>
        <v>0</v>
      </c>
      <c r="BM167" s="853">
        <f t="shared" si="178"/>
        <v>0</v>
      </c>
      <c r="BN167" s="853">
        <f t="shared" si="178"/>
        <v>0</v>
      </c>
      <c r="BO167" s="854">
        <f t="shared" si="165"/>
        <v>0</v>
      </c>
      <c r="BP167" s="853">
        <f t="shared" si="166"/>
        <v>0</v>
      </c>
      <c r="BQ167" s="853">
        <f t="shared" si="166"/>
        <v>0</v>
      </c>
      <c r="BR167" s="853">
        <f t="shared" si="166"/>
        <v>0</v>
      </c>
      <c r="BS167" s="853">
        <f t="shared" si="179"/>
        <v>0</v>
      </c>
      <c r="BT167" s="853">
        <f t="shared" si="179"/>
        <v>0</v>
      </c>
      <c r="BU167" s="853">
        <f t="shared" si="179"/>
        <v>0</v>
      </c>
      <c r="BV167" s="853">
        <f t="shared" si="179"/>
        <v>8.6300000000000008</v>
      </c>
      <c r="BW167" s="853">
        <f t="shared" si="179"/>
        <v>25.890000000000004</v>
      </c>
      <c r="BX167" s="853">
        <f t="shared" si="179"/>
        <v>43.150000000000006</v>
      </c>
      <c r="BY167" s="853">
        <f t="shared" si="179"/>
        <v>60.410000000000004</v>
      </c>
      <c r="BZ167" s="853">
        <f t="shared" si="179"/>
        <v>69.040000000000006</v>
      </c>
      <c r="CA167" s="853">
        <f t="shared" si="179"/>
        <v>77.670000000000016</v>
      </c>
      <c r="CB167" s="854">
        <f t="shared" si="167"/>
        <v>284.79000000000002</v>
      </c>
      <c r="CC167" s="853">
        <f t="shared" si="168"/>
        <v>74.640870000000007</v>
      </c>
      <c r="CD167" s="853">
        <f t="shared" si="168"/>
        <v>77.670000000000016</v>
      </c>
      <c r="CE167" s="853">
        <f t="shared" si="168"/>
        <v>77.670000000000016</v>
      </c>
      <c r="CF167" s="853">
        <f t="shared" si="180"/>
        <v>77.670000000000016</v>
      </c>
      <c r="CG167" s="853">
        <f t="shared" si="180"/>
        <v>77.670000000000016</v>
      </c>
      <c r="CH167" s="853">
        <f t="shared" si="180"/>
        <v>77.670000000000016</v>
      </c>
      <c r="CI167" s="853">
        <f t="shared" si="180"/>
        <v>77.670000000000016</v>
      </c>
      <c r="CJ167" s="853">
        <f t="shared" si="180"/>
        <v>77.670000000000016</v>
      </c>
      <c r="CK167" s="853">
        <f t="shared" si="180"/>
        <v>77.670000000000016</v>
      </c>
      <c r="CL167" s="853">
        <f t="shared" si="180"/>
        <v>77.670000000000016</v>
      </c>
      <c r="CM167" s="853">
        <f t="shared" si="180"/>
        <v>77.670000000000016</v>
      </c>
      <c r="CN167" s="853">
        <f t="shared" si="180"/>
        <v>77.670000000000016</v>
      </c>
      <c r="CO167" s="854">
        <f t="shared" si="169"/>
        <v>929.01087000000052</v>
      </c>
      <c r="CP167" s="855">
        <f t="shared" si="170"/>
        <v>1213.8008700000005</v>
      </c>
    </row>
    <row r="168" spans="1:94">
      <c r="A168" s="845">
        <v>35</v>
      </c>
      <c r="B168" s="846" t="s">
        <v>1702</v>
      </c>
      <c r="C168" s="847">
        <v>2</v>
      </c>
      <c r="D168" s="847">
        <f>'Xpert needs'!AB85</f>
        <v>590.4</v>
      </c>
      <c r="E168" s="847">
        <f t="shared" si="150"/>
        <v>49.199999999999996</v>
      </c>
      <c r="F168" s="848">
        <f t="shared" si="151"/>
        <v>2.5669565217391304</v>
      </c>
      <c r="G168" s="849">
        <f t="shared" si="152"/>
        <v>1.2834782608695652</v>
      </c>
      <c r="H168" s="847">
        <f t="shared" si="153"/>
        <v>590.4</v>
      </c>
      <c r="I168" s="847">
        <f t="shared" si="154"/>
        <v>49.199999999999996</v>
      </c>
      <c r="J168" s="848">
        <f t="shared" si="155"/>
        <v>2.5669565217391304</v>
      </c>
      <c r="K168" s="849">
        <f t="shared" si="156"/>
        <v>1.2834782608695652</v>
      </c>
      <c r="L168" s="858">
        <f>H168*95%</f>
        <v>560.88</v>
      </c>
      <c r="M168" s="847">
        <f t="shared" si="158"/>
        <v>46.74</v>
      </c>
      <c r="N168" s="848">
        <f t="shared" si="159"/>
        <v>2.438608695652174</v>
      </c>
      <c r="O168" s="849">
        <f t="shared" si="160"/>
        <v>1.219304347826087</v>
      </c>
      <c r="P168" s="850"/>
      <c r="Q168" s="850"/>
      <c r="R168" s="850"/>
      <c r="S168" s="850"/>
      <c r="T168" s="850"/>
      <c r="U168" s="850"/>
      <c r="V168" s="850"/>
      <c r="W168" s="850"/>
      <c r="X168" s="850"/>
      <c r="Y168" s="850"/>
      <c r="Z168" s="850"/>
      <c r="AA168" s="850"/>
      <c r="AB168" s="851">
        <f t="shared" si="161"/>
        <v>0</v>
      </c>
      <c r="AC168" s="850"/>
      <c r="AD168" s="850"/>
      <c r="AE168" s="850"/>
      <c r="AF168" s="850"/>
      <c r="AG168" s="850"/>
      <c r="AH168" s="850"/>
      <c r="AI168" s="852">
        <v>0.1</v>
      </c>
      <c r="AJ168" s="850">
        <v>0.3</v>
      </c>
      <c r="AK168" s="850">
        <v>0.5</v>
      </c>
      <c r="AL168" s="850">
        <v>0.7</v>
      </c>
      <c r="AM168" s="850">
        <v>0.8</v>
      </c>
      <c r="AN168" s="850">
        <v>0.9</v>
      </c>
      <c r="AO168" s="851">
        <f t="shared" si="162"/>
        <v>0.27499999999999997</v>
      </c>
      <c r="AP168" s="850">
        <v>1</v>
      </c>
      <c r="AQ168" s="850">
        <v>1</v>
      </c>
      <c r="AR168" s="850">
        <v>1</v>
      </c>
      <c r="AS168" s="850">
        <v>1</v>
      </c>
      <c r="AT168" s="850">
        <v>1</v>
      </c>
      <c r="AU168" s="850">
        <v>1</v>
      </c>
      <c r="AV168" s="850">
        <v>1</v>
      </c>
      <c r="AW168" s="850">
        <v>1</v>
      </c>
      <c r="AX168" s="850">
        <v>1</v>
      </c>
      <c r="AY168" s="850">
        <v>1</v>
      </c>
      <c r="AZ168" s="850">
        <v>1</v>
      </c>
      <c r="BA168" s="850">
        <v>1</v>
      </c>
      <c r="BB168" s="851">
        <f t="shared" si="163"/>
        <v>1</v>
      </c>
      <c r="BC168" s="853">
        <f t="shared" si="164"/>
        <v>0</v>
      </c>
      <c r="BD168" s="853">
        <f t="shared" si="164"/>
        <v>0</v>
      </c>
      <c r="BE168" s="853">
        <f t="shared" si="164"/>
        <v>0</v>
      </c>
      <c r="BF168" s="853">
        <f t="shared" si="178"/>
        <v>0</v>
      </c>
      <c r="BG168" s="853">
        <f t="shared" si="178"/>
        <v>0</v>
      </c>
      <c r="BH168" s="853">
        <f t="shared" si="178"/>
        <v>0</v>
      </c>
      <c r="BI168" s="853">
        <f t="shared" si="178"/>
        <v>0</v>
      </c>
      <c r="BJ168" s="853">
        <f t="shared" si="178"/>
        <v>0</v>
      </c>
      <c r="BK168" s="853">
        <f t="shared" si="178"/>
        <v>0</v>
      </c>
      <c r="BL168" s="853">
        <f t="shared" si="178"/>
        <v>0</v>
      </c>
      <c r="BM168" s="853">
        <f t="shared" si="178"/>
        <v>0</v>
      </c>
      <c r="BN168" s="853">
        <f t="shared" si="178"/>
        <v>0</v>
      </c>
      <c r="BO168" s="854">
        <f t="shared" si="165"/>
        <v>0</v>
      </c>
      <c r="BP168" s="853">
        <f t="shared" si="166"/>
        <v>0</v>
      </c>
      <c r="BQ168" s="853">
        <f t="shared" si="166"/>
        <v>0</v>
      </c>
      <c r="BR168" s="853">
        <f t="shared" si="166"/>
        <v>0</v>
      </c>
      <c r="BS168" s="853">
        <f t="shared" si="179"/>
        <v>0</v>
      </c>
      <c r="BT168" s="853">
        <f t="shared" si="179"/>
        <v>0</v>
      </c>
      <c r="BU168" s="853">
        <f t="shared" si="179"/>
        <v>0</v>
      </c>
      <c r="BV168" s="853">
        <f t="shared" si="179"/>
        <v>4.92</v>
      </c>
      <c r="BW168" s="853">
        <f t="shared" si="179"/>
        <v>14.759999999999998</v>
      </c>
      <c r="BX168" s="853">
        <f t="shared" si="179"/>
        <v>24.599999999999998</v>
      </c>
      <c r="BY168" s="853">
        <f t="shared" si="179"/>
        <v>34.44</v>
      </c>
      <c r="BZ168" s="853">
        <f t="shared" si="179"/>
        <v>39.36</v>
      </c>
      <c r="CA168" s="853">
        <f t="shared" si="179"/>
        <v>44.279999999999994</v>
      </c>
      <c r="CB168" s="854">
        <f t="shared" si="167"/>
        <v>162.35999999999999</v>
      </c>
      <c r="CC168" s="853">
        <f t="shared" si="168"/>
        <v>46.74</v>
      </c>
      <c r="CD168" s="853">
        <f t="shared" si="168"/>
        <v>46.74</v>
      </c>
      <c r="CE168" s="853">
        <f t="shared" si="168"/>
        <v>46.74</v>
      </c>
      <c r="CF168" s="853">
        <f t="shared" si="180"/>
        <v>46.74</v>
      </c>
      <c r="CG168" s="853">
        <f t="shared" si="180"/>
        <v>46.74</v>
      </c>
      <c r="CH168" s="853">
        <f t="shared" si="180"/>
        <v>46.74</v>
      </c>
      <c r="CI168" s="853">
        <f t="shared" si="180"/>
        <v>46.74</v>
      </c>
      <c r="CJ168" s="853">
        <f t="shared" si="180"/>
        <v>46.74</v>
      </c>
      <c r="CK168" s="853">
        <f t="shared" si="180"/>
        <v>46.74</v>
      </c>
      <c r="CL168" s="853">
        <f t="shared" si="180"/>
        <v>46.74</v>
      </c>
      <c r="CM168" s="853">
        <f t="shared" si="180"/>
        <v>46.74</v>
      </c>
      <c r="CN168" s="853">
        <f t="shared" si="180"/>
        <v>46.74</v>
      </c>
      <c r="CO168" s="854">
        <f t="shared" si="169"/>
        <v>560.88</v>
      </c>
      <c r="CP168" s="855">
        <f t="shared" si="170"/>
        <v>723.24</v>
      </c>
    </row>
    <row r="169" spans="1:94">
      <c r="A169" s="845">
        <v>36</v>
      </c>
      <c r="B169" s="846" t="s">
        <v>1703</v>
      </c>
      <c r="C169" s="847">
        <v>2</v>
      </c>
      <c r="D169" s="847">
        <f>'Xpert needs'!AB86</f>
        <v>473.6</v>
      </c>
      <c r="E169" s="847">
        <f t="shared" si="150"/>
        <v>39.466666666666669</v>
      </c>
      <c r="F169" s="848">
        <f t="shared" si="151"/>
        <v>2.0591304347826087</v>
      </c>
      <c r="G169" s="849">
        <f t="shared" si="152"/>
        <v>1.0295652173913044</v>
      </c>
      <c r="H169" s="847">
        <f t="shared" si="153"/>
        <v>473.6</v>
      </c>
      <c r="I169" s="847">
        <f t="shared" si="154"/>
        <v>39.466666666666669</v>
      </c>
      <c r="J169" s="848">
        <f t="shared" si="155"/>
        <v>2.0591304347826087</v>
      </c>
      <c r="K169" s="849">
        <f t="shared" si="156"/>
        <v>1.0295652173913044</v>
      </c>
      <c r="L169" s="858">
        <f>H169*95%</f>
        <v>449.92</v>
      </c>
      <c r="M169" s="847">
        <f t="shared" si="158"/>
        <v>37.493333333333332</v>
      </c>
      <c r="N169" s="848">
        <f t="shared" si="159"/>
        <v>1.9561739130434783</v>
      </c>
      <c r="O169" s="849">
        <f t="shared" si="160"/>
        <v>0.97808695652173916</v>
      </c>
      <c r="P169" s="850"/>
      <c r="Q169" s="850"/>
      <c r="R169" s="850"/>
      <c r="S169" s="850"/>
      <c r="T169" s="850"/>
      <c r="U169" s="850"/>
      <c r="V169" s="850"/>
      <c r="W169" s="850"/>
      <c r="X169" s="850"/>
      <c r="Y169" s="850"/>
      <c r="Z169" s="850"/>
      <c r="AA169" s="850"/>
      <c r="AB169" s="851">
        <f t="shared" si="161"/>
        <v>0</v>
      </c>
      <c r="AC169" s="850"/>
      <c r="AD169" s="850"/>
      <c r="AE169" s="850"/>
      <c r="AF169" s="850"/>
      <c r="AG169" s="850"/>
      <c r="AH169" s="850"/>
      <c r="AI169" s="852">
        <v>0.1</v>
      </c>
      <c r="AJ169" s="850">
        <v>0.3</v>
      </c>
      <c r="AK169" s="850">
        <v>0.5</v>
      </c>
      <c r="AL169" s="850">
        <v>0.7</v>
      </c>
      <c r="AM169" s="850">
        <v>0.8</v>
      </c>
      <c r="AN169" s="850">
        <v>0.9</v>
      </c>
      <c r="AO169" s="851">
        <f t="shared" si="162"/>
        <v>0.27500000000000002</v>
      </c>
      <c r="AP169" s="850">
        <v>1</v>
      </c>
      <c r="AQ169" s="850">
        <v>1</v>
      </c>
      <c r="AR169" s="850">
        <v>1</v>
      </c>
      <c r="AS169" s="850">
        <v>1</v>
      </c>
      <c r="AT169" s="850">
        <v>1</v>
      </c>
      <c r="AU169" s="850">
        <v>1</v>
      </c>
      <c r="AV169" s="850">
        <v>1</v>
      </c>
      <c r="AW169" s="850">
        <v>1</v>
      </c>
      <c r="AX169" s="850">
        <v>1</v>
      </c>
      <c r="AY169" s="850">
        <v>1</v>
      </c>
      <c r="AZ169" s="850">
        <v>1</v>
      </c>
      <c r="BA169" s="850">
        <v>1</v>
      </c>
      <c r="BB169" s="851">
        <f t="shared" si="163"/>
        <v>1</v>
      </c>
      <c r="BC169" s="853">
        <f t="shared" si="164"/>
        <v>0</v>
      </c>
      <c r="BD169" s="853">
        <f t="shared" si="164"/>
        <v>0</v>
      </c>
      <c r="BE169" s="853">
        <f t="shared" si="164"/>
        <v>0</v>
      </c>
      <c r="BF169" s="853">
        <f t="shared" si="178"/>
        <v>0</v>
      </c>
      <c r="BG169" s="853">
        <f t="shared" si="178"/>
        <v>0</v>
      </c>
      <c r="BH169" s="853">
        <f t="shared" si="178"/>
        <v>0</v>
      </c>
      <c r="BI169" s="853">
        <f t="shared" si="178"/>
        <v>0</v>
      </c>
      <c r="BJ169" s="853">
        <f t="shared" si="178"/>
        <v>0</v>
      </c>
      <c r="BK169" s="853">
        <f t="shared" si="178"/>
        <v>0</v>
      </c>
      <c r="BL169" s="853">
        <f t="shared" si="178"/>
        <v>0</v>
      </c>
      <c r="BM169" s="853">
        <f t="shared" si="178"/>
        <v>0</v>
      </c>
      <c r="BN169" s="853">
        <f t="shared" si="178"/>
        <v>0</v>
      </c>
      <c r="BO169" s="854">
        <f t="shared" si="165"/>
        <v>0</v>
      </c>
      <c r="BP169" s="853">
        <f t="shared" si="166"/>
        <v>0</v>
      </c>
      <c r="BQ169" s="853">
        <f t="shared" si="166"/>
        <v>0</v>
      </c>
      <c r="BR169" s="853">
        <f t="shared" si="166"/>
        <v>0</v>
      </c>
      <c r="BS169" s="853">
        <f t="shared" si="179"/>
        <v>0</v>
      </c>
      <c r="BT169" s="853">
        <f t="shared" si="179"/>
        <v>0</v>
      </c>
      <c r="BU169" s="853">
        <f t="shared" si="179"/>
        <v>0</v>
      </c>
      <c r="BV169" s="853">
        <f t="shared" si="179"/>
        <v>3.9466666666666672</v>
      </c>
      <c r="BW169" s="853">
        <f t="shared" si="179"/>
        <v>11.84</v>
      </c>
      <c r="BX169" s="853">
        <f t="shared" si="179"/>
        <v>19.733333333333334</v>
      </c>
      <c r="BY169" s="853">
        <f t="shared" si="179"/>
        <v>27.626666666666665</v>
      </c>
      <c r="BZ169" s="853">
        <f t="shared" si="179"/>
        <v>31.573333333333338</v>
      </c>
      <c r="CA169" s="853">
        <f t="shared" si="179"/>
        <v>35.520000000000003</v>
      </c>
      <c r="CB169" s="854">
        <f t="shared" si="167"/>
        <v>130.24</v>
      </c>
      <c r="CC169" s="853">
        <f t="shared" si="168"/>
        <v>37.493333333333332</v>
      </c>
      <c r="CD169" s="853">
        <f t="shared" si="168"/>
        <v>37.493333333333332</v>
      </c>
      <c r="CE169" s="853">
        <f t="shared" si="168"/>
        <v>37.493333333333332</v>
      </c>
      <c r="CF169" s="853">
        <f t="shared" si="180"/>
        <v>37.493333333333332</v>
      </c>
      <c r="CG169" s="853">
        <f t="shared" si="180"/>
        <v>37.493333333333332</v>
      </c>
      <c r="CH169" s="853">
        <f t="shared" si="180"/>
        <v>37.493333333333332</v>
      </c>
      <c r="CI169" s="853">
        <f t="shared" si="180"/>
        <v>37.493333333333332</v>
      </c>
      <c r="CJ169" s="853">
        <f t="shared" si="180"/>
        <v>37.493333333333332</v>
      </c>
      <c r="CK169" s="853">
        <f t="shared" si="180"/>
        <v>37.493333333333332</v>
      </c>
      <c r="CL169" s="853">
        <f t="shared" si="180"/>
        <v>37.493333333333332</v>
      </c>
      <c r="CM169" s="853">
        <f t="shared" si="180"/>
        <v>37.493333333333332</v>
      </c>
      <c r="CN169" s="853">
        <f t="shared" si="180"/>
        <v>37.493333333333332</v>
      </c>
      <c r="CO169" s="854">
        <f t="shared" si="169"/>
        <v>449.92</v>
      </c>
      <c r="CP169" s="855">
        <f t="shared" si="170"/>
        <v>580.16000000000008</v>
      </c>
    </row>
    <row r="170" spans="1:94" s="838" customFormat="1" ht="15.75">
      <c r="A170" s="860"/>
      <c r="B170" s="860" t="str">
        <f>B119</f>
        <v>Civilian TB services (without NCTLD)</v>
      </c>
      <c r="C170" s="861">
        <f>SUM(C142:C169)</f>
        <v>84</v>
      </c>
      <c r="D170" s="861">
        <f>SUM(D142:D169)</f>
        <v>23241.8</v>
      </c>
      <c r="E170" s="861">
        <f>D170/12</f>
        <v>1936.8166666666666</v>
      </c>
      <c r="F170" s="862">
        <f t="shared" si="151"/>
        <v>101.05130434782609</v>
      </c>
      <c r="G170" s="863">
        <f t="shared" si="152"/>
        <v>1.2029917184265011</v>
      </c>
      <c r="H170" s="861">
        <f>SUM(H142:H169)</f>
        <v>23241.8</v>
      </c>
      <c r="I170" s="861">
        <f>H170/12</f>
        <v>1936.8166666666666</v>
      </c>
      <c r="J170" s="862">
        <f t="shared" si="155"/>
        <v>101.05130434782609</v>
      </c>
      <c r="K170" s="863">
        <f>J170/C170</f>
        <v>1.2029917184265011</v>
      </c>
      <c r="L170" s="861">
        <f>SUM(L142:L169)</f>
        <v>22579.121999999999</v>
      </c>
      <c r="M170" s="861">
        <f>L170/12</f>
        <v>1881.5934999999999</v>
      </c>
      <c r="N170" s="862">
        <f t="shared" si="159"/>
        <v>98.170095652173913</v>
      </c>
      <c r="O170" s="863">
        <f>N170/C170</f>
        <v>1.1686916149068323</v>
      </c>
      <c r="P170" s="864"/>
      <c r="Q170" s="864"/>
      <c r="R170" s="864"/>
      <c r="S170" s="864"/>
      <c r="T170" s="864"/>
      <c r="U170" s="864"/>
      <c r="V170" s="864"/>
      <c r="W170" s="864"/>
      <c r="X170" s="864"/>
      <c r="Y170" s="864"/>
      <c r="Z170" s="864"/>
      <c r="AA170" s="864"/>
      <c r="AB170" s="865">
        <f t="shared" si="161"/>
        <v>0.53843492113347513</v>
      </c>
      <c r="AC170" s="864"/>
      <c r="AD170" s="864"/>
      <c r="AE170" s="864"/>
      <c r="AF170" s="864"/>
      <c r="AG170" s="864"/>
      <c r="AH170" s="864"/>
      <c r="AI170" s="864"/>
      <c r="AJ170" s="864"/>
      <c r="AK170" s="864"/>
      <c r="AL170" s="864"/>
      <c r="AM170" s="864"/>
      <c r="AN170" s="864"/>
      <c r="AO170" s="865">
        <f>CB170/$H170</f>
        <v>0.76580012448834989</v>
      </c>
      <c r="AP170" s="864"/>
      <c r="AQ170" s="864"/>
      <c r="AR170" s="864"/>
      <c r="AS170" s="864"/>
      <c r="AT170" s="864"/>
      <c r="AU170" s="864"/>
      <c r="AV170" s="864"/>
      <c r="AW170" s="864"/>
      <c r="AX170" s="864"/>
      <c r="AY170" s="864"/>
      <c r="AZ170" s="864"/>
      <c r="BA170" s="864"/>
      <c r="BB170" s="865">
        <f>CO170/$L170</f>
        <v>0.99708813463458235</v>
      </c>
      <c r="BC170" s="866">
        <f>SUM(BC142:BC169)</f>
        <v>971.87624999999991</v>
      </c>
      <c r="BD170" s="866">
        <f t="shared" ref="BD170:BN170" si="181">SUM(BD142:BD169)</f>
        <v>982.38499999999999</v>
      </c>
      <c r="BE170" s="866">
        <f t="shared" si="181"/>
        <v>1007.9875</v>
      </c>
      <c r="BF170" s="866">
        <f t="shared" si="181"/>
        <v>1013.35375</v>
      </c>
      <c r="BG170" s="866">
        <f t="shared" si="181"/>
        <v>1033.8137499999998</v>
      </c>
      <c r="BH170" s="866">
        <f t="shared" si="181"/>
        <v>1048.83925</v>
      </c>
      <c r="BI170" s="866">
        <f t="shared" si="181"/>
        <v>1052.1633333333334</v>
      </c>
      <c r="BJ170" s="866">
        <f t="shared" si="181"/>
        <v>1057.5295833333334</v>
      </c>
      <c r="BK170" s="866">
        <f t="shared" si="181"/>
        <v>1072.6233333333334</v>
      </c>
      <c r="BL170" s="866">
        <f t="shared" si="181"/>
        <v>1081.1458333333335</v>
      </c>
      <c r="BM170" s="866">
        <f t="shared" si="181"/>
        <v>1096.2395833333335</v>
      </c>
      <c r="BN170" s="866">
        <f t="shared" si="181"/>
        <v>1096.2395833333335</v>
      </c>
      <c r="BO170" s="867">
        <f t="shared" si="165"/>
        <v>12514.196750000001</v>
      </c>
      <c r="BP170" s="866">
        <f>SUM(BP142:BP169)</f>
        <v>1160.3000000000002</v>
      </c>
      <c r="BQ170" s="866">
        <f t="shared" ref="BQ170:CA170" si="182">SUM(BQ142:BQ169)</f>
        <v>1185.8058333333331</v>
      </c>
      <c r="BR170" s="866">
        <f t="shared" si="182"/>
        <v>1226.4054166666665</v>
      </c>
      <c r="BS170" s="866">
        <f t="shared" si="182"/>
        <v>1284.8529166666665</v>
      </c>
      <c r="BT170" s="866">
        <f t="shared" si="182"/>
        <v>1349.2370833333334</v>
      </c>
      <c r="BU170" s="866">
        <f t="shared" si="182"/>
        <v>1402.0833333333333</v>
      </c>
      <c r="BV170" s="866">
        <f t="shared" si="182"/>
        <v>1488.2135416666667</v>
      </c>
      <c r="BW170" s="866">
        <f t="shared" si="182"/>
        <v>1580.2</v>
      </c>
      <c r="BX170" s="866">
        <f t="shared" si="182"/>
        <v>1676.2477083333331</v>
      </c>
      <c r="BY170" s="866">
        <f t="shared" si="182"/>
        <v>1768.2341666666666</v>
      </c>
      <c r="BZ170" s="866">
        <f t="shared" si="182"/>
        <v>1815.0758333333331</v>
      </c>
      <c r="CA170" s="866">
        <f t="shared" si="182"/>
        <v>1861.9174999999993</v>
      </c>
      <c r="CB170" s="867">
        <f t="shared" si="167"/>
        <v>17798.57333333333</v>
      </c>
      <c r="CC170" s="866">
        <f>SUM(CC142:CC169)</f>
        <v>1843.9036366666664</v>
      </c>
      <c r="CD170" s="866">
        <f t="shared" ref="CD170:CN170" si="183">SUM(CD142:CD169)</f>
        <v>1862.8884999999998</v>
      </c>
      <c r="CE170" s="866">
        <f t="shared" si="183"/>
        <v>1872.241</v>
      </c>
      <c r="CF170" s="866">
        <f t="shared" si="183"/>
        <v>1881.5934999999999</v>
      </c>
      <c r="CG170" s="866">
        <f t="shared" si="183"/>
        <v>1881.5934999999999</v>
      </c>
      <c r="CH170" s="866">
        <f t="shared" si="183"/>
        <v>1881.5934999999999</v>
      </c>
      <c r="CI170" s="866">
        <f t="shared" si="183"/>
        <v>1881.5934999999999</v>
      </c>
      <c r="CJ170" s="866">
        <f t="shared" si="183"/>
        <v>1881.5934999999999</v>
      </c>
      <c r="CK170" s="866">
        <f t="shared" si="183"/>
        <v>1881.5934999999999</v>
      </c>
      <c r="CL170" s="866">
        <f t="shared" si="183"/>
        <v>1881.5934999999999</v>
      </c>
      <c r="CM170" s="866">
        <f t="shared" si="183"/>
        <v>1881.5934999999999</v>
      </c>
      <c r="CN170" s="866">
        <f t="shared" si="183"/>
        <v>1881.5934999999999</v>
      </c>
      <c r="CO170" s="867">
        <f t="shared" si="169"/>
        <v>22513.37463666666</v>
      </c>
      <c r="CP170" s="868">
        <f t="shared" si="170"/>
        <v>52826.144719999989</v>
      </c>
    </row>
    <row r="171" spans="1:94">
      <c r="A171" s="856">
        <v>25</v>
      </c>
      <c r="B171" s="846" t="s">
        <v>1333</v>
      </c>
      <c r="C171" s="847">
        <v>4</v>
      </c>
      <c r="D171" s="847">
        <f>'Xpert needs'!AC88*25%</f>
        <v>1504.0650000000001</v>
      </c>
      <c r="E171" s="847">
        <f t="shared" ref="E171:E174" si="184">D171/12</f>
        <v>125.33875</v>
      </c>
      <c r="F171" s="848">
        <f t="shared" si="151"/>
        <v>6.5394130434782607</v>
      </c>
      <c r="G171" s="849">
        <f t="shared" si="152"/>
        <v>1.6348532608695652</v>
      </c>
      <c r="H171" s="847">
        <f t="shared" ref="H171:H174" si="185">D171</f>
        <v>1504.0650000000001</v>
      </c>
      <c r="I171" s="847">
        <f t="shared" ref="I171:I174" si="186">H171/12</f>
        <v>125.33875</v>
      </c>
      <c r="J171" s="848">
        <f t="shared" si="155"/>
        <v>6.5394130434782607</v>
      </c>
      <c r="K171" s="849">
        <f t="shared" ref="K171:K174" si="187">J171/C171</f>
        <v>1.6348532608695652</v>
      </c>
      <c r="L171" s="883">
        <f>H171</f>
        <v>1504.0650000000001</v>
      </c>
      <c r="M171" s="847">
        <f t="shared" ref="M171:M174" si="188">L171/12</f>
        <v>125.33875</v>
      </c>
      <c r="N171" s="848">
        <f t="shared" si="159"/>
        <v>6.5394130434782607</v>
      </c>
      <c r="O171" s="849">
        <f t="shared" ref="O171:O174" si="189">N171/C171</f>
        <v>1.6348532608695652</v>
      </c>
      <c r="P171" s="997">
        <v>1.2</v>
      </c>
      <c r="Q171" s="998">
        <v>1.2</v>
      </c>
      <c r="R171" s="998">
        <v>1.2</v>
      </c>
      <c r="S171" s="998">
        <v>1.2</v>
      </c>
      <c r="T171" s="998">
        <v>1.2</v>
      </c>
      <c r="U171" s="998">
        <v>1.2</v>
      </c>
      <c r="V171" s="998">
        <v>1.2</v>
      </c>
      <c r="W171" s="998">
        <v>1.2</v>
      </c>
      <c r="X171" s="998">
        <v>1.2</v>
      </c>
      <c r="Y171" s="998">
        <v>1.2</v>
      </c>
      <c r="Z171" s="998">
        <v>1.2</v>
      </c>
      <c r="AA171" s="998">
        <v>1.2</v>
      </c>
      <c r="AB171" s="851">
        <f t="shared" si="161"/>
        <v>1.2000000000000002</v>
      </c>
      <c r="AC171" s="998">
        <v>1.2</v>
      </c>
      <c r="AD171" s="998">
        <v>1.2</v>
      </c>
      <c r="AE171" s="998">
        <v>1.2</v>
      </c>
      <c r="AF171" s="998">
        <v>1.2</v>
      </c>
      <c r="AG171" s="998">
        <v>1.1000000000000001</v>
      </c>
      <c r="AH171" s="998">
        <v>1</v>
      </c>
      <c r="AI171" s="998">
        <v>1</v>
      </c>
      <c r="AJ171" s="998">
        <v>1</v>
      </c>
      <c r="AK171" s="998">
        <v>1</v>
      </c>
      <c r="AL171" s="998">
        <v>1</v>
      </c>
      <c r="AM171" s="998">
        <v>1</v>
      </c>
      <c r="AN171" s="998">
        <v>1</v>
      </c>
      <c r="AO171" s="851">
        <f t="shared" ref="AO171:AO174" si="190">CB171/$H171</f>
        <v>1.0749999999999995</v>
      </c>
      <c r="AP171" s="998">
        <v>1</v>
      </c>
      <c r="AQ171" s="998">
        <v>1</v>
      </c>
      <c r="AR171" s="998">
        <v>1</v>
      </c>
      <c r="AS171" s="998">
        <v>1</v>
      </c>
      <c r="AT171" s="998">
        <v>1</v>
      </c>
      <c r="AU171" s="998">
        <v>1</v>
      </c>
      <c r="AV171" s="998">
        <v>1</v>
      </c>
      <c r="AW171" s="998">
        <v>1</v>
      </c>
      <c r="AX171" s="998">
        <v>1</v>
      </c>
      <c r="AY171" s="998">
        <v>1</v>
      </c>
      <c r="AZ171" s="998">
        <v>1</v>
      </c>
      <c r="BA171" s="998">
        <v>1</v>
      </c>
      <c r="BB171" s="851">
        <f t="shared" ref="BB171:BB174" si="191">CO171/$L171</f>
        <v>0.99999999999999967</v>
      </c>
      <c r="BC171" s="853">
        <f t="shared" ref="BC171:BN174" si="192">$E171*P171</f>
        <v>150.40649999999999</v>
      </c>
      <c r="BD171" s="853">
        <f t="shared" si="192"/>
        <v>150.40649999999999</v>
      </c>
      <c r="BE171" s="853">
        <f t="shared" si="192"/>
        <v>150.40649999999999</v>
      </c>
      <c r="BF171" s="853">
        <f t="shared" si="192"/>
        <v>150.40649999999999</v>
      </c>
      <c r="BG171" s="853">
        <f t="shared" si="192"/>
        <v>150.40649999999999</v>
      </c>
      <c r="BH171" s="853">
        <f t="shared" si="192"/>
        <v>150.40649999999999</v>
      </c>
      <c r="BI171" s="853">
        <f t="shared" si="192"/>
        <v>150.40649999999999</v>
      </c>
      <c r="BJ171" s="853">
        <f t="shared" si="192"/>
        <v>150.40649999999999</v>
      </c>
      <c r="BK171" s="853">
        <f t="shared" si="192"/>
        <v>150.40649999999999</v>
      </c>
      <c r="BL171" s="853">
        <f t="shared" si="192"/>
        <v>150.40649999999999</v>
      </c>
      <c r="BM171" s="853">
        <f t="shared" si="192"/>
        <v>150.40649999999999</v>
      </c>
      <c r="BN171" s="853">
        <f t="shared" si="192"/>
        <v>150.40649999999999</v>
      </c>
      <c r="BO171" s="854">
        <f t="shared" si="165"/>
        <v>1804.8780000000004</v>
      </c>
      <c r="BP171" s="853">
        <f t="shared" ref="BP171:CA174" si="193">$I171*AC171</f>
        <v>150.40649999999999</v>
      </c>
      <c r="BQ171" s="853">
        <f t="shared" si="193"/>
        <v>150.40649999999999</v>
      </c>
      <c r="BR171" s="853">
        <f t="shared" si="193"/>
        <v>150.40649999999999</v>
      </c>
      <c r="BS171" s="853">
        <f t="shared" si="193"/>
        <v>150.40649999999999</v>
      </c>
      <c r="BT171" s="853">
        <f t="shared" si="193"/>
        <v>137.87262500000003</v>
      </c>
      <c r="BU171" s="853">
        <f t="shared" si="193"/>
        <v>125.33875</v>
      </c>
      <c r="BV171" s="853">
        <f t="shared" si="193"/>
        <v>125.33875</v>
      </c>
      <c r="BW171" s="853">
        <f t="shared" si="193"/>
        <v>125.33875</v>
      </c>
      <c r="BX171" s="853">
        <f t="shared" si="193"/>
        <v>125.33875</v>
      </c>
      <c r="BY171" s="853">
        <f t="shared" si="193"/>
        <v>125.33875</v>
      </c>
      <c r="BZ171" s="853">
        <f t="shared" si="193"/>
        <v>125.33875</v>
      </c>
      <c r="CA171" s="853">
        <f t="shared" si="193"/>
        <v>125.33875</v>
      </c>
      <c r="CB171" s="854">
        <f t="shared" si="167"/>
        <v>1616.8698749999994</v>
      </c>
      <c r="CC171" s="853">
        <f t="shared" ref="CC171:CN174" si="194">$M171*AP171</f>
        <v>125.33875</v>
      </c>
      <c r="CD171" s="853">
        <f t="shared" si="194"/>
        <v>125.33875</v>
      </c>
      <c r="CE171" s="853">
        <f t="shared" si="194"/>
        <v>125.33875</v>
      </c>
      <c r="CF171" s="853">
        <f t="shared" si="194"/>
        <v>125.33875</v>
      </c>
      <c r="CG171" s="853">
        <f t="shared" si="194"/>
        <v>125.33875</v>
      </c>
      <c r="CH171" s="853">
        <f t="shared" si="194"/>
        <v>125.33875</v>
      </c>
      <c r="CI171" s="853">
        <f t="shared" si="194"/>
        <v>125.33875</v>
      </c>
      <c r="CJ171" s="853">
        <f t="shared" si="194"/>
        <v>125.33875</v>
      </c>
      <c r="CK171" s="853">
        <f t="shared" si="194"/>
        <v>125.33875</v>
      </c>
      <c r="CL171" s="853">
        <f t="shared" si="194"/>
        <v>125.33875</v>
      </c>
      <c r="CM171" s="853">
        <f t="shared" si="194"/>
        <v>125.33875</v>
      </c>
      <c r="CN171" s="853">
        <f t="shared" si="194"/>
        <v>125.33875</v>
      </c>
      <c r="CO171" s="854">
        <f t="shared" si="169"/>
        <v>1504.0649999999996</v>
      </c>
      <c r="CP171" s="855">
        <f t="shared" si="170"/>
        <v>4925.8128749999996</v>
      </c>
    </row>
    <row r="172" spans="1:94">
      <c r="A172" s="856">
        <v>26</v>
      </c>
      <c r="B172" s="846" t="s">
        <v>1334</v>
      </c>
      <c r="C172" s="847">
        <v>4</v>
      </c>
      <c r="D172" s="847">
        <f>'Xpert needs'!AC88*25%</f>
        <v>1504.0650000000001</v>
      </c>
      <c r="E172" s="847">
        <f t="shared" si="184"/>
        <v>125.33875</v>
      </c>
      <c r="F172" s="848">
        <f t="shared" si="151"/>
        <v>6.5394130434782607</v>
      </c>
      <c r="G172" s="849">
        <f t="shared" si="152"/>
        <v>1.6348532608695652</v>
      </c>
      <c r="H172" s="847">
        <f t="shared" si="185"/>
        <v>1504.0650000000001</v>
      </c>
      <c r="I172" s="847">
        <f t="shared" si="186"/>
        <v>125.33875</v>
      </c>
      <c r="J172" s="848">
        <f t="shared" si="155"/>
        <v>6.5394130434782607</v>
      </c>
      <c r="K172" s="849">
        <f t="shared" si="187"/>
        <v>1.6348532608695652</v>
      </c>
      <c r="L172" s="883">
        <f t="shared" ref="L172:L174" si="195">H172</f>
        <v>1504.0650000000001</v>
      </c>
      <c r="M172" s="847">
        <f t="shared" si="188"/>
        <v>125.33875</v>
      </c>
      <c r="N172" s="848">
        <f t="shared" si="159"/>
        <v>6.5394130434782607</v>
      </c>
      <c r="O172" s="849">
        <f t="shared" si="189"/>
        <v>1.6348532608695652</v>
      </c>
      <c r="P172" s="997">
        <f>P171</f>
        <v>1.2</v>
      </c>
      <c r="Q172" s="998">
        <f t="shared" ref="Q172:AA172" si="196">Q171</f>
        <v>1.2</v>
      </c>
      <c r="R172" s="998">
        <f t="shared" si="196"/>
        <v>1.2</v>
      </c>
      <c r="S172" s="998">
        <f t="shared" si="196"/>
        <v>1.2</v>
      </c>
      <c r="T172" s="998">
        <f t="shared" si="196"/>
        <v>1.2</v>
      </c>
      <c r="U172" s="998">
        <f t="shared" si="196"/>
        <v>1.2</v>
      </c>
      <c r="V172" s="998">
        <f t="shared" si="196"/>
        <v>1.2</v>
      </c>
      <c r="W172" s="998">
        <f t="shared" si="196"/>
        <v>1.2</v>
      </c>
      <c r="X172" s="998">
        <f t="shared" si="196"/>
        <v>1.2</v>
      </c>
      <c r="Y172" s="998">
        <f t="shared" si="196"/>
        <v>1.2</v>
      </c>
      <c r="Z172" s="998">
        <f t="shared" si="196"/>
        <v>1.2</v>
      </c>
      <c r="AA172" s="998">
        <f t="shared" si="196"/>
        <v>1.2</v>
      </c>
      <c r="AB172" s="851">
        <f t="shared" si="161"/>
        <v>1.2000000000000002</v>
      </c>
      <c r="AC172" s="998">
        <f t="shared" ref="AC172:AN172" si="197">AC171</f>
        <v>1.2</v>
      </c>
      <c r="AD172" s="998">
        <f t="shared" si="197"/>
        <v>1.2</v>
      </c>
      <c r="AE172" s="998">
        <f t="shared" si="197"/>
        <v>1.2</v>
      </c>
      <c r="AF172" s="998">
        <f t="shared" si="197"/>
        <v>1.2</v>
      </c>
      <c r="AG172" s="998">
        <f t="shared" si="197"/>
        <v>1.1000000000000001</v>
      </c>
      <c r="AH172" s="998">
        <f t="shared" si="197"/>
        <v>1</v>
      </c>
      <c r="AI172" s="998">
        <f t="shared" si="197"/>
        <v>1</v>
      </c>
      <c r="AJ172" s="998">
        <f t="shared" si="197"/>
        <v>1</v>
      </c>
      <c r="AK172" s="998">
        <f t="shared" si="197"/>
        <v>1</v>
      </c>
      <c r="AL172" s="998">
        <f t="shared" si="197"/>
        <v>1</v>
      </c>
      <c r="AM172" s="998">
        <f t="shared" si="197"/>
        <v>1</v>
      </c>
      <c r="AN172" s="998">
        <f t="shared" si="197"/>
        <v>1</v>
      </c>
      <c r="AO172" s="851">
        <f t="shared" si="190"/>
        <v>1.0749999999999995</v>
      </c>
      <c r="AP172" s="998">
        <v>1</v>
      </c>
      <c r="AQ172" s="998">
        <v>1</v>
      </c>
      <c r="AR172" s="998">
        <v>1</v>
      </c>
      <c r="AS172" s="998">
        <v>1</v>
      </c>
      <c r="AT172" s="998">
        <v>1</v>
      </c>
      <c r="AU172" s="998">
        <v>1</v>
      </c>
      <c r="AV172" s="998">
        <v>1</v>
      </c>
      <c r="AW172" s="998">
        <v>1</v>
      </c>
      <c r="AX172" s="998">
        <v>1</v>
      </c>
      <c r="AY172" s="998">
        <v>1</v>
      </c>
      <c r="AZ172" s="998">
        <v>1</v>
      </c>
      <c r="BA172" s="998">
        <v>1</v>
      </c>
      <c r="BB172" s="851">
        <f t="shared" si="191"/>
        <v>0.99999999999999967</v>
      </c>
      <c r="BC172" s="853">
        <f t="shared" si="192"/>
        <v>150.40649999999999</v>
      </c>
      <c r="BD172" s="853">
        <f t="shared" si="192"/>
        <v>150.40649999999999</v>
      </c>
      <c r="BE172" s="853">
        <f t="shared" si="192"/>
        <v>150.40649999999999</v>
      </c>
      <c r="BF172" s="853">
        <f t="shared" si="192"/>
        <v>150.40649999999999</v>
      </c>
      <c r="BG172" s="853">
        <f t="shared" si="192"/>
        <v>150.40649999999999</v>
      </c>
      <c r="BH172" s="853">
        <f t="shared" si="192"/>
        <v>150.40649999999999</v>
      </c>
      <c r="BI172" s="853">
        <f t="shared" si="192"/>
        <v>150.40649999999999</v>
      </c>
      <c r="BJ172" s="853">
        <f t="shared" si="192"/>
        <v>150.40649999999999</v>
      </c>
      <c r="BK172" s="853">
        <f t="shared" si="192"/>
        <v>150.40649999999999</v>
      </c>
      <c r="BL172" s="853">
        <f t="shared" si="192"/>
        <v>150.40649999999999</v>
      </c>
      <c r="BM172" s="853">
        <f t="shared" si="192"/>
        <v>150.40649999999999</v>
      </c>
      <c r="BN172" s="853">
        <f t="shared" si="192"/>
        <v>150.40649999999999</v>
      </c>
      <c r="BO172" s="854">
        <f t="shared" si="165"/>
        <v>1804.8780000000004</v>
      </c>
      <c r="BP172" s="853">
        <f t="shared" si="193"/>
        <v>150.40649999999999</v>
      </c>
      <c r="BQ172" s="853">
        <f t="shared" si="193"/>
        <v>150.40649999999999</v>
      </c>
      <c r="BR172" s="853">
        <f t="shared" si="193"/>
        <v>150.40649999999999</v>
      </c>
      <c r="BS172" s="853">
        <f t="shared" si="193"/>
        <v>150.40649999999999</v>
      </c>
      <c r="BT172" s="853">
        <f t="shared" si="193"/>
        <v>137.87262500000003</v>
      </c>
      <c r="BU172" s="853">
        <f t="shared" si="193"/>
        <v>125.33875</v>
      </c>
      <c r="BV172" s="853">
        <f t="shared" si="193"/>
        <v>125.33875</v>
      </c>
      <c r="BW172" s="853">
        <f t="shared" si="193"/>
        <v>125.33875</v>
      </c>
      <c r="BX172" s="853">
        <f t="shared" si="193"/>
        <v>125.33875</v>
      </c>
      <c r="BY172" s="853">
        <f t="shared" si="193"/>
        <v>125.33875</v>
      </c>
      <c r="BZ172" s="853">
        <f t="shared" si="193"/>
        <v>125.33875</v>
      </c>
      <c r="CA172" s="853">
        <f t="shared" si="193"/>
        <v>125.33875</v>
      </c>
      <c r="CB172" s="854">
        <f t="shared" si="167"/>
        <v>1616.8698749999994</v>
      </c>
      <c r="CC172" s="853">
        <f t="shared" si="194"/>
        <v>125.33875</v>
      </c>
      <c r="CD172" s="853">
        <f t="shared" si="194"/>
        <v>125.33875</v>
      </c>
      <c r="CE172" s="853">
        <f t="shared" si="194"/>
        <v>125.33875</v>
      </c>
      <c r="CF172" s="853">
        <f t="shared" si="194"/>
        <v>125.33875</v>
      </c>
      <c r="CG172" s="853">
        <f t="shared" si="194"/>
        <v>125.33875</v>
      </c>
      <c r="CH172" s="853">
        <f t="shared" si="194"/>
        <v>125.33875</v>
      </c>
      <c r="CI172" s="853">
        <f t="shared" si="194"/>
        <v>125.33875</v>
      </c>
      <c r="CJ172" s="853">
        <f t="shared" si="194"/>
        <v>125.33875</v>
      </c>
      <c r="CK172" s="853">
        <f t="shared" si="194"/>
        <v>125.33875</v>
      </c>
      <c r="CL172" s="853">
        <f t="shared" si="194"/>
        <v>125.33875</v>
      </c>
      <c r="CM172" s="853">
        <f t="shared" si="194"/>
        <v>125.33875</v>
      </c>
      <c r="CN172" s="853">
        <f t="shared" si="194"/>
        <v>125.33875</v>
      </c>
      <c r="CO172" s="854">
        <f t="shared" si="169"/>
        <v>1504.0649999999996</v>
      </c>
      <c r="CP172" s="855">
        <f t="shared" si="170"/>
        <v>4925.8128749999996</v>
      </c>
    </row>
    <row r="173" spans="1:94">
      <c r="A173" s="856">
        <v>27</v>
      </c>
      <c r="B173" s="846" t="s">
        <v>1335</v>
      </c>
      <c r="C173" s="847">
        <v>4</v>
      </c>
      <c r="D173" s="847">
        <f>'Xpert needs'!AC88*25%</f>
        <v>1504.0650000000001</v>
      </c>
      <c r="E173" s="847">
        <f t="shared" si="184"/>
        <v>125.33875</v>
      </c>
      <c r="F173" s="848">
        <f t="shared" si="151"/>
        <v>6.5394130434782607</v>
      </c>
      <c r="G173" s="849">
        <f t="shared" si="152"/>
        <v>1.6348532608695652</v>
      </c>
      <c r="H173" s="847">
        <f t="shared" si="185"/>
        <v>1504.0650000000001</v>
      </c>
      <c r="I173" s="847">
        <f t="shared" si="186"/>
        <v>125.33875</v>
      </c>
      <c r="J173" s="848">
        <f t="shared" si="155"/>
        <v>6.5394130434782607</v>
      </c>
      <c r="K173" s="849">
        <f t="shared" si="187"/>
        <v>1.6348532608695652</v>
      </c>
      <c r="L173" s="883">
        <f t="shared" si="195"/>
        <v>1504.0650000000001</v>
      </c>
      <c r="M173" s="847">
        <f t="shared" si="188"/>
        <v>125.33875</v>
      </c>
      <c r="N173" s="848">
        <f t="shared" si="159"/>
        <v>6.5394130434782607</v>
      </c>
      <c r="O173" s="849">
        <f t="shared" si="189"/>
        <v>1.6348532608695652</v>
      </c>
      <c r="P173" s="997">
        <v>1.1000000000000001</v>
      </c>
      <c r="Q173" s="998">
        <v>1.1000000000000001</v>
      </c>
      <c r="R173" s="998">
        <v>1.1000000000000001</v>
      </c>
      <c r="S173" s="998">
        <v>1.1000000000000001</v>
      </c>
      <c r="T173" s="998">
        <v>1.1000000000000001</v>
      </c>
      <c r="U173" s="998">
        <v>1.1000000000000001</v>
      </c>
      <c r="V173" s="998">
        <v>1.1000000000000001</v>
      </c>
      <c r="W173" s="998">
        <v>1.1000000000000001</v>
      </c>
      <c r="X173" s="998">
        <v>1.1000000000000001</v>
      </c>
      <c r="Y173" s="998">
        <v>1.1000000000000001</v>
      </c>
      <c r="Z173" s="998">
        <v>1.1000000000000001</v>
      </c>
      <c r="AA173" s="998">
        <v>1.1000000000000001</v>
      </c>
      <c r="AB173" s="851">
        <f t="shared" si="161"/>
        <v>1.0999999999999999</v>
      </c>
      <c r="AC173" s="998">
        <f t="shared" ref="AC173:AK173" si="198">AC171</f>
        <v>1.2</v>
      </c>
      <c r="AD173" s="998">
        <f t="shared" si="198"/>
        <v>1.2</v>
      </c>
      <c r="AE173" s="998">
        <f t="shared" si="198"/>
        <v>1.2</v>
      </c>
      <c r="AF173" s="998">
        <f t="shared" si="198"/>
        <v>1.2</v>
      </c>
      <c r="AG173" s="998">
        <f t="shared" si="198"/>
        <v>1.1000000000000001</v>
      </c>
      <c r="AH173" s="998">
        <f t="shared" si="198"/>
        <v>1</v>
      </c>
      <c r="AI173" s="998">
        <f t="shared" si="198"/>
        <v>1</v>
      </c>
      <c r="AJ173" s="998">
        <f t="shared" si="198"/>
        <v>1</v>
      </c>
      <c r="AK173" s="998">
        <f t="shared" si="198"/>
        <v>1</v>
      </c>
      <c r="AL173" s="998">
        <v>0.9</v>
      </c>
      <c r="AM173" s="998">
        <v>0.9</v>
      </c>
      <c r="AN173" s="998">
        <v>0.9</v>
      </c>
      <c r="AO173" s="851">
        <f t="shared" si="190"/>
        <v>1.0499999999999998</v>
      </c>
      <c r="AP173" s="998">
        <v>0.8</v>
      </c>
      <c r="AQ173" s="998">
        <v>0.8</v>
      </c>
      <c r="AR173" s="998">
        <v>0.8</v>
      </c>
      <c r="AS173" s="998">
        <v>0.7</v>
      </c>
      <c r="AT173" s="998">
        <v>0.7</v>
      </c>
      <c r="AU173" s="998">
        <v>0.7</v>
      </c>
      <c r="AV173" s="998">
        <v>0.6</v>
      </c>
      <c r="AW173" s="998">
        <v>0.6</v>
      </c>
      <c r="AX173" s="998">
        <v>0.6</v>
      </c>
      <c r="AY173" s="998">
        <v>0.5</v>
      </c>
      <c r="AZ173" s="998">
        <v>0.5</v>
      </c>
      <c r="BA173" s="998">
        <v>0.5</v>
      </c>
      <c r="BB173" s="851">
        <f t="shared" si="191"/>
        <v>0.64999999999999991</v>
      </c>
      <c r="BC173" s="853">
        <f t="shared" si="192"/>
        <v>137.87262500000003</v>
      </c>
      <c r="BD173" s="853">
        <f t="shared" si="192"/>
        <v>137.87262500000003</v>
      </c>
      <c r="BE173" s="853">
        <f t="shared" si="192"/>
        <v>137.87262500000003</v>
      </c>
      <c r="BF173" s="853">
        <f t="shared" si="192"/>
        <v>137.87262500000003</v>
      </c>
      <c r="BG173" s="853">
        <f t="shared" si="192"/>
        <v>137.87262500000003</v>
      </c>
      <c r="BH173" s="853">
        <f t="shared" si="192"/>
        <v>137.87262500000003</v>
      </c>
      <c r="BI173" s="853">
        <f t="shared" si="192"/>
        <v>137.87262500000003</v>
      </c>
      <c r="BJ173" s="853">
        <f t="shared" si="192"/>
        <v>137.87262500000003</v>
      </c>
      <c r="BK173" s="853">
        <f t="shared" si="192"/>
        <v>137.87262500000003</v>
      </c>
      <c r="BL173" s="853">
        <f t="shared" si="192"/>
        <v>137.87262500000003</v>
      </c>
      <c r="BM173" s="853">
        <f t="shared" si="192"/>
        <v>137.87262500000003</v>
      </c>
      <c r="BN173" s="853">
        <f t="shared" si="192"/>
        <v>137.87262500000003</v>
      </c>
      <c r="BO173" s="854">
        <f t="shared" si="165"/>
        <v>1654.4714999999999</v>
      </c>
      <c r="BP173" s="853">
        <f t="shared" si="193"/>
        <v>150.40649999999999</v>
      </c>
      <c r="BQ173" s="853">
        <f t="shared" si="193"/>
        <v>150.40649999999999</v>
      </c>
      <c r="BR173" s="853">
        <f t="shared" si="193"/>
        <v>150.40649999999999</v>
      </c>
      <c r="BS173" s="853">
        <f t="shared" si="193"/>
        <v>150.40649999999999</v>
      </c>
      <c r="BT173" s="853">
        <f t="shared" si="193"/>
        <v>137.87262500000003</v>
      </c>
      <c r="BU173" s="853">
        <f t="shared" si="193"/>
        <v>125.33875</v>
      </c>
      <c r="BV173" s="853">
        <f t="shared" si="193"/>
        <v>125.33875</v>
      </c>
      <c r="BW173" s="853">
        <f t="shared" si="193"/>
        <v>125.33875</v>
      </c>
      <c r="BX173" s="853">
        <f t="shared" si="193"/>
        <v>125.33875</v>
      </c>
      <c r="BY173" s="853">
        <f t="shared" si="193"/>
        <v>112.80487500000001</v>
      </c>
      <c r="BZ173" s="853">
        <f t="shared" si="193"/>
        <v>112.80487500000001</v>
      </c>
      <c r="CA173" s="853">
        <f t="shared" si="193"/>
        <v>112.80487500000001</v>
      </c>
      <c r="CB173" s="854">
        <f t="shared" si="167"/>
        <v>1579.2682499999999</v>
      </c>
      <c r="CC173" s="853">
        <f t="shared" si="194"/>
        <v>100.27100000000002</v>
      </c>
      <c r="CD173" s="853">
        <f t="shared" si="194"/>
        <v>100.27100000000002</v>
      </c>
      <c r="CE173" s="853">
        <f t="shared" si="194"/>
        <v>100.27100000000002</v>
      </c>
      <c r="CF173" s="853">
        <f t="shared" si="194"/>
        <v>87.737124999999992</v>
      </c>
      <c r="CG173" s="853">
        <f t="shared" si="194"/>
        <v>87.737124999999992</v>
      </c>
      <c r="CH173" s="853">
        <f t="shared" si="194"/>
        <v>87.737124999999992</v>
      </c>
      <c r="CI173" s="853">
        <f t="shared" si="194"/>
        <v>75.203249999999997</v>
      </c>
      <c r="CJ173" s="853">
        <f t="shared" si="194"/>
        <v>75.203249999999997</v>
      </c>
      <c r="CK173" s="853">
        <f t="shared" si="194"/>
        <v>75.203249999999997</v>
      </c>
      <c r="CL173" s="853">
        <f t="shared" si="194"/>
        <v>62.669375000000002</v>
      </c>
      <c r="CM173" s="853">
        <f t="shared" si="194"/>
        <v>62.669375000000002</v>
      </c>
      <c r="CN173" s="853">
        <f t="shared" si="194"/>
        <v>62.669375000000002</v>
      </c>
      <c r="CO173" s="854">
        <f t="shared" si="169"/>
        <v>977.64224999999988</v>
      </c>
      <c r="CP173" s="855">
        <f t="shared" si="170"/>
        <v>4211.3819999999996</v>
      </c>
    </row>
    <row r="174" spans="1:94">
      <c r="A174" s="856">
        <v>28</v>
      </c>
      <c r="B174" s="846" t="s">
        <v>1336</v>
      </c>
      <c r="C174" s="847">
        <v>4</v>
      </c>
      <c r="D174" s="847">
        <f>'Xpert needs'!AC88*25%</f>
        <v>1504.0650000000001</v>
      </c>
      <c r="E174" s="847">
        <f t="shared" si="184"/>
        <v>125.33875</v>
      </c>
      <c r="F174" s="848">
        <f t="shared" si="151"/>
        <v>6.5394130434782607</v>
      </c>
      <c r="G174" s="849">
        <f t="shared" si="152"/>
        <v>1.6348532608695652</v>
      </c>
      <c r="H174" s="847">
        <f t="shared" si="185"/>
        <v>1504.0650000000001</v>
      </c>
      <c r="I174" s="847">
        <f t="shared" si="186"/>
        <v>125.33875</v>
      </c>
      <c r="J174" s="848">
        <f t="shared" si="155"/>
        <v>6.5394130434782607</v>
      </c>
      <c r="K174" s="849">
        <f t="shared" si="187"/>
        <v>1.6348532608695652</v>
      </c>
      <c r="L174" s="883">
        <f t="shared" si="195"/>
        <v>1504.0650000000001</v>
      </c>
      <c r="M174" s="847">
        <f t="shared" si="188"/>
        <v>125.33875</v>
      </c>
      <c r="N174" s="848">
        <f t="shared" si="159"/>
        <v>6.5394130434782607</v>
      </c>
      <c r="O174" s="849">
        <f t="shared" si="189"/>
        <v>1.6348532608695652</v>
      </c>
      <c r="P174" s="997">
        <v>1</v>
      </c>
      <c r="Q174" s="998">
        <v>1</v>
      </c>
      <c r="R174" s="998">
        <v>1</v>
      </c>
      <c r="S174" s="998">
        <v>1</v>
      </c>
      <c r="T174" s="998">
        <v>1</v>
      </c>
      <c r="U174" s="998">
        <v>1</v>
      </c>
      <c r="V174" s="998">
        <v>1</v>
      </c>
      <c r="W174" s="998">
        <v>1</v>
      </c>
      <c r="X174" s="998">
        <v>1</v>
      </c>
      <c r="Y174" s="998">
        <v>1</v>
      </c>
      <c r="Z174" s="998">
        <v>1</v>
      </c>
      <c r="AA174" s="998">
        <v>1</v>
      </c>
      <c r="AB174" s="851">
        <f t="shared" si="161"/>
        <v>0.99999999999999967</v>
      </c>
      <c r="AC174" s="998">
        <v>0.9</v>
      </c>
      <c r="AD174" s="998">
        <v>0.9</v>
      </c>
      <c r="AE174" s="998">
        <v>0.9</v>
      </c>
      <c r="AF174" s="998">
        <v>0.8</v>
      </c>
      <c r="AG174" s="998">
        <v>0.8</v>
      </c>
      <c r="AH174" s="998">
        <v>0.8</v>
      </c>
      <c r="AI174" s="998">
        <v>0.7</v>
      </c>
      <c r="AJ174" s="998">
        <v>0.7</v>
      </c>
      <c r="AK174" s="998">
        <v>0.7</v>
      </c>
      <c r="AL174" s="998">
        <v>0.6</v>
      </c>
      <c r="AM174" s="998">
        <v>0.6</v>
      </c>
      <c r="AN174" s="998">
        <v>0.6</v>
      </c>
      <c r="AO174" s="851">
        <f t="shared" si="190"/>
        <v>0.74999999999999989</v>
      </c>
      <c r="AP174" s="998">
        <v>0.5</v>
      </c>
      <c r="AQ174" s="998">
        <v>0.5</v>
      </c>
      <c r="AR174" s="998">
        <v>0.5</v>
      </c>
      <c r="AS174" s="998">
        <v>0.5</v>
      </c>
      <c r="AT174" s="998">
        <v>0.5</v>
      </c>
      <c r="AU174" s="998">
        <v>0.5</v>
      </c>
      <c r="AV174" s="998">
        <v>0.5</v>
      </c>
      <c r="AW174" s="998">
        <v>0.5</v>
      </c>
      <c r="AX174" s="998">
        <v>0.5</v>
      </c>
      <c r="AY174" s="998">
        <v>0.5</v>
      </c>
      <c r="AZ174" s="998">
        <v>0.5</v>
      </c>
      <c r="BA174" s="998">
        <v>0.5</v>
      </c>
      <c r="BB174" s="851">
        <f t="shared" si="191"/>
        <v>0.49999999999999983</v>
      </c>
      <c r="BC174" s="853">
        <f t="shared" si="192"/>
        <v>125.33875</v>
      </c>
      <c r="BD174" s="853">
        <f t="shared" si="192"/>
        <v>125.33875</v>
      </c>
      <c r="BE174" s="853">
        <f t="shared" si="192"/>
        <v>125.33875</v>
      </c>
      <c r="BF174" s="853">
        <f t="shared" si="192"/>
        <v>125.33875</v>
      </c>
      <c r="BG174" s="853">
        <f t="shared" si="192"/>
        <v>125.33875</v>
      </c>
      <c r="BH174" s="853">
        <f t="shared" si="192"/>
        <v>125.33875</v>
      </c>
      <c r="BI174" s="853">
        <f t="shared" si="192"/>
        <v>125.33875</v>
      </c>
      <c r="BJ174" s="853">
        <f t="shared" si="192"/>
        <v>125.33875</v>
      </c>
      <c r="BK174" s="853">
        <f t="shared" si="192"/>
        <v>125.33875</v>
      </c>
      <c r="BL174" s="853">
        <f t="shared" si="192"/>
        <v>125.33875</v>
      </c>
      <c r="BM174" s="853">
        <f t="shared" si="192"/>
        <v>125.33875</v>
      </c>
      <c r="BN174" s="853">
        <f t="shared" si="192"/>
        <v>125.33875</v>
      </c>
      <c r="BO174" s="854">
        <f t="shared" si="165"/>
        <v>1504.0649999999996</v>
      </c>
      <c r="BP174" s="853">
        <f t="shared" si="193"/>
        <v>112.80487500000001</v>
      </c>
      <c r="BQ174" s="853">
        <f t="shared" si="193"/>
        <v>112.80487500000001</v>
      </c>
      <c r="BR174" s="853">
        <f t="shared" si="193"/>
        <v>112.80487500000001</v>
      </c>
      <c r="BS174" s="853">
        <f t="shared" si="193"/>
        <v>100.27100000000002</v>
      </c>
      <c r="BT174" s="853">
        <f t="shared" si="193"/>
        <v>100.27100000000002</v>
      </c>
      <c r="BU174" s="853">
        <f t="shared" si="193"/>
        <v>100.27100000000002</v>
      </c>
      <c r="BV174" s="853">
        <f t="shared" si="193"/>
        <v>87.737124999999992</v>
      </c>
      <c r="BW174" s="853">
        <f t="shared" si="193"/>
        <v>87.737124999999992</v>
      </c>
      <c r="BX174" s="853">
        <f t="shared" si="193"/>
        <v>87.737124999999992</v>
      </c>
      <c r="BY174" s="853">
        <f t="shared" si="193"/>
        <v>75.203249999999997</v>
      </c>
      <c r="BZ174" s="853">
        <f t="shared" si="193"/>
        <v>75.203249999999997</v>
      </c>
      <c r="CA174" s="853">
        <f t="shared" si="193"/>
        <v>75.203249999999997</v>
      </c>
      <c r="CB174" s="854">
        <f t="shared" si="167"/>
        <v>1128.0487499999999</v>
      </c>
      <c r="CC174" s="853">
        <f t="shared" si="194"/>
        <v>62.669375000000002</v>
      </c>
      <c r="CD174" s="853">
        <f t="shared" si="194"/>
        <v>62.669375000000002</v>
      </c>
      <c r="CE174" s="853">
        <f t="shared" si="194"/>
        <v>62.669375000000002</v>
      </c>
      <c r="CF174" s="853">
        <f t="shared" si="194"/>
        <v>62.669375000000002</v>
      </c>
      <c r="CG174" s="853">
        <f t="shared" si="194"/>
        <v>62.669375000000002</v>
      </c>
      <c r="CH174" s="853">
        <f t="shared" si="194"/>
        <v>62.669375000000002</v>
      </c>
      <c r="CI174" s="853">
        <f t="shared" si="194"/>
        <v>62.669375000000002</v>
      </c>
      <c r="CJ174" s="853">
        <f t="shared" si="194"/>
        <v>62.669375000000002</v>
      </c>
      <c r="CK174" s="853">
        <f t="shared" si="194"/>
        <v>62.669375000000002</v>
      </c>
      <c r="CL174" s="853">
        <f t="shared" si="194"/>
        <v>62.669375000000002</v>
      </c>
      <c r="CM174" s="853">
        <f t="shared" si="194"/>
        <v>62.669375000000002</v>
      </c>
      <c r="CN174" s="853">
        <f t="shared" si="194"/>
        <v>62.669375000000002</v>
      </c>
      <c r="CO174" s="854">
        <f t="shared" si="169"/>
        <v>752.0324999999998</v>
      </c>
      <c r="CP174" s="855">
        <f t="shared" si="170"/>
        <v>3384.1462499999993</v>
      </c>
    </row>
    <row r="175" spans="1:94" s="838" customFormat="1" ht="15.75">
      <c r="A175" s="860"/>
      <c r="B175" s="860" t="str">
        <f>B124</f>
        <v>Civilian TB services</v>
      </c>
      <c r="C175" s="861">
        <f>SUM(C170:C174)</f>
        <v>100</v>
      </c>
      <c r="D175" s="861">
        <f>SUM(D170:D174)</f>
        <v>29258.059999999994</v>
      </c>
      <c r="E175" s="861">
        <f>D175/12</f>
        <v>2438.1716666666662</v>
      </c>
      <c r="F175" s="862">
        <f t="shared" si="151"/>
        <v>127.20895652173911</v>
      </c>
      <c r="G175" s="863">
        <f t="shared" si="152"/>
        <v>1.2720895652173911</v>
      </c>
      <c r="H175" s="861">
        <f>SUM(H170:H174)</f>
        <v>29258.059999999994</v>
      </c>
      <c r="I175" s="861">
        <f>H175/12</f>
        <v>2438.1716666666662</v>
      </c>
      <c r="J175" s="862">
        <f t="shared" si="155"/>
        <v>127.20895652173911</v>
      </c>
      <c r="K175" s="863">
        <f>J175/C175</f>
        <v>1.2720895652173911</v>
      </c>
      <c r="L175" s="861">
        <f>SUM(L170:L174)</f>
        <v>28595.381999999994</v>
      </c>
      <c r="M175" s="861">
        <f>L175/12</f>
        <v>2382.9484999999995</v>
      </c>
      <c r="N175" s="862">
        <f t="shared" si="159"/>
        <v>124.32774782608693</v>
      </c>
      <c r="O175" s="863">
        <f>N175/C175</f>
        <v>1.2432774782608693</v>
      </c>
      <c r="P175" s="864"/>
      <c r="Q175" s="864"/>
      <c r="R175" s="864"/>
      <c r="S175" s="864"/>
      <c r="T175" s="864"/>
      <c r="U175" s="864"/>
      <c r="V175" s="864"/>
      <c r="W175" s="864"/>
      <c r="X175" s="864"/>
      <c r="Y175" s="864"/>
      <c r="Z175" s="864"/>
      <c r="AA175" s="864"/>
      <c r="AB175" s="865">
        <f t="shared" si="161"/>
        <v>0.65904879715196441</v>
      </c>
      <c r="AC175" s="864"/>
      <c r="AD175" s="864"/>
      <c r="AE175" s="864"/>
      <c r="AF175" s="864"/>
      <c r="AG175" s="864"/>
      <c r="AH175" s="864"/>
      <c r="AI175" s="864"/>
      <c r="AJ175" s="864"/>
      <c r="AK175" s="864"/>
      <c r="AL175" s="864"/>
      <c r="AM175" s="864"/>
      <c r="AN175" s="864"/>
      <c r="AO175" s="865">
        <f>CB175/$H175</f>
        <v>0.81138770251114867</v>
      </c>
      <c r="AP175" s="864"/>
      <c r="AQ175" s="864"/>
      <c r="AR175" s="864"/>
      <c r="AS175" s="864"/>
      <c r="AT175" s="864"/>
      <c r="AU175" s="864"/>
      <c r="AV175" s="864"/>
      <c r="AW175" s="864"/>
      <c r="AX175" s="864"/>
      <c r="AY175" s="864"/>
      <c r="AZ175" s="864"/>
      <c r="BA175" s="864"/>
      <c r="BB175" s="865">
        <f>CO175/$L175</f>
        <v>0.95299231836338727</v>
      </c>
      <c r="BC175" s="866">
        <f>SUM(BC170:BC174)</f>
        <v>1535.9006249999998</v>
      </c>
      <c r="BD175" s="866">
        <f t="shared" ref="BD175:BN175" si="199">SUM(BD170:BD174)</f>
        <v>1546.4093750000002</v>
      </c>
      <c r="BE175" s="866">
        <f t="shared" si="199"/>
        <v>1572.0118750000001</v>
      </c>
      <c r="BF175" s="866">
        <f t="shared" si="199"/>
        <v>1577.3781250000002</v>
      </c>
      <c r="BG175" s="866">
        <f t="shared" si="199"/>
        <v>1597.8381249999998</v>
      </c>
      <c r="BH175" s="866">
        <f t="shared" si="199"/>
        <v>1612.863625</v>
      </c>
      <c r="BI175" s="866">
        <f t="shared" si="199"/>
        <v>1616.1877083333334</v>
      </c>
      <c r="BJ175" s="866">
        <f t="shared" si="199"/>
        <v>1621.5539583333334</v>
      </c>
      <c r="BK175" s="866">
        <f t="shared" si="199"/>
        <v>1636.6477083333334</v>
      </c>
      <c r="BL175" s="866">
        <f t="shared" si="199"/>
        <v>1645.1702083333334</v>
      </c>
      <c r="BM175" s="866">
        <f t="shared" si="199"/>
        <v>1660.2639583333334</v>
      </c>
      <c r="BN175" s="866">
        <f t="shared" si="199"/>
        <v>1660.2639583333334</v>
      </c>
      <c r="BO175" s="867">
        <f t="shared" si="165"/>
        <v>19282.489249999999</v>
      </c>
      <c r="BP175" s="866">
        <f>SUM(BP170:BP174)</f>
        <v>1724.3243750000004</v>
      </c>
      <c r="BQ175" s="866">
        <f t="shared" ref="BQ175:CA175" si="200">SUM(BQ170:BQ174)</f>
        <v>1749.8302083333333</v>
      </c>
      <c r="BR175" s="866">
        <f t="shared" si="200"/>
        <v>1790.4297916666667</v>
      </c>
      <c r="BS175" s="866">
        <f t="shared" si="200"/>
        <v>1836.3434166666666</v>
      </c>
      <c r="BT175" s="866">
        <f t="shared" si="200"/>
        <v>1863.1259583333333</v>
      </c>
      <c r="BU175" s="866">
        <f t="shared" si="200"/>
        <v>1878.3705833333331</v>
      </c>
      <c r="BV175" s="866">
        <f t="shared" si="200"/>
        <v>1951.9669166666667</v>
      </c>
      <c r="BW175" s="866">
        <f t="shared" si="200"/>
        <v>2043.9533750000001</v>
      </c>
      <c r="BX175" s="866">
        <f t="shared" si="200"/>
        <v>2140.0010833333331</v>
      </c>
      <c r="BY175" s="866">
        <f t="shared" si="200"/>
        <v>2206.9197916666662</v>
      </c>
      <c r="BZ175" s="866">
        <f t="shared" si="200"/>
        <v>2253.7614583333329</v>
      </c>
      <c r="CA175" s="866">
        <f t="shared" si="200"/>
        <v>2300.6031249999992</v>
      </c>
      <c r="CB175" s="867">
        <f t="shared" si="167"/>
        <v>23739.630083333333</v>
      </c>
      <c r="CC175" s="866">
        <f>SUM(CC170:CC174)</f>
        <v>2257.5215116666664</v>
      </c>
      <c r="CD175" s="866">
        <f t="shared" ref="CD175:CN175" si="201">SUM(CD170:CD174)</f>
        <v>2276.5063749999999</v>
      </c>
      <c r="CE175" s="866">
        <f t="shared" si="201"/>
        <v>2285.8588749999999</v>
      </c>
      <c r="CF175" s="866">
        <f t="shared" si="201"/>
        <v>2282.6774999999998</v>
      </c>
      <c r="CG175" s="866">
        <f t="shared" si="201"/>
        <v>2282.6774999999998</v>
      </c>
      <c r="CH175" s="866">
        <f t="shared" si="201"/>
        <v>2282.6774999999998</v>
      </c>
      <c r="CI175" s="866">
        <f t="shared" si="201"/>
        <v>2270.1436249999997</v>
      </c>
      <c r="CJ175" s="866">
        <f t="shared" si="201"/>
        <v>2270.1436249999997</v>
      </c>
      <c r="CK175" s="866">
        <f t="shared" si="201"/>
        <v>2270.1436249999997</v>
      </c>
      <c r="CL175" s="866">
        <f t="shared" si="201"/>
        <v>2257.6097499999996</v>
      </c>
      <c r="CM175" s="866">
        <f t="shared" si="201"/>
        <v>2257.6097499999996</v>
      </c>
      <c r="CN175" s="866">
        <f t="shared" si="201"/>
        <v>2257.6097499999996</v>
      </c>
      <c r="CO175" s="867">
        <f t="shared" si="169"/>
        <v>27251.179386666667</v>
      </c>
      <c r="CP175" s="868">
        <f t="shared" si="170"/>
        <v>70273.298720000006</v>
      </c>
    </row>
    <row r="176" spans="1:94" s="838" customFormat="1">
      <c r="A176" s="856">
        <v>29</v>
      </c>
      <c r="B176" s="846" t="s">
        <v>1704</v>
      </c>
      <c r="C176" s="847">
        <v>4</v>
      </c>
      <c r="D176" s="847">
        <f>'Xpert needs'!AC90*60%</f>
        <v>900</v>
      </c>
      <c r="E176" s="847">
        <f t="shared" ref="E176:E178" si="202">D176/12</f>
        <v>75</v>
      </c>
      <c r="F176" s="848">
        <f t="shared" si="151"/>
        <v>3.9130434782608696</v>
      </c>
      <c r="G176" s="849">
        <f t="shared" si="152"/>
        <v>0.97826086956521741</v>
      </c>
      <c r="H176" s="847">
        <f t="shared" ref="H176:H178" si="203">D176</f>
        <v>900</v>
      </c>
      <c r="I176" s="847">
        <f t="shared" ref="I176:I178" si="204">H176/12</f>
        <v>75</v>
      </c>
      <c r="J176" s="848">
        <f t="shared" si="155"/>
        <v>3.9130434782608696</v>
      </c>
      <c r="K176" s="849">
        <f t="shared" ref="K176:K178" si="205">J176/C176</f>
        <v>0.97826086956521741</v>
      </c>
      <c r="L176" s="883">
        <f>H176*95%</f>
        <v>855</v>
      </c>
      <c r="M176" s="847">
        <f t="shared" ref="M176:M178" si="206">L176/12</f>
        <v>71.25</v>
      </c>
      <c r="N176" s="848">
        <f t="shared" si="159"/>
        <v>3.7173913043478262</v>
      </c>
      <c r="O176" s="849">
        <f t="shared" ref="O176:O178" si="207">N176/C176</f>
        <v>0.92934782608695654</v>
      </c>
      <c r="P176" s="857">
        <v>1</v>
      </c>
      <c r="Q176" s="850">
        <v>1</v>
      </c>
      <c r="R176" s="850">
        <v>1</v>
      </c>
      <c r="S176" s="850">
        <v>1</v>
      </c>
      <c r="T176" s="850">
        <v>1</v>
      </c>
      <c r="U176" s="850">
        <v>1</v>
      </c>
      <c r="V176" s="850">
        <v>1</v>
      </c>
      <c r="W176" s="850">
        <v>1</v>
      </c>
      <c r="X176" s="850">
        <v>1</v>
      </c>
      <c r="Y176" s="850">
        <v>1</v>
      </c>
      <c r="Z176" s="850">
        <v>1</v>
      </c>
      <c r="AA176" s="850">
        <v>1</v>
      </c>
      <c r="AB176" s="851">
        <f t="shared" si="161"/>
        <v>1</v>
      </c>
      <c r="AC176" s="850">
        <v>1</v>
      </c>
      <c r="AD176" s="850">
        <v>1</v>
      </c>
      <c r="AE176" s="850">
        <v>1</v>
      </c>
      <c r="AF176" s="850">
        <v>1</v>
      </c>
      <c r="AG176" s="850">
        <v>1</v>
      </c>
      <c r="AH176" s="850">
        <v>1</v>
      </c>
      <c r="AI176" s="850">
        <v>1</v>
      </c>
      <c r="AJ176" s="850">
        <v>1</v>
      </c>
      <c r="AK176" s="850">
        <v>1</v>
      </c>
      <c r="AL176" s="850">
        <v>1</v>
      </c>
      <c r="AM176" s="850">
        <v>1</v>
      </c>
      <c r="AN176" s="850">
        <v>1</v>
      </c>
      <c r="AO176" s="851">
        <f t="shared" ref="AO176:AO178" si="208">CB176/$H176</f>
        <v>1</v>
      </c>
      <c r="AP176" s="850">
        <v>1</v>
      </c>
      <c r="AQ176" s="850">
        <v>1</v>
      </c>
      <c r="AR176" s="850">
        <v>1</v>
      </c>
      <c r="AS176" s="850">
        <v>1</v>
      </c>
      <c r="AT176" s="850">
        <v>1</v>
      </c>
      <c r="AU176" s="850">
        <v>1</v>
      </c>
      <c r="AV176" s="850">
        <v>1</v>
      </c>
      <c r="AW176" s="850">
        <v>1</v>
      </c>
      <c r="AX176" s="850">
        <v>1</v>
      </c>
      <c r="AY176" s="850">
        <v>1</v>
      </c>
      <c r="AZ176" s="850">
        <v>1</v>
      </c>
      <c r="BA176" s="850">
        <v>1</v>
      </c>
      <c r="BB176" s="851">
        <f t="shared" ref="BB176:BB178" si="209">CO176/$L176</f>
        <v>1</v>
      </c>
      <c r="BC176" s="853">
        <f t="shared" ref="BC176:BN178" si="210">$E176*P176</f>
        <v>75</v>
      </c>
      <c r="BD176" s="853">
        <f t="shared" si="210"/>
        <v>75</v>
      </c>
      <c r="BE176" s="853">
        <f t="shared" si="210"/>
        <v>75</v>
      </c>
      <c r="BF176" s="853">
        <f t="shared" si="210"/>
        <v>75</v>
      </c>
      <c r="BG176" s="853">
        <f t="shared" si="210"/>
        <v>75</v>
      </c>
      <c r="BH176" s="853">
        <f t="shared" si="210"/>
        <v>75</v>
      </c>
      <c r="BI176" s="853">
        <f t="shared" si="210"/>
        <v>75</v>
      </c>
      <c r="BJ176" s="853">
        <f t="shared" si="210"/>
        <v>75</v>
      </c>
      <c r="BK176" s="853">
        <f t="shared" si="210"/>
        <v>75</v>
      </c>
      <c r="BL176" s="853">
        <f t="shared" si="210"/>
        <v>75</v>
      </c>
      <c r="BM176" s="853">
        <f t="shared" si="210"/>
        <v>75</v>
      </c>
      <c r="BN176" s="853">
        <f t="shared" si="210"/>
        <v>75</v>
      </c>
      <c r="BO176" s="854">
        <f t="shared" si="165"/>
        <v>900</v>
      </c>
      <c r="BP176" s="853">
        <f t="shared" ref="BP176:CA178" si="211">$I176*AC176</f>
        <v>75</v>
      </c>
      <c r="BQ176" s="853">
        <f t="shared" si="211"/>
        <v>75</v>
      </c>
      <c r="BR176" s="853">
        <f t="shared" si="211"/>
        <v>75</v>
      </c>
      <c r="BS176" s="853">
        <f t="shared" si="211"/>
        <v>75</v>
      </c>
      <c r="BT176" s="853">
        <f t="shared" si="211"/>
        <v>75</v>
      </c>
      <c r="BU176" s="853">
        <f t="shared" si="211"/>
        <v>75</v>
      </c>
      <c r="BV176" s="853">
        <f t="shared" si="211"/>
        <v>75</v>
      </c>
      <c r="BW176" s="853">
        <f t="shared" si="211"/>
        <v>75</v>
      </c>
      <c r="BX176" s="853">
        <f t="shared" si="211"/>
        <v>75</v>
      </c>
      <c r="BY176" s="853">
        <f t="shared" si="211"/>
        <v>75</v>
      </c>
      <c r="BZ176" s="853">
        <f t="shared" si="211"/>
        <v>75</v>
      </c>
      <c r="CA176" s="853">
        <f t="shared" si="211"/>
        <v>75</v>
      </c>
      <c r="CB176" s="854">
        <f t="shared" si="167"/>
        <v>900</v>
      </c>
      <c r="CC176" s="853">
        <f t="shared" ref="CC176:CN178" si="212">$M176*AP176</f>
        <v>71.25</v>
      </c>
      <c r="CD176" s="853">
        <f t="shared" si="212"/>
        <v>71.25</v>
      </c>
      <c r="CE176" s="853">
        <f t="shared" si="212"/>
        <v>71.25</v>
      </c>
      <c r="CF176" s="853">
        <f t="shared" si="212"/>
        <v>71.25</v>
      </c>
      <c r="CG176" s="853">
        <f t="shared" si="212"/>
        <v>71.25</v>
      </c>
      <c r="CH176" s="853">
        <f t="shared" si="212"/>
        <v>71.25</v>
      </c>
      <c r="CI176" s="853">
        <f t="shared" si="212"/>
        <v>71.25</v>
      </c>
      <c r="CJ176" s="853">
        <f t="shared" si="212"/>
        <v>71.25</v>
      </c>
      <c r="CK176" s="853">
        <f t="shared" si="212"/>
        <v>71.25</v>
      </c>
      <c r="CL176" s="853">
        <f t="shared" si="212"/>
        <v>71.25</v>
      </c>
      <c r="CM176" s="853">
        <f t="shared" si="212"/>
        <v>71.25</v>
      </c>
      <c r="CN176" s="853">
        <f t="shared" si="212"/>
        <v>71.25</v>
      </c>
      <c r="CO176" s="854">
        <f t="shared" si="169"/>
        <v>855</v>
      </c>
      <c r="CP176" s="855">
        <f t="shared" si="170"/>
        <v>2655</v>
      </c>
    </row>
    <row r="177" spans="1:94" s="838" customFormat="1">
      <c r="A177" s="856">
        <v>30</v>
      </c>
      <c r="B177" s="846" t="s">
        <v>1705</v>
      </c>
      <c r="C177" s="847">
        <v>4</v>
      </c>
      <c r="D177" s="847">
        <f>'Xpert needs'!AC90*40%</f>
        <v>600</v>
      </c>
      <c r="E177" s="847">
        <f t="shared" si="202"/>
        <v>50</v>
      </c>
      <c r="F177" s="848">
        <f t="shared" si="151"/>
        <v>2.6086956521739131</v>
      </c>
      <c r="G177" s="849">
        <f t="shared" si="152"/>
        <v>0.65217391304347827</v>
      </c>
      <c r="H177" s="847">
        <f t="shared" si="203"/>
        <v>600</v>
      </c>
      <c r="I177" s="847">
        <f t="shared" si="204"/>
        <v>50</v>
      </c>
      <c r="J177" s="848">
        <f t="shared" si="155"/>
        <v>2.6086956521739131</v>
      </c>
      <c r="K177" s="849">
        <f t="shared" si="205"/>
        <v>0.65217391304347827</v>
      </c>
      <c r="L177" s="883">
        <f>H177*95%</f>
        <v>570</v>
      </c>
      <c r="M177" s="847">
        <f t="shared" si="206"/>
        <v>47.5</v>
      </c>
      <c r="N177" s="848">
        <f t="shared" si="159"/>
        <v>2.4782608695652173</v>
      </c>
      <c r="O177" s="849">
        <f t="shared" si="207"/>
        <v>0.61956521739130432</v>
      </c>
      <c r="P177" s="857">
        <v>1</v>
      </c>
      <c r="Q177" s="850">
        <v>1</v>
      </c>
      <c r="R177" s="850">
        <v>1</v>
      </c>
      <c r="S177" s="850">
        <v>1</v>
      </c>
      <c r="T177" s="850">
        <v>1</v>
      </c>
      <c r="U177" s="850">
        <v>1</v>
      </c>
      <c r="V177" s="850">
        <v>1</v>
      </c>
      <c r="W177" s="850">
        <v>1</v>
      </c>
      <c r="X177" s="850">
        <v>1</v>
      </c>
      <c r="Y177" s="850">
        <v>1</v>
      </c>
      <c r="Z177" s="850">
        <v>1</v>
      </c>
      <c r="AA177" s="850">
        <v>1</v>
      </c>
      <c r="AB177" s="851">
        <f t="shared" si="161"/>
        <v>1</v>
      </c>
      <c r="AC177" s="850">
        <v>1</v>
      </c>
      <c r="AD177" s="850">
        <v>1</v>
      </c>
      <c r="AE177" s="850">
        <v>1</v>
      </c>
      <c r="AF177" s="850">
        <v>1</v>
      </c>
      <c r="AG177" s="850">
        <v>1</v>
      </c>
      <c r="AH177" s="850">
        <v>1</v>
      </c>
      <c r="AI177" s="850">
        <v>1</v>
      </c>
      <c r="AJ177" s="850">
        <v>1</v>
      </c>
      <c r="AK177" s="850">
        <v>1</v>
      </c>
      <c r="AL177" s="850">
        <v>1</v>
      </c>
      <c r="AM177" s="850">
        <v>1</v>
      </c>
      <c r="AN177" s="850">
        <v>1</v>
      </c>
      <c r="AO177" s="851">
        <f t="shared" si="208"/>
        <v>1</v>
      </c>
      <c r="AP177" s="850">
        <v>1</v>
      </c>
      <c r="AQ177" s="850">
        <v>1</v>
      </c>
      <c r="AR177" s="850">
        <v>1</v>
      </c>
      <c r="AS177" s="850">
        <v>1</v>
      </c>
      <c r="AT177" s="850">
        <v>1</v>
      </c>
      <c r="AU177" s="850">
        <v>1</v>
      </c>
      <c r="AV177" s="850">
        <v>1</v>
      </c>
      <c r="AW177" s="850">
        <v>1</v>
      </c>
      <c r="AX177" s="850">
        <v>1</v>
      </c>
      <c r="AY177" s="850">
        <v>1</v>
      </c>
      <c r="AZ177" s="850">
        <v>1</v>
      </c>
      <c r="BA177" s="850">
        <v>1</v>
      </c>
      <c r="BB177" s="851">
        <f t="shared" si="209"/>
        <v>1</v>
      </c>
      <c r="BC177" s="853">
        <f t="shared" si="210"/>
        <v>50</v>
      </c>
      <c r="BD177" s="853">
        <f t="shared" si="210"/>
        <v>50</v>
      </c>
      <c r="BE177" s="853">
        <f t="shared" si="210"/>
        <v>50</v>
      </c>
      <c r="BF177" s="853">
        <f t="shared" si="210"/>
        <v>50</v>
      </c>
      <c r="BG177" s="853">
        <f t="shared" si="210"/>
        <v>50</v>
      </c>
      <c r="BH177" s="853">
        <f t="shared" si="210"/>
        <v>50</v>
      </c>
      <c r="BI177" s="853">
        <f t="shared" si="210"/>
        <v>50</v>
      </c>
      <c r="BJ177" s="853">
        <f t="shared" si="210"/>
        <v>50</v>
      </c>
      <c r="BK177" s="853">
        <f t="shared" si="210"/>
        <v>50</v>
      </c>
      <c r="BL177" s="853">
        <f t="shared" si="210"/>
        <v>50</v>
      </c>
      <c r="BM177" s="853">
        <f t="shared" si="210"/>
        <v>50</v>
      </c>
      <c r="BN177" s="853">
        <f t="shared" si="210"/>
        <v>50</v>
      </c>
      <c r="BO177" s="854">
        <f t="shared" si="165"/>
        <v>600</v>
      </c>
      <c r="BP177" s="853">
        <f t="shared" si="211"/>
        <v>50</v>
      </c>
      <c r="BQ177" s="853">
        <f t="shared" si="211"/>
        <v>50</v>
      </c>
      <c r="BR177" s="853">
        <f t="shared" si="211"/>
        <v>50</v>
      </c>
      <c r="BS177" s="853">
        <f t="shared" si="211"/>
        <v>50</v>
      </c>
      <c r="BT177" s="853">
        <f t="shared" si="211"/>
        <v>50</v>
      </c>
      <c r="BU177" s="853">
        <f t="shared" si="211"/>
        <v>50</v>
      </c>
      <c r="BV177" s="853">
        <f t="shared" si="211"/>
        <v>50</v>
      </c>
      <c r="BW177" s="853">
        <f t="shared" si="211"/>
        <v>50</v>
      </c>
      <c r="BX177" s="853">
        <f t="shared" si="211"/>
        <v>50</v>
      </c>
      <c r="BY177" s="853">
        <f t="shared" si="211"/>
        <v>50</v>
      </c>
      <c r="BZ177" s="853">
        <f t="shared" si="211"/>
        <v>50</v>
      </c>
      <c r="CA177" s="853">
        <f t="shared" si="211"/>
        <v>50</v>
      </c>
      <c r="CB177" s="854">
        <f t="shared" si="167"/>
        <v>600</v>
      </c>
      <c r="CC177" s="853">
        <f t="shared" si="212"/>
        <v>47.5</v>
      </c>
      <c r="CD177" s="853">
        <f t="shared" si="212"/>
        <v>47.5</v>
      </c>
      <c r="CE177" s="853">
        <f t="shared" si="212"/>
        <v>47.5</v>
      </c>
      <c r="CF177" s="853">
        <f t="shared" si="212"/>
        <v>47.5</v>
      </c>
      <c r="CG177" s="853">
        <f t="shared" si="212"/>
        <v>47.5</v>
      </c>
      <c r="CH177" s="853">
        <f t="shared" si="212"/>
        <v>47.5</v>
      </c>
      <c r="CI177" s="853">
        <f t="shared" si="212"/>
        <v>47.5</v>
      </c>
      <c r="CJ177" s="853">
        <f t="shared" si="212"/>
        <v>47.5</v>
      </c>
      <c r="CK177" s="853">
        <f t="shared" si="212"/>
        <v>47.5</v>
      </c>
      <c r="CL177" s="853">
        <f t="shared" si="212"/>
        <v>47.5</v>
      </c>
      <c r="CM177" s="853">
        <f t="shared" si="212"/>
        <v>47.5</v>
      </c>
      <c r="CN177" s="853">
        <f t="shared" si="212"/>
        <v>47.5</v>
      </c>
      <c r="CO177" s="854">
        <f t="shared" si="169"/>
        <v>570</v>
      </c>
      <c r="CP177" s="855">
        <f t="shared" si="170"/>
        <v>1770</v>
      </c>
    </row>
    <row r="178" spans="1:94" s="838" customFormat="1">
      <c r="A178" s="856">
        <v>31</v>
      </c>
      <c r="B178" s="846" t="s">
        <v>1337</v>
      </c>
      <c r="C178" s="859">
        <v>4</v>
      </c>
      <c r="D178" s="847">
        <f>'Xpert needs'!AC91</f>
        <v>500</v>
      </c>
      <c r="E178" s="847">
        <f t="shared" si="202"/>
        <v>41.666666666666664</v>
      </c>
      <c r="F178" s="848">
        <f t="shared" si="151"/>
        <v>2.1739130434782608</v>
      </c>
      <c r="G178" s="849">
        <f t="shared" si="152"/>
        <v>0.54347826086956519</v>
      </c>
      <c r="H178" s="847">
        <f t="shared" si="203"/>
        <v>500</v>
      </c>
      <c r="I178" s="847">
        <f t="shared" si="204"/>
        <v>41.666666666666664</v>
      </c>
      <c r="J178" s="848">
        <f t="shared" si="155"/>
        <v>2.1739130434782608</v>
      </c>
      <c r="K178" s="849">
        <f t="shared" si="205"/>
        <v>0.54347826086956519</v>
      </c>
      <c r="L178" s="847">
        <f t="shared" ref="L178" si="213">H178</f>
        <v>500</v>
      </c>
      <c r="M178" s="847">
        <f t="shared" si="206"/>
        <v>41.666666666666664</v>
      </c>
      <c r="N178" s="848">
        <f t="shared" si="159"/>
        <v>2.1739130434782608</v>
      </c>
      <c r="O178" s="849">
        <f t="shared" si="207"/>
        <v>0.54347826086956519</v>
      </c>
      <c r="P178" s="852">
        <v>0.5</v>
      </c>
      <c r="Q178" s="850">
        <v>0.5</v>
      </c>
      <c r="R178" s="850">
        <v>0.5</v>
      </c>
      <c r="S178" s="850">
        <v>0.5</v>
      </c>
      <c r="T178" s="850">
        <v>0.5</v>
      </c>
      <c r="U178" s="850">
        <v>0.5</v>
      </c>
      <c r="V178" s="850">
        <v>0.5</v>
      </c>
      <c r="W178" s="850">
        <v>0.5</v>
      </c>
      <c r="X178" s="850">
        <v>0.5</v>
      </c>
      <c r="Y178" s="850">
        <v>0.5</v>
      </c>
      <c r="Z178" s="850">
        <v>0.5</v>
      </c>
      <c r="AA178" s="850">
        <v>0.5</v>
      </c>
      <c r="AB178" s="851">
        <f t="shared" si="161"/>
        <v>0.50000000000000011</v>
      </c>
      <c r="AC178" s="850">
        <v>0.6</v>
      </c>
      <c r="AD178" s="850">
        <v>0.65</v>
      </c>
      <c r="AE178" s="850">
        <v>0.7</v>
      </c>
      <c r="AF178" s="850">
        <v>0.75</v>
      </c>
      <c r="AG178" s="850">
        <v>0.8</v>
      </c>
      <c r="AH178" s="850">
        <v>0.85</v>
      </c>
      <c r="AI178" s="850">
        <v>0.9</v>
      </c>
      <c r="AJ178" s="850">
        <v>0.95</v>
      </c>
      <c r="AK178" s="850">
        <v>1</v>
      </c>
      <c r="AL178" s="850">
        <v>1</v>
      </c>
      <c r="AM178" s="850">
        <v>1</v>
      </c>
      <c r="AN178" s="850">
        <v>1</v>
      </c>
      <c r="AO178" s="851">
        <f t="shared" si="208"/>
        <v>0.85000000000000009</v>
      </c>
      <c r="AP178" s="850">
        <v>1</v>
      </c>
      <c r="AQ178" s="850">
        <v>1</v>
      </c>
      <c r="AR178" s="850">
        <v>1</v>
      </c>
      <c r="AS178" s="850">
        <v>1</v>
      </c>
      <c r="AT178" s="850">
        <v>1</v>
      </c>
      <c r="AU178" s="850">
        <v>1</v>
      </c>
      <c r="AV178" s="850">
        <v>1</v>
      </c>
      <c r="AW178" s="850">
        <v>1</v>
      </c>
      <c r="AX178" s="850">
        <v>1</v>
      </c>
      <c r="AY178" s="850">
        <v>1</v>
      </c>
      <c r="AZ178" s="850">
        <v>1</v>
      </c>
      <c r="BA178" s="850">
        <v>1</v>
      </c>
      <c r="BB178" s="851">
        <f t="shared" si="209"/>
        <v>1.0000000000000002</v>
      </c>
      <c r="BC178" s="853">
        <f t="shared" si="210"/>
        <v>20.833333333333332</v>
      </c>
      <c r="BD178" s="853">
        <f t="shared" si="210"/>
        <v>20.833333333333332</v>
      </c>
      <c r="BE178" s="853">
        <f t="shared" si="210"/>
        <v>20.833333333333332</v>
      </c>
      <c r="BF178" s="853">
        <f t="shared" si="210"/>
        <v>20.833333333333332</v>
      </c>
      <c r="BG178" s="853">
        <f t="shared" si="210"/>
        <v>20.833333333333332</v>
      </c>
      <c r="BH178" s="853">
        <f t="shared" si="210"/>
        <v>20.833333333333332</v>
      </c>
      <c r="BI178" s="853">
        <f t="shared" si="210"/>
        <v>20.833333333333332</v>
      </c>
      <c r="BJ178" s="853">
        <f t="shared" si="210"/>
        <v>20.833333333333332</v>
      </c>
      <c r="BK178" s="853">
        <f t="shared" si="210"/>
        <v>20.833333333333332</v>
      </c>
      <c r="BL178" s="853">
        <f t="shared" si="210"/>
        <v>20.833333333333332</v>
      </c>
      <c r="BM178" s="853">
        <f t="shared" si="210"/>
        <v>20.833333333333332</v>
      </c>
      <c r="BN178" s="853">
        <f t="shared" si="210"/>
        <v>20.833333333333332</v>
      </c>
      <c r="BO178" s="854">
        <f t="shared" si="165"/>
        <v>250.00000000000003</v>
      </c>
      <c r="BP178" s="853">
        <f t="shared" si="211"/>
        <v>24.999999999999996</v>
      </c>
      <c r="BQ178" s="853">
        <f t="shared" si="211"/>
        <v>27.083333333333332</v>
      </c>
      <c r="BR178" s="853">
        <f t="shared" si="211"/>
        <v>29.166666666666664</v>
      </c>
      <c r="BS178" s="853">
        <f t="shared" si="211"/>
        <v>31.25</v>
      </c>
      <c r="BT178" s="853">
        <f t="shared" si="211"/>
        <v>33.333333333333336</v>
      </c>
      <c r="BU178" s="853">
        <f t="shared" si="211"/>
        <v>35.416666666666664</v>
      </c>
      <c r="BV178" s="853">
        <f t="shared" si="211"/>
        <v>37.5</v>
      </c>
      <c r="BW178" s="853">
        <f t="shared" si="211"/>
        <v>39.583333333333329</v>
      </c>
      <c r="BX178" s="853">
        <f t="shared" si="211"/>
        <v>41.666666666666664</v>
      </c>
      <c r="BY178" s="853">
        <f t="shared" si="211"/>
        <v>41.666666666666664</v>
      </c>
      <c r="BZ178" s="853">
        <f t="shared" si="211"/>
        <v>41.666666666666664</v>
      </c>
      <c r="CA178" s="853">
        <f t="shared" si="211"/>
        <v>41.666666666666664</v>
      </c>
      <c r="CB178" s="854">
        <f t="shared" si="167"/>
        <v>425.00000000000006</v>
      </c>
      <c r="CC178" s="853">
        <f t="shared" si="212"/>
        <v>41.666666666666664</v>
      </c>
      <c r="CD178" s="853">
        <f t="shared" si="212"/>
        <v>41.666666666666664</v>
      </c>
      <c r="CE178" s="853">
        <f t="shared" si="212"/>
        <v>41.666666666666664</v>
      </c>
      <c r="CF178" s="853">
        <f t="shared" si="212"/>
        <v>41.666666666666664</v>
      </c>
      <c r="CG178" s="853">
        <f t="shared" si="212"/>
        <v>41.666666666666664</v>
      </c>
      <c r="CH178" s="853">
        <f t="shared" si="212"/>
        <v>41.666666666666664</v>
      </c>
      <c r="CI178" s="853">
        <f t="shared" si="212"/>
        <v>41.666666666666664</v>
      </c>
      <c r="CJ178" s="853">
        <f t="shared" si="212"/>
        <v>41.666666666666664</v>
      </c>
      <c r="CK178" s="853">
        <f t="shared" si="212"/>
        <v>41.666666666666664</v>
      </c>
      <c r="CL178" s="853">
        <f t="shared" si="212"/>
        <v>41.666666666666664</v>
      </c>
      <c r="CM178" s="853">
        <f t="shared" si="212"/>
        <v>41.666666666666664</v>
      </c>
      <c r="CN178" s="853">
        <f t="shared" si="212"/>
        <v>41.666666666666664</v>
      </c>
      <c r="CO178" s="854">
        <f t="shared" si="169"/>
        <v>500.00000000000006</v>
      </c>
      <c r="CP178" s="855">
        <f t="shared" si="170"/>
        <v>1175.0000000000002</v>
      </c>
    </row>
    <row r="179" spans="1:94" s="838" customFormat="1" ht="26.65" customHeight="1">
      <c r="A179" s="860"/>
      <c r="B179" s="860" t="str">
        <f>B128</f>
        <v>TOTAL</v>
      </c>
      <c r="C179" s="861">
        <f>SUM(C175:C178)</f>
        <v>112</v>
      </c>
      <c r="D179" s="861">
        <f>SUM(D175:D178)</f>
        <v>31258.059999999994</v>
      </c>
      <c r="E179" s="861">
        <f>D179/12</f>
        <v>2604.8383333333327</v>
      </c>
      <c r="F179" s="862">
        <f t="shared" si="151"/>
        <v>135.90460869565214</v>
      </c>
      <c r="G179" s="863">
        <f t="shared" si="152"/>
        <v>1.2134340062111799</v>
      </c>
      <c r="H179" s="861">
        <f>SUM(H175:H178)</f>
        <v>31258.059999999994</v>
      </c>
      <c r="I179" s="861">
        <f>H179/12</f>
        <v>2604.8383333333327</v>
      </c>
      <c r="J179" s="862">
        <f t="shared" si="155"/>
        <v>135.90460869565214</v>
      </c>
      <c r="K179" s="863">
        <f>J179/C179</f>
        <v>1.2134340062111799</v>
      </c>
      <c r="L179" s="861">
        <f>SUM(L175:L178)</f>
        <v>30520.381999999994</v>
      </c>
      <c r="M179" s="861">
        <f>L179/12</f>
        <v>2543.365166666666</v>
      </c>
      <c r="N179" s="862">
        <f t="shared" si="159"/>
        <v>132.69731304347823</v>
      </c>
      <c r="O179" s="863">
        <f>N179/C179</f>
        <v>1.1847974378881985</v>
      </c>
      <c r="P179" s="864"/>
      <c r="Q179" s="864"/>
      <c r="R179" s="864"/>
      <c r="S179" s="864"/>
      <c r="T179" s="864"/>
      <c r="U179" s="864"/>
      <c r="V179" s="864"/>
      <c r="W179" s="864"/>
      <c r="X179" s="864"/>
      <c r="Y179" s="864"/>
      <c r="Z179" s="864"/>
      <c r="AA179" s="864"/>
      <c r="AB179" s="865">
        <f t="shared" si="161"/>
        <v>0.67286611037281263</v>
      </c>
      <c r="AC179" s="864"/>
      <c r="AD179" s="864"/>
      <c r="AE179" s="864"/>
      <c r="AF179" s="864"/>
      <c r="AG179" s="864"/>
      <c r="AH179" s="864"/>
      <c r="AI179" s="864"/>
      <c r="AJ179" s="864"/>
      <c r="AK179" s="864"/>
      <c r="AL179" s="864"/>
      <c r="AM179" s="864"/>
      <c r="AN179" s="864"/>
      <c r="AO179" s="865">
        <f>CB179/$H179</f>
        <v>0.8210563958010616</v>
      </c>
      <c r="AP179" s="864"/>
      <c r="AQ179" s="864"/>
      <c r="AR179" s="864"/>
      <c r="AS179" s="864"/>
      <c r="AT179" s="864"/>
      <c r="AU179" s="864"/>
      <c r="AV179" s="864"/>
      <c r="AW179" s="864"/>
      <c r="AX179" s="864"/>
      <c r="AY179" s="864"/>
      <c r="AZ179" s="864"/>
      <c r="BA179" s="864"/>
      <c r="BB179" s="865">
        <f>CO179/$L179</f>
        <v>0.95595721530178313</v>
      </c>
      <c r="BC179" s="866">
        <f>SUM(BC175:BC178)</f>
        <v>1681.733958333333</v>
      </c>
      <c r="BD179" s="866">
        <f t="shared" ref="BD179:BN179" si="214">SUM(BD175:BD178)</f>
        <v>1692.2427083333334</v>
      </c>
      <c r="BE179" s="866">
        <f t="shared" si="214"/>
        <v>1717.8452083333334</v>
      </c>
      <c r="BF179" s="866">
        <f t="shared" si="214"/>
        <v>1723.2114583333334</v>
      </c>
      <c r="BG179" s="866">
        <f t="shared" si="214"/>
        <v>1743.671458333333</v>
      </c>
      <c r="BH179" s="866">
        <f t="shared" si="214"/>
        <v>1758.6969583333332</v>
      </c>
      <c r="BI179" s="866">
        <f t="shared" si="214"/>
        <v>1762.0210416666666</v>
      </c>
      <c r="BJ179" s="866">
        <f t="shared" si="214"/>
        <v>1767.3872916666667</v>
      </c>
      <c r="BK179" s="866">
        <f t="shared" si="214"/>
        <v>1782.4810416666667</v>
      </c>
      <c r="BL179" s="866">
        <f t="shared" si="214"/>
        <v>1791.0035416666667</v>
      </c>
      <c r="BM179" s="866">
        <f t="shared" si="214"/>
        <v>1806.0972916666667</v>
      </c>
      <c r="BN179" s="866">
        <f t="shared" si="214"/>
        <v>1806.0972916666667</v>
      </c>
      <c r="BO179" s="867">
        <f t="shared" si="165"/>
        <v>21032.489249999995</v>
      </c>
      <c r="BP179" s="866">
        <f>SUM(BP175:BP178)</f>
        <v>1874.3243750000004</v>
      </c>
      <c r="BQ179" s="866">
        <f t="shared" ref="BQ179:CA179" si="215">SUM(BQ175:BQ178)</f>
        <v>1901.9135416666666</v>
      </c>
      <c r="BR179" s="866">
        <f t="shared" si="215"/>
        <v>1944.5964583333334</v>
      </c>
      <c r="BS179" s="866">
        <f t="shared" si="215"/>
        <v>1992.5934166666666</v>
      </c>
      <c r="BT179" s="866">
        <f t="shared" si="215"/>
        <v>2021.4592916666666</v>
      </c>
      <c r="BU179" s="866">
        <f t="shared" si="215"/>
        <v>2038.7872499999999</v>
      </c>
      <c r="BV179" s="866">
        <f t="shared" si="215"/>
        <v>2114.4669166666667</v>
      </c>
      <c r="BW179" s="866">
        <f t="shared" si="215"/>
        <v>2208.5367083333335</v>
      </c>
      <c r="BX179" s="866">
        <f t="shared" si="215"/>
        <v>2306.6677499999996</v>
      </c>
      <c r="BY179" s="866">
        <f t="shared" si="215"/>
        <v>2373.5864583333328</v>
      </c>
      <c r="BZ179" s="866">
        <f t="shared" si="215"/>
        <v>2420.4281249999995</v>
      </c>
      <c r="CA179" s="866">
        <f t="shared" si="215"/>
        <v>2467.2697916666657</v>
      </c>
      <c r="CB179" s="867">
        <f t="shared" si="167"/>
        <v>25664.630083333326</v>
      </c>
      <c r="CC179" s="866">
        <f>SUM(CC175:CC178)</f>
        <v>2417.9381783333329</v>
      </c>
      <c r="CD179" s="866">
        <f t="shared" ref="CD179:CN179" si="216">SUM(CD175:CD178)</f>
        <v>2436.9230416666664</v>
      </c>
      <c r="CE179" s="866">
        <f t="shared" si="216"/>
        <v>2446.2755416666664</v>
      </c>
      <c r="CF179" s="866">
        <f t="shared" si="216"/>
        <v>2443.0941666666663</v>
      </c>
      <c r="CG179" s="866">
        <f t="shared" si="216"/>
        <v>2443.0941666666663</v>
      </c>
      <c r="CH179" s="866">
        <f t="shared" si="216"/>
        <v>2443.0941666666663</v>
      </c>
      <c r="CI179" s="866">
        <f t="shared" si="216"/>
        <v>2430.5602916666662</v>
      </c>
      <c r="CJ179" s="866">
        <f t="shared" si="216"/>
        <v>2430.5602916666662</v>
      </c>
      <c r="CK179" s="866">
        <f t="shared" si="216"/>
        <v>2430.5602916666662</v>
      </c>
      <c r="CL179" s="866">
        <f t="shared" si="216"/>
        <v>2418.0264166666661</v>
      </c>
      <c r="CM179" s="866">
        <f t="shared" si="216"/>
        <v>2418.0264166666661</v>
      </c>
      <c r="CN179" s="866">
        <f t="shared" si="216"/>
        <v>2418.0264166666661</v>
      </c>
      <c r="CO179" s="867">
        <f t="shared" si="169"/>
        <v>29176.179386666659</v>
      </c>
      <c r="CP179" s="870">
        <f t="shared" si="170"/>
        <v>75873.298719999977</v>
      </c>
    </row>
    <row r="181" spans="1:94" ht="23.1" customHeight="1">
      <c r="B181" s="876"/>
      <c r="C181" s="874" t="s">
        <v>876</v>
      </c>
      <c r="D181" s="874" t="s">
        <v>877</v>
      </c>
      <c r="E181" s="874" t="s">
        <v>1339</v>
      </c>
      <c r="G181" s="1845" t="s">
        <v>1361</v>
      </c>
      <c r="H181" s="1845"/>
      <c r="I181" s="1845"/>
      <c r="J181" s="874" t="s">
        <v>979</v>
      </c>
      <c r="K181" s="874" t="s">
        <v>980</v>
      </c>
      <c r="L181" s="874" t="s">
        <v>1360</v>
      </c>
      <c r="M181" s="834"/>
      <c r="R181" s="872"/>
      <c r="BE181" s="872"/>
      <c r="BO181" s="882"/>
      <c r="CB181" s="882"/>
      <c r="CG181" s="875"/>
      <c r="CO181" s="882"/>
      <c r="CP181" s="882"/>
    </row>
    <row r="182" spans="1:94" ht="14.45" customHeight="1">
      <c r="B182" s="876" t="s">
        <v>1265</v>
      </c>
      <c r="C182" s="1213">
        <f>COUNTIF(C142:C178,2)</f>
        <v>14</v>
      </c>
      <c r="D182" s="878">
        <v>0</v>
      </c>
      <c r="E182" s="878">
        <f>C182-D182</f>
        <v>14</v>
      </c>
      <c r="G182" s="1846" t="s">
        <v>1362</v>
      </c>
      <c r="H182" s="1847"/>
      <c r="I182" s="1848"/>
      <c r="J182" s="879">
        <f>SUM(C144,C146,C150,C151,C156,C157,C159,C160,C164,C165,C171,C172,C173,C174,C176,C177,C178)</f>
        <v>68</v>
      </c>
      <c r="K182" s="879">
        <f>C179</f>
        <v>112</v>
      </c>
      <c r="L182" s="879">
        <f>C179</f>
        <v>112</v>
      </c>
      <c r="M182" s="834"/>
      <c r="R182" s="872"/>
      <c r="BE182" s="872"/>
      <c r="CG182" s="880"/>
    </row>
    <row r="183" spans="1:94" ht="14.45" customHeight="1">
      <c r="B183" s="876" t="s">
        <v>1264</v>
      </c>
      <c r="C183" s="1213">
        <f>COUNTIF(C142:C178,4)</f>
        <v>21</v>
      </c>
      <c r="D183" s="878">
        <v>17</v>
      </c>
      <c r="E183" s="878">
        <f>C183-D183</f>
        <v>4</v>
      </c>
      <c r="G183" s="1845" t="s">
        <v>1771</v>
      </c>
      <c r="H183" s="1845"/>
      <c r="I183" s="1845"/>
      <c r="J183" s="874" t="s">
        <v>979</v>
      </c>
      <c r="K183" s="874" t="s">
        <v>980</v>
      </c>
      <c r="L183" s="874" t="s">
        <v>1360</v>
      </c>
      <c r="M183" s="834"/>
      <c r="R183" s="872"/>
      <c r="BE183" s="872"/>
      <c r="CG183" s="875"/>
    </row>
    <row r="184" spans="1:94" ht="14.45" customHeight="1">
      <c r="B184" s="1213" t="s">
        <v>4</v>
      </c>
      <c r="C184" s="1213">
        <f>SUM(C182:C183)</f>
        <v>35</v>
      </c>
      <c r="D184" s="1213">
        <f>SUM(D182:D183)</f>
        <v>17</v>
      </c>
      <c r="E184" s="1213">
        <f t="shared" ref="E184" si="217">SUM(E182:E183)</f>
        <v>18</v>
      </c>
      <c r="G184" s="1846" t="s">
        <v>1772</v>
      </c>
      <c r="H184" s="1847"/>
      <c r="I184" s="1848"/>
      <c r="J184" s="879">
        <f>COUNTA(B144,B146,B150,B156,B157,B159,B160,B164,B176)</f>
        <v>9</v>
      </c>
      <c r="K184" s="879">
        <f>COUNTA(B142,B143,B144,B145,B146,B147,B148,B149,B150,B152,B153,B154,B155,B156,B157,B158,B159,B160,B161,B162,B163,B164,B176)</f>
        <v>23</v>
      </c>
      <c r="L184" s="879">
        <f>COUNTA(B142,B143,B144,B145,B146,B147,B148,B149,B150,B152,B153,B154,B155,B156,B157,B158,B159,B160,B161,B162,B163,B164,B176)</f>
        <v>23</v>
      </c>
      <c r="M184" s="834"/>
      <c r="R184" s="872"/>
      <c r="BE184" s="872"/>
    </row>
    <row r="185" spans="1:94" ht="14.45" customHeight="1">
      <c r="H185" s="834"/>
      <c r="I185" s="834"/>
      <c r="L185" s="834"/>
      <c r="M185" s="834"/>
      <c r="R185" s="872"/>
      <c r="BE185" s="872"/>
    </row>
  </sheetData>
  <mergeCells count="57">
    <mergeCell ref="CP140:CP141"/>
    <mergeCell ref="G181:I181"/>
    <mergeCell ref="G182:I182"/>
    <mergeCell ref="G183:I183"/>
    <mergeCell ref="G184:I184"/>
    <mergeCell ref="P140:AB140"/>
    <mergeCell ref="AC140:AO140"/>
    <mergeCell ref="AP140:BB140"/>
    <mergeCell ref="BC140:BO140"/>
    <mergeCell ref="BP140:CB140"/>
    <mergeCell ref="CC140:CO140"/>
    <mergeCell ref="L140:O140"/>
    <mergeCell ref="A140:A141"/>
    <mergeCell ref="B140:B141"/>
    <mergeCell ref="C140:C141"/>
    <mergeCell ref="D140:G140"/>
    <mergeCell ref="H140:K140"/>
    <mergeCell ref="CC81:CO81"/>
    <mergeCell ref="CP81:CP82"/>
    <mergeCell ref="G130:I130"/>
    <mergeCell ref="G131:I131"/>
    <mergeCell ref="G132:I132"/>
    <mergeCell ref="BC81:BO81"/>
    <mergeCell ref="BP81:CB81"/>
    <mergeCell ref="G133:I133"/>
    <mergeCell ref="L81:O81"/>
    <mergeCell ref="P81:AB81"/>
    <mergeCell ref="AC81:AO81"/>
    <mergeCell ref="AP81:BB81"/>
    <mergeCell ref="CP12:CP13"/>
    <mergeCell ref="G72:I72"/>
    <mergeCell ref="G73:I73"/>
    <mergeCell ref="G74:I74"/>
    <mergeCell ref="G75:I75"/>
    <mergeCell ref="P12:AB12"/>
    <mergeCell ref="AC12:AO12"/>
    <mergeCell ref="AP12:BB12"/>
    <mergeCell ref="BC12:BO12"/>
    <mergeCell ref="BP12:CB12"/>
    <mergeCell ref="CC12:CO12"/>
    <mergeCell ref="L12:O12"/>
    <mergeCell ref="A81:A82"/>
    <mergeCell ref="B81:B82"/>
    <mergeCell ref="C81:C82"/>
    <mergeCell ref="D81:G81"/>
    <mergeCell ref="H81:K81"/>
    <mergeCell ref="A12:A13"/>
    <mergeCell ref="B12:B13"/>
    <mergeCell ref="C12:C13"/>
    <mergeCell ref="D12:G12"/>
    <mergeCell ref="H12:K12"/>
    <mergeCell ref="M6:M11"/>
    <mergeCell ref="D6:D11"/>
    <mergeCell ref="E6:E11"/>
    <mergeCell ref="H6:H11"/>
    <mergeCell ref="I6:I11"/>
    <mergeCell ref="L6:L11"/>
  </mergeCells>
  <pageMargins left="0.25" right="0.25" top="0.25" bottom="0.25" header="0.3" footer="0.3"/>
  <pageSetup paperSize="9" scale="39" fitToWidth="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3"/>
  <sheetViews>
    <sheetView topLeftCell="A124" zoomScale="80" zoomScaleNormal="80" workbookViewId="0">
      <selection activeCell="B115" sqref="B115"/>
    </sheetView>
  </sheetViews>
  <sheetFormatPr defaultRowHeight="12"/>
  <cols>
    <col min="1" max="1" width="5.28515625" style="366" customWidth="1"/>
    <col min="2" max="2" width="27.7109375" style="366" customWidth="1"/>
    <col min="3" max="3" width="11" style="366" customWidth="1"/>
    <col min="4" max="4" width="12.5703125" style="366" customWidth="1"/>
    <col min="5" max="5" width="18.140625" style="366" customWidth="1"/>
    <col min="6" max="6" width="22.140625" style="366" customWidth="1"/>
    <col min="7" max="7" width="8.85546875" style="366" customWidth="1"/>
    <col min="8" max="8" width="12.28515625" style="366" customWidth="1"/>
    <col min="9" max="9" width="10.28515625" style="366" customWidth="1"/>
    <col min="10" max="10" width="11" style="366" customWidth="1"/>
    <col min="11" max="11" width="8.85546875" style="366" customWidth="1"/>
    <col min="12" max="12" width="10.28515625" style="366" customWidth="1"/>
    <col min="13" max="13" width="11.5703125" style="366" customWidth="1"/>
    <col min="14" max="21" width="10.28515625" style="366" customWidth="1"/>
    <col min="22" max="22" width="11.28515625" style="366" customWidth="1"/>
    <col min="23" max="25" width="10.28515625" style="366" customWidth="1"/>
    <col min="26" max="28" width="11.5703125" style="366" customWidth="1"/>
    <col min="29" max="31" width="12.5703125" style="366" customWidth="1"/>
    <col min="32" max="256" width="8.85546875" style="366"/>
    <col min="257" max="257" width="3.85546875" style="366" customWidth="1"/>
    <col min="258" max="258" width="27.7109375" style="366" customWidth="1"/>
    <col min="259" max="260" width="8.85546875" style="366"/>
    <col min="261" max="261" width="13.85546875" style="366" customWidth="1"/>
    <col min="262" max="262" width="22.140625" style="366" customWidth="1"/>
    <col min="263" max="263" width="8.85546875" style="366"/>
    <col min="264" max="264" width="8.140625" style="366" customWidth="1"/>
    <col min="265" max="265" width="10.28515625" style="366" customWidth="1"/>
    <col min="266" max="266" width="11" style="366" customWidth="1"/>
    <col min="267" max="267" width="8.85546875" style="366"/>
    <col min="268" max="277" width="10.28515625" style="366" customWidth="1"/>
    <col min="278" max="278" width="11.28515625" style="366" customWidth="1"/>
    <col min="279" max="281" width="10.28515625" style="366" customWidth="1"/>
    <col min="282" max="512" width="8.85546875" style="366"/>
    <col min="513" max="513" width="3.85546875" style="366" customWidth="1"/>
    <col min="514" max="514" width="27.7109375" style="366" customWidth="1"/>
    <col min="515" max="516" width="8.85546875" style="366"/>
    <col min="517" max="517" width="13.85546875" style="366" customWidth="1"/>
    <col min="518" max="518" width="22.140625" style="366" customWidth="1"/>
    <col min="519" max="519" width="8.85546875" style="366"/>
    <col min="520" max="520" width="8.140625" style="366" customWidth="1"/>
    <col min="521" max="521" width="10.28515625" style="366" customWidth="1"/>
    <col min="522" max="522" width="11" style="366" customWidth="1"/>
    <col min="523" max="523" width="8.85546875" style="366"/>
    <col min="524" max="533" width="10.28515625" style="366" customWidth="1"/>
    <col min="534" max="534" width="11.28515625" style="366" customWidth="1"/>
    <col min="535" max="537" width="10.28515625" style="366" customWidth="1"/>
    <col min="538" max="768" width="8.85546875" style="366"/>
    <col min="769" max="769" width="3.85546875" style="366" customWidth="1"/>
    <col min="770" max="770" width="27.7109375" style="366" customWidth="1"/>
    <col min="771" max="772" width="8.85546875" style="366"/>
    <col min="773" max="773" width="13.85546875" style="366" customWidth="1"/>
    <col min="774" max="774" width="22.140625" style="366" customWidth="1"/>
    <col min="775" max="775" width="8.85546875" style="366"/>
    <col min="776" max="776" width="8.140625" style="366" customWidth="1"/>
    <col min="777" max="777" width="10.28515625" style="366" customWidth="1"/>
    <col min="778" max="778" width="11" style="366" customWidth="1"/>
    <col min="779" max="779" width="8.85546875" style="366"/>
    <col min="780" max="789" width="10.28515625" style="366" customWidth="1"/>
    <col min="790" max="790" width="11.28515625" style="366" customWidth="1"/>
    <col min="791" max="793" width="10.28515625" style="366" customWidth="1"/>
    <col min="794" max="1024" width="8.85546875" style="366"/>
    <col min="1025" max="1025" width="3.85546875" style="366" customWidth="1"/>
    <col min="1026" max="1026" width="27.7109375" style="366" customWidth="1"/>
    <col min="1027" max="1028" width="8.85546875" style="366"/>
    <col min="1029" max="1029" width="13.85546875" style="366" customWidth="1"/>
    <col min="1030" max="1030" width="22.140625" style="366" customWidth="1"/>
    <col min="1031" max="1031" width="8.85546875" style="366"/>
    <col min="1032" max="1032" width="8.140625" style="366" customWidth="1"/>
    <col min="1033" max="1033" width="10.28515625" style="366" customWidth="1"/>
    <col min="1034" max="1034" width="11" style="366" customWidth="1"/>
    <col min="1035" max="1035" width="8.85546875" style="366"/>
    <col min="1036" max="1045" width="10.28515625" style="366" customWidth="1"/>
    <col min="1046" max="1046" width="11.28515625" style="366" customWidth="1"/>
    <col min="1047" max="1049" width="10.28515625" style="366" customWidth="1"/>
    <col min="1050" max="1280" width="8.85546875" style="366"/>
    <col min="1281" max="1281" width="3.85546875" style="366" customWidth="1"/>
    <col min="1282" max="1282" width="27.7109375" style="366" customWidth="1"/>
    <col min="1283" max="1284" width="8.85546875" style="366"/>
    <col min="1285" max="1285" width="13.85546875" style="366" customWidth="1"/>
    <col min="1286" max="1286" width="22.140625" style="366" customWidth="1"/>
    <col min="1287" max="1287" width="8.85546875" style="366"/>
    <col min="1288" max="1288" width="8.140625" style="366" customWidth="1"/>
    <col min="1289" max="1289" width="10.28515625" style="366" customWidth="1"/>
    <col min="1290" max="1290" width="11" style="366" customWidth="1"/>
    <col min="1291" max="1291" width="8.85546875" style="366"/>
    <col min="1292" max="1301" width="10.28515625" style="366" customWidth="1"/>
    <col min="1302" max="1302" width="11.28515625" style="366" customWidth="1"/>
    <col min="1303" max="1305" width="10.28515625" style="366" customWidth="1"/>
    <col min="1306" max="1536" width="8.85546875" style="366"/>
    <col min="1537" max="1537" width="3.85546875" style="366" customWidth="1"/>
    <col min="1538" max="1538" width="27.7109375" style="366" customWidth="1"/>
    <col min="1539" max="1540" width="8.85546875" style="366"/>
    <col min="1541" max="1541" width="13.85546875" style="366" customWidth="1"/>
    <col min="1542" max="1542" width="22.140625" style="366" customWidth="1"/>
    <col min="1543" max="1543" width="8.85546875" style="366"/>
    <col min="1544" max="1544" width="8.140625" style="366" customWidth="1"/>
    <col min="1545" max="1545" width="10.28515625" style="366" customWidth="1"/>
    <col min="1546" max="1546" width="11" style="366" customWidth="1"/>
    <col min="1547" max="1547" width="8.85546875" style="366"/>
    <col min="1548" max="1557" width="10.28515625" style="366" customWidth="1"/>
    <col min="1558" max="1558" width="11.28515625" style="366" customWidth="1"/>
    <col min="1559" max="1561" width="10.28515625" style="366" customWidth="1"/>
    <col min="1562" max="1792" width="8.85546875" style="366"/>
    <col min="1793" max="1793" width="3.85546875" style="366" customWidth="1"/>
    <col min="1794" max="1794" width="27.7109375" style="366" customWidth="1"/>
    <col min="1795" max="1796" width="8.85546875" style="366"/>
    <col min="1797" max="1797" width="13.85546875" style="366" customWidth="1"/>
    <col min="1798" max="1798" width="22.140625" style="366" customWidth="1"/>
    <col min="1799" max="1799" width="8.85546875" style="366"/>
    <col min="1800" max="1800" width="8.140625" style="366" customWidth="1"/>
    <col min="1801" max="1801" width="10.28515625" style="366" customWidth="1"/>
    <col min="1802" max="1802" width="11" style="366" customWidth="1"/>
    <col min="1803" max="1803" width="8.85546875" style="366"/>
    <col min="1804" max="1813" width="10.28515625" style="366" customWidth="1"/>
    <col min="1814" max="1814" width="11.28515625" style="366" customWidth="1"/>
    <col min="1815" max="1817" width="10.28515625" style="366" customWidth="1"/>
    <col min="1818" max="2048" width="8.85546875" style="366"/>
    <col min="2049" max="2049" width="3.85546875" style="366" customWidth="1"/>
    <col min="2050" max="2050" width="27.7109375" style="366" customWidth="1"/>
    <col min="2051" max="2052" width="8.85546875" style="366"/>
    <col min="2053" max="2053" width="13.85546875" style="366" customWidth="1"/>
    <col min="2054" max="2054" width="22.140625" style="366" customWidth="1"/>
    <col min="2055" max="2055" width="8.85546875" style="366"/>
    <col min="2056" max="2056" width="8.140625" style="366" customWidth="1"/>
    <col min="2057" max="2057" width="10.28515625" style="366" customWidth="1"/>
    <col min="2058" max="2058" width="11" style="366" customWidth="1"/>
    <col min="2059" max="2059" width="8.85546875" style="366"/>
    <col min="2060" max="2069" width="10.28515625" style="366" customWidth="1"/>
    <col min="2070" max="2070" width="11.28515625" style="366" customWidth="1"/>
    <col min="2071" max="2073" width="10.28515625" style="366" customWidth="1"/>
    <col min="2074" max="2304" width="8.85546875" style="366"/>
    <col min="2305" max="2305" width="3.85546875" style="366" customWidth="1"/>
    <col min="2306" max="2306" width="27.7109375" style="366" customWidth="1"/>
    <col min="2307" max="2308" width="8.85546875" style="366"/>
    <col min="2309" max="2309" width="13.85546875" style="366" customWidth="1"/>
    <col min="2310" max="2310" width="22.140625" style="366" customWidth="1"/>
    <col min="2311" max="2311" width="8.85546875" style="366"/>
    <col min="2312" max="2312" width="8.140625" style="366" customWidth="1"/>
    <col min="2313" max="2313" width="10.28515625" style="366" customWidth="1"/>
    <col min="2314" max="2314" width="11" style="366" customWidth="1"/>
    <col min="2315" max="2315" width="8.85546875" style="366"/>
    <col min="2316" max="2325" width="10.28515625" style="366" customWidth="1"/>
    <col min="2326" max="2326" width="11.28515625" style="366" customWidth="1"/>
    <col min="2327" max="2329" width="10.28515625" style="366" customWidth="1"/>
    <col min="2330" max="2560" width="8.85546875" style="366"/>
    <col min="2561" max="2561" width="3.85546875" style="366" customWidth="1"/>
    <col min="2562" max="2562" width="27.7109375" style="366" customWidth="1"/>
    <col min="2563" max="2564" width="8.85546875" style="366"/>
    <col min="2565" max="2565" width="13.85546875" style="366" customWidth="1"/>
    <col min="2566" max="2566" width="22.140625" style="366" customWidth="1"/>
    <col min="2567" max="2567" width="8.85546875" style="366"/>
    <col min="2568" max="2568" width="8.140625" style="366" customWidth="1"/>
    <col min="2569" max="2569" width="10.28515625" style="366" customWidth="1"/>
    <col min="2570" max="2570" width="11" style="366" customWidth="1"/>
    <col min="2571" max="2571" width="8.85546875" style="366"/>
    <col min="2572" max="2581" width="10.28515625" style="366" customWidth="1"/>
    <col min="2582" max="2582" width="11.28515625" style="366" customWidth="1"/>
    <col min="2583" max="2585" width="10.28515625" style="366" customWidth="1"/>
    <col min="2586" max="2816" width="8.85546875" style="366"/>
    <col min="2817" max="2817" width="3.85546875" style="366" customWidth="1"/>
    <col min="2818" max="2818" width="27.7109375" style="366" customWidth="1"/>
    <col min="2819" max="2820" width="8.85546875" style="366"/>
    <col min="2821" max="2821" width="13.85546875" style="366" customWidth="1"/>
    <col min="2822" max="2822" width="22.140625" style="366" customWidth="1"/>
    <col min="2823" max="2823" width="8.85546875" style="366"/>
    <col min="2824" max="2824" width="8.140625" style="366" customWidth="1"/>
    <col min="2825" max="2825" width="10.28515625" style="366" customWidth="1"/>
    <col min="2826" max="2826" width="11" style="366" customWidth="1"/>
    <col min="2827" max="2827" width="8.85546875" style="366"/>
    <col min="2828" max="2837" width="10.28515625" style="366" customWidth="1"/>
    <col min="2838" max="2838" width="11.28515625" style="366" customWidth="1"/>
    <col min="2839" max="2841" width="10.28515625" style="366" customWidth="1"/>
    <col min="2842" max="3072" width="8.85546875" style="366"/>
    <col min="3073" max="3073" width="3.85546875" style="366" customWidth="1"/>
    <col min="3074" max="3074" width="27.7109375" style="366" customWidth="1"/>
    <col min="3075" max="3076" width="8.85546875" style="366"/>
    <col min="3077" max="3077" width="13.85546875" style="366" customWidth="1"/>
    <col min="3078" max="3078" width="22.140625" style="366" customWidth="1"/>
    <col min="3079" max="3079" width="8.85546875" style="366"/>
    <col min="3080" max="3080" width="8.140625" style="366" customWidth="1"/>
    <col min="3081" max="3081" width="10.28515625" style="366" customWidth="1"/>
    <col min="3082" max="3082" width="11" style="366" customWidth="1"/>
    <col min="3083" max="3083" width="8.85546875" style="366"/>
    <col min="3084" max="3093" width="10.28515625" style="366" customWidth="1"/>
    <col min="3094" max="3094" width="11.28515625" style="366" customWidth="1"/>
    <col min="3095" max="3097" width="10.28515625" style="366" customWidth="1"/>
    <col min="3098" max="3328" width="8.85546875" style="366"/>
    <col min="3329" max="3329" width="3.85546875" style="366" customWidth="1"/>
    <col min="3330" max="3330" width="27.7109375" style="366" customWidth="1"/>
    <col min="3331" max="3332" width="8.85546875" style="366"/>
    <col min="3333" max="3333" width="13.85546875" style="366" customWidth="1"/>
    <col min="3334" max="3334" width="22.140625" style="366" customWidth="1"/>
    <col min="3335" max="3335" width="8.85546875" style="366"/>
    <col min="3336" max="3336" width="8.140625" style="366" customWidth="1"/>
    <col min="3337" max="3337" width="10.28515625" style="366" customWidth="1"/>
    <col min="3338" max="3338" width="11" style="366" customWidth="1"/>
    <col min="3339" max="3339" width="8.85546875" style="366"/>
    <col min="3340" max="3349" width="10.28515625" style="366" customWidth="1"/>
    <col min="3350" max="3350" width="11.28515625" style="366" customWidth="1"/>
    <col min="3351" max="3353" width="10.28515625" style="366" customWidth="1"/>
    <col min="3354" max="3584" width="8.85546875" style="366"/>
    <col min="3585" max="3585" width="3.85546875" style="366" customWidth="1"/>
    <col min="3586" max="3586" width="27.7109375" style="366" customWidth="1"/>
    <col min="3587" max="3588" width="8.85546875" style="366"/>
    <col min="3589" max="3589" width="13.85546875" style="366" customWidth="1"/>
    <col min="3590" max="3590" width="22.140625" style="366" customWidth="1"/>
    <col min="3591" max="3591" width="8.85546875" style="366"/>
    <col min="3592" max="3592" width="8.140625" style="366" customWidth="1"/>
    <col min="3593" max="3593" width="10.28515625" style="366" customWidth="1"/>
    <col min="3594" max="3594" width="11" style="366" customWidth="1"/>
    <col min="3595" max="3595" width="8.85546875" style="366"/>
    <col min="3596" max="3605" width="10.28515625" style="366" customWidth="1"/>
    <col min="3606" max="3606" width="11.28515625" style="366" customWidth="1"/>
    <col min="3607" max="3609" width="10.28515625" style="366" customWidth="1"/>
    <col min="3610" max="3840" width="8.85546875" style="366"/>
    <col min="3841" max="3841" width="3.85546875" style="366" customWidth="1"/>
    <col min="3842" max="3842" width="27.7109375" style="366" customWidth="1"/>
    <col min="3843" max="3844" width="8.85546875" style="366"/>
    <col min="3845" max="3845" width="13.85546875" style="366" customWidth="1"/>
    <col min="3846" max="3846" width="22.140625" style="366" customWidth="1"/>
    <col min="3847" max="3847" width="8.85546875" style="366"/>
    <col min="3848" max="3848" width="8.140625" style="366" customWidth="1"/>
    <col min="3849" max="3849" width="10.28515625" style="366" customWidth="1"/>
    <col min="3850" max="3850" width="11" style="366" customWidth="1"/>
    <col min="3851" max="3851" width="8.85546875" style="366"/>
    <col min="3852" max="3861" width="10.28515625" style="366" customWidth="1"/>
    <col min="3862" max="3862" width="11.28515625" style="366" customWidth="1"/>
    <col min="3863" max="3865" width="10.28515625" style="366" customWidth="1"/>
    <col min="3866" max="4096" width="8.85546875" style="366"/>
    <col min="4097" max="4097" width="3.85546875" style="366" customWidth="1"/>
    <col min="4098" max="4098" width="27.7109375" style="366" customWidth="1"/>
    <col min="4099" max="4100" width="8.85546875" style="366"/>
    <col min="4101" max="4101" width="13.85546875" style="366" customWidth="1"/>
    <col min="4102" max="4102" width="22.140625" style="366" customWidth="1"/>
    <col min="4103" max="4103" width="8.85546875" style="366"/>
    <col min="4104" max="4104" width="8.140625" style="366" customWidth="1"/>
    <col min="4105" max="4105" width="10.28515625" style="366" customWidth="1"/>
    <col min="4106" max="4106" width="11" style="366" customWidth="1"/>
    <col min="4107" max="4107" width="8.85546875" style="366"/>
    <col min="4108" max="4117" width="10.28515625" style="366" customWidth="1"/>
    <col min="4118" max="4118" width="11.28515625" style="366" customWidth="1"/>
    <col min="4119" max="4121" width="10.28515625" style="366" customWidth="1"/>
    <col min="4122" max="4352" width="8.85546875" style="366"/>
    <col min="4353" max="4353" width="3.85546875" style="366" customWidth="1"/>
    <col min="4354" max="4354" width="27.7109375" style="366" customWidth="1"/>
    <col min="4355" max="4356" width="8.85546875" style="366"/>
    <col min="4357" max="4357" width="13.85546875" style="366" customWidth="1"/>
    <col min="4358" max="4358" width="22.140625" style="366" customWidth="1"/>
    <col min="4359" max="4359" width="8.85546875" style="366"/>
    <col min="4360" max="4360" width="8.140625" style="366" customWidth="1"/>
    <col min="4361" max="4361" width="10.28515625" style="366" customWidth="1"/>
    <col min="4362" max="4362" width="11" style="366" customWidth="1"/>
    <col min="4363" max="4363" width="8.85546875" style="366"/>
    <col min="4364" max="4373" width="10.28515625" style="366" customWidth="1"/>
    <col min="4374" max="4374" width="11.28515625" style="366" customWidth="1"/>
    <col min="4375" max="4377" width="10.28515625" style="366" customWidth="1"/>
    <col min="4378" max="4608" width="8.85546875" style="366"/>
    <col min="4609" max="4609" width="3.85546875" style="366" customWidth="1"/>
    <col min="4610" max="4610" width="27.7109375" style="366" customWidth="1"/>
    <col min="4611" max="4612" width="8.85546875" style="366"/>
    <col min="4613" max="4613" width="13.85546875" style="366" customWidth="1"/>
    <col min="4614" max="4614" width="22.140625" style="366" customWidth="1"/>
    <col min="4615" max="4615" width="8.85546875" style="366"/>
    <col min="4616" max="4616" width="8.140625" style="366" customWidth="1"/>
    <col min="4617" max="4617" width="10.28515625" style="366" customWidth="1"/>
    <col min="4618" max="4618" width="11" style="366" customWidth="1"/>
    <col min="4619" max="4619" width="8.85546875" style="366"/>
    <col min="4620" max="4629" width="10.28515625" style="366" customWidth="1"/>
    <col min="4630" max="4630" width="11.28515625" style="366" customWidth="1"/>
    <col min="4631" max="4633" width="10.28515625" style="366" customWidth="1"/>
    <col min="4634" max="4864" width="8.85546875" style="366"/>
    <col min="4865" max="4865" width="3.85546875" style="366" customWidth="1"/>
    <col min="4866" max="4866" width="27.7109375" style="366" customWidth="1"/>
    <col min="4867" max="4868" width="8.85546875" style="366"/>
    <col min="4869" max="4869" width="13.85546875" style="366" customWidth="1"/>
    <col min="4870" max="4870" width="22.140625" style="366" customWidth="1"/>
    <col min="4871" max="4871" width="8.85546875" style="366"/>
    <col min="4872" max="4872" width="8.140625" style="366" customWidth="1"/>
    <col min="4873" max="4873" width="10.28515625" style="366" customWidth="1"/>
    <col min="4874" max="4874" width="11" style="366" customWidth="1"/>
    <col min="4875" max="4875" width="8.85546875" style="366"/>
    <col min="4876" max="4885" width="10.28515625" style="366" customWidth="1"/>
    <col min="4886" max="4886" width="11.28515625" style="366" customWidth="1"/>
    <col min="4887" max="4889" width="10.28515625" style="366" customWidth="1"/>
    <col min="4890" max="5120" width="8.85546875" style="366"/>
    <col min="5121" max="5121" width="3.85546875" style="366" customWidth="1"/>
    <col min="5122" max="5122" width="27.7109375" style="366" customWidth="1"/>
    <col min="5123" max="5124" width="8.85546875" style="366"/>
    <col min="5125" max="5125" width="13.85546875" style="366" customWidth="1"/>
    <col min="5126" max="5126" width="22.140625" style="366" customWidth="1"/>
    <col min="5127" max="5127" width="8.85546875" style="366"/>
    <col min="5128" max="5128" width="8.140625" style="366" customWidth="1"/>
    <col min="5129" max="5129" width="10.28515625" style="366" customWidth="1"/>
    <col min="5130" max="5130" width="11" style="366" customWidth="1"/>
    <col min="5131" max="5131" width="8.85546875" style="366"/>
    <col min="5132" max="5141" width="10.28515625" style="366" customWidth="1"/>
    <col min="5142" max="5142" width="11.28515625" style="366" customWidth="1"/>
    <col min="5143" max="5145" width="10.28515625" style="366" customWidth="1"/>
    <col min="5146" max="5376" width="8.85546875" style="366"/>
    <col min="5377" max="5377" width="3.85546875" style="366" customWidth="1"/>
    <col min="5378" max="5378" width="27.7109375" style="366" customWidth="1"/>
    <col min="5379" max="5380" width="8.85546875" style="366"/>
    <col min="5381" max="5381" width="13.85546875" style="366" customWidth="1"/>
    <col min="5382" max="5382" width="22.140625" style="366" customWidth="1"/>
    <col min="5383" max="5383" width="8.85546875" style="366"/>
    <col min="5384" max="5384" width="8.140625" style="366" customWidth="1"/>
    <col min="5385" max="5385" width="10.28515625" style="366" customWidth="1"/>
    <col min="5386" max="5386" width="11" style="366" customWidth="1"/>
    <col min="5387" max="5387" width="8.85546875" style="366"/>
    <col min="5388" max="5397" width="10.28515625" style="366" customWidth="1"/>
    <col min="5398" max="5398" width="11.28515625" style="366" customWidth="1"/>
    <col min="5399" max="5401" width="10.28515625" style="366" customWidth="1"/>
    <col min="5402" max="5632" width="8.85546875" style="366"/>
    <col min="5633" max="5633" width="3.85546875" style="366" customWidth="1"/>
    <col min="5634" max="5634" width="27.7109375" style="366" customWidth="1"/>
    <col min="5635" max="5636" width="8.85546875" style="366"/>
    <col min="5637" max="5637" width="13.85546875" style="366" customWidth="1"/>
    <col min="5638" max="5638" width="22.140625" style="366" customWidth="1"/>
    <col min="5639" max="5639" width="8.85546875" style="366"/>
    <col min="5640" max="5640" width="8.140625" style="366" customWidth="1"/>
    <col min="5641" max="5641" width="10.28515625" style="366" customWidth="1"/>
    <col min="5642" max="5642" width="11" style="366" customWidth="1"/>
    <col min="5643" max="5643" width="8.85546875" style="366"/>
    <col min="5644" max="5653" width="10.28515625" style="366" customWidth="1"/>
    <col min="5654" max="5654" width="11.28515625" style="366" customWidth="1"/>
    <col min="5655" max="5657" width="10.28515625" style="366" customWidth="1"/>
    <col min="5658" max="5888" width="8.85546875" style="366"/>
    <col min="5889" max="5889" width="3.85546875" style="366" customWidth="1"/>
    <col min="5890" max="5890" width="27.7109375" style="366" customWidth="1"/>
    <col min="5891" max="5892" width="8.85546875" style="366"/>
    <col min="5893" max="5893" width="13.85546875" style="366" customWidth="1"/>
    <col min="5894" max="5894" width="22.140625" style="366" customWidth="1"/>
    <col min="5895" max="5895" width="8.85546875" style="366"/>
    <col min="5896" max="5896" width="8.140625" style="366" customWidth="1"/>
    <col min="5897" max="5897" width="10.28515625" style="366" customWidth="1"/>
    <col min="5898" max="5898" width="11" style="366" customWidth="1"/>
    <col min="5899" max="5899" width="8.85546875" style="366"/>
    <col min="5900" max="5909" width="10.28515625" style="366" customWidth="1"/>
    <col min="5910" max="5910" width="11.28515625" style="366" customWidth="1"/>
    <col min="5911" max="5913" width="10.28515625" style="366" customWidth="1"/>
    <col min="5914" max="6144" width="8.85546875" style="366"/>
    <col min="6145" max="6145" width="3.85546875" style="366" customWidth="1"/>
    <col min="6146" max="6146" width="27.7109375" style="366" customWidth="1"/>
    <col min="6147" max="6148" width="8.85546875" style="366"/>
    <col min="6149" max="6149" width="13.85546875" style="366" customWidth="1"/>
    <col min="6150" max="6150" width="22.140625" style="366" customWidth="1"/>
    <col min="6151" max="6151" width="8.85546875" style="366"/>
    <col min="6152" max="6152" width="8.140625" style="366" customWidth="1"/>
    <col min="6153" max="6153" width="10.28515625" style="366" customWidth="1"/>
    <col min="6154" max="6154" width="11" style="366" customWidth="1"/>
    <col min="6155" max="6155" width="8.85546875" style="366"/>
    <col min="6156" max="6165" width="10.28515625" style="366" customWidth="1"/>
    <col min="6166" max="6166" width="11.28515625" style="366" customWidth="1"/>
    <col min="6167" max="6169" width="10.28515625" style="366" customWidth="1"/>
    <col min="6170" max="6400" width="8.85546875" style="366"/>
    <col min="6401" max="6401" width="3.85546875" style="366" customWidth="1"/>
    <col min="6402" max="6402" width="27.7109375" style="366" customWidth="1"/>
    <col min="6403" max="6404" width="8.85546875" style="366"/>
    <col min="6405" max="6405" width="13.85546875" style="366" customWidth="1"/>
    <col min="6406" max="6406" width="22.140625" style="366" customWidth="1"/>
    <col min="6407" max="6407" width="8.85546875" style="366"/>
    <col min="6408" max="6408" width="8.140625" style="366" customWidth="1"/>
    <col min="6409" max="6409" width="10.28515625" style="366" customWidth="1"/>
    <col min="6410" max="6410" width="11" style="366" customWidth="1"/>
    <col min="6411" max="6411" width="8.85546875" style="366"/>
    <col min="6412" max="6421" width="10.28515625" style="366" customWidth="1"/>
    <col min="6422" max="6422" width="11.28515625" style="366" customWidth="1"/>
    <col min="6423" max="6425" width="10.28515625" style="366" customWidth="1"/>
    <col min="6426" max="6656" width="8.85546875" style="366"/>
    <col min="6657" max="6657" width="3.85546875" style="366" customWidth="1"/>
    <col min="6658" max="6658" width="27.7109375" style="366" customWidth="1"/>
    <col min="6659" max="6660" width="8.85546875" style="366"/>
    <col min="6661" max="6661" width="13.85546875" style="366" customWidth="1"/>
    <col min="6662" max="6662" width="22.140625" style="366" customWidth="1"/>
    <col min="6663" max="6663" width="8.85546875" style="366"/>
    <col min="6664" max="6664" width="8.140625" style="366" customWidth="1"/>
    <col min="6665" max="6665" width="10.28515625" style="366" customWidth="1"/>
    <col min="6666" max="6666" width="11" style="366" customWidth="1"/>
    <col min="6667" max="6667" width="8.85546875" style="366"/>
    <col min="6668" max="6677" width="10.28515625" style="366" customWidth="1"/>
    <col min="6678" max="6678" width="11.28515625" style="366" customWidth="1"/>
    <col min="6679" max="6681" width="10.28515625" style="366" customWidth="1"/>
    <col min="6682" max="6912" width="8.85546875" style="366"/>
    <col min="6913" max="6913" width="3.85546875" style="366" customWidth="1"/>
    <col min="6914" max="6914" width="27.7109375" style="366" customWidth="1"/>
    <col min="6915" max="6916" width="8.85546875" style="366"/>
    <col min="6917" max="6917" width="13.85546875" style="366" customWidth="1"/>
    <col min="6918" max="6918" width="22.140625" style="366" customWidth="1"/>
    <col min="6919" max="6919" width="8.85546875" style="366"/>
    <col min="6920" max="6920" width="8.140625" style="366" customWidth="1"/>
    <col min="6921" max="6921" width="10.28515625" style="366" customWidth="1"/>
    <col min="6922" max="6922" width="11" style="366" customWidth="1"/>
    <col min="6923" max="6923" width="8.85546875" style="366"/>
    <col min="6924" max="6933" width="10.28515625" style="366" customWidth="1"/>
    <col min="6934" max="6934" width="11.28515625" style="366" customWidth="1"/>
    <col min="6935" max="6937" width="10.28515625" style="366" customWidth="1"/>
    <col min="6938" max="7168" width="8.85546875" style="366"/>
    <col min="7169" max="7169" width="3.85546875" style="366" customWidth="1"/>
    <col min="7170" max="7170" width="27.7109375" style="366" customWidth="1"/>
    <col min="7171" max="7172" width="8.85546875" style="366"/>
    <col min="7173" max="7173" width="13.85546875" style="366" customWidth="1"/>
    <col min="7174" max="7174" width="22.140625" style="366" customWidth="1"/>
    <col min="7175" max="7175" width="8.85546875" style="366"/>
    <col min="7176" max="7176" width="8.140625" style="366" customWidth="1"/>
    <col min="7177" max="7177" width="10.28515625" style="366" customWidth="1"/>
    <col min="7178" max="7178" width="11" style="366" customWidth="1"/>
    <col min="7179" max="7179" width="8.85546875" style="366"/>
    <col min="7180" max="7189" width="10.28515625" style="366" customWidth="1"/>
    <col min="7190" max="7190" width="11.28515625" style="366" customWidth="1"/>
    <col min="7191" max="7193" width="10.28515625" style="366" customWidth="1"/>
    <col min="7194" max="7424" width="8.85546875" style="366"/>
    <col min="7425" max="7425" width="3.85546875" style="366" customWidth="1"/>
    <col min="7426" max="7426" width="27.7109375" style="366" customWidth="1"/>
    <col min="7427" max="7428" width="8.85546875" style="366"/>
    <col min="7429" max="7429" width="13.85546875" style="366" customWidth="1"/>
    <col min="7430" max="7430" width="22.140625" style="366" customWidth="1"/>
    <col min="7431" max="7431" width="8.85546875" style="366"/>
    <col min="7432" max="7432" width="8.140625" style="366" customWidth="1"/>
    <col min="7433" max="7433" width="10.28515625" style="366" customWidth="1"/>
    <col min="7434" max="7434" width="11" style="366" customWidth="1"/>
    <col min="7435" max="7435" width="8.85546875" style="366"/>
    <col min="7436" max="7445" width="10.28515625" style="366" customWidth="1"/>
    <col min="7446" max="7446" width="11.28515625" style="366" customWidth="1"/>
    <col min="7447" max="7449" width="10.28515625" style="366" customWidth="1"/>
    <col min="7450" max="7680" width="8.85546875" style="366"/>
    <col min="7681" max="7681" width="3.85546875" style="366" customWidth="1"/>
    <col min="7682" max="7682" width="27.7109375" style="366" customWidth="1"/>
    <col min="7683" max="7684" width="8.85546875" style="366"/>
    <col min="7685" max="7685" width="13.85546875" style="366" customWidth="1"/>
    <col min="7686" max="7686" width="22.140625" style="366" customWidth="1"/>
    <col min="7687" max="7687" width="8.85546875" style="366"/>
    <col min="7688" max="7688" width="8.140625" style="366" customWidth="1"/>
    <col min="7689" max="7689" width="10.28515625" style="366" customWidth="1"/>
    <col min="7690" max="7690" width="11" style="366" customWidth="1"/>
    <col min="7691" max="7691" width="8.85546875" style="366"/>
    <col min="7692" max="7701" width="10.28515625" style="366" customWidth="1"/>
    <col min="7702" max="7702" width="11.28515625" style="366" customWidth="1"/>
    <col min="7703" max="7705" width="10.28515625" style="366" customWidth="1"/>
    <col min="7706" max="7936" width="8.85546875" style="366"/>
    <col min="7937" max="7937" width="3.85546875" style="366" customWidth="1"/>
    <col min="7938" max="7938" width="27.7109375" style="366" customWidth="1"/>
    <col min="7939" max="7940" width="8.85546875" style="366"/>
    <col min="7941" max="7941" width="13.85546875" style="366" customWidth="1"/>
    <col min="7942" max="7942" width="22.140625" style="366" customWidth="1"/>
    <col min="7943" max="7943" width="8.85546875" style="366"/>
    <col min="7944" max="7944" width="8.140625" style="366" customWidth="1"/>
    <col min="7945" max="7945" width="10.28515625" style="366" customWidth="1"/>
    <col min="7946" max="7946" width="11" style="366" customWidth="1"/>
    <col min="7947" max="7947" width="8.85546875" style="366"/>
    <col min="7948" max="7957" width="10.28515625" style="366" customWidth="1"/>
    <col min="7958" max="7958" width="11.28515625" style="366" customWidth="1"/>
    <col min="7959" max="7961" width="10.28515625" style="366" customWidth="1"/>
    <col min="7962" max="8192" width="8.85546875" style="366"/>
    <col min="8193" max="8193" width="3.85546875" style="366" customWidth="1"/>
    <col min="8194" max="8194" width="27.7109375" style="366" customWidth="1"/>
    <col min="8195" max="8196" width="8.85546875" style="366"/>
    <col min="8197" max="8197" width="13.85546875" style="366" customWidth="1"/>
    <col min="8198" max="8198" width="22.140625" style="366" customWidth="1"/>
    <col min="8199" max="8199" width="8.85546875" style="366"/>
    <col min="8200" max="8200" width="8.140625" style="366" customWidth="1"/>
    <col min="8201" max="8201" width="10.28515625" style="366" customWidth="1"/>
    <col min="8202" max="8202" width="11" style="366" customWidth="1"/>
    <col min="8203" max="8203" width="8.85546875" style="366"/>
    <col min="8204" max="8213" width="10.28515625" style="366" customWidth="1"/>
    <col min="8214" max="8214" width="11.28515625" style="366" customWidth="1"/>
    <col min="8215" max="8217" width="10.28515625" style="366" customWidth="1"/>
    <col min="8218" max="8448" width="8.85546875" style="366"/>
    <col min="8449" max="8449" width="3.85546875" style="366" customWidth="1"/>
    <col min="8450" max="8450" width="27.7109375" style="366" customWidth="1"/>
    <col min="8451" max="8452" width="8.85546875" style="366"/>
    <col min="8453" max="8453" width="13.85546875" style="366" customWidth="1"/>
    <col min="8454" max="8454" width="22.140625" style="366" customWidth="1"/>
    <col min="8455" max="8455" width="8.85546875" style="366"/>
    <col min="8456" max="8456" width="8.140625" style="366" customWidth="1"/>
    <col min="8457" max="8457" width="10.28515625" style="366" customWidth="1"/>
    <col min="8458" max="8458" width="11" style="366" customWidth="1"/>
    <col min="8459" max="8459" width="8.85546875" style="366"/>
    <col min="8460" max="8469" width="10.28515625" style="366" customWidth="1"/>
    <col min="8470" max="8470" width="11.28515625" style="366" customWidth="1"/>
    <col min="8471" max="8473" width="10.28515625" style="366" customWidth="1"/>
    <col min="8474" max="8704" width="8.85546875" style="366"/>
    <col min="8705" max="8705" width="3.85546875" style="366" customWidth="1"/>
    <col min="8706" max="8706" width="27.7109375" style="366" customWidth="1"/>
    <col min="8707" max="8708" width="8.85546875" style="366"/>
    <col min="8709" max="8709" width="13.85546875" style="366" customWidth="1"/>
    <col min="8710" max="8710" width="22.140625" style="366" customWidth="1"/>
    <col min="8711" max="8711" width="8.85546875" style="366"/>
    <col min="8712" max="8712" width="8.140625" style="366" customWidth="1"/>
    <col min="8713" max="8713" width="10.28515625" style="366" customWidth="1"/>
    <col min="8714" max="8714" width="11" style="366" customWidth="1"/>
    <col min="8715" max="8715" width="8.85546875" style="366"/>
    <col min="8716" max="8725" width="10.28515625" style="366" customWidth="1"/>
    <col min="8726" max="8726" width="11.28515625" style="366" customWidth="1"/>
    <col min="8727" max="8729" width="10.28515625" style="366" customWidth="1"/>
    <col min="8730" max="8960" width="8.85546875" style="366"/>
    <col min="8961" max="8961" width="3.85546875" style="366" customWidth="1"/>
    <col min="8962" max="8962" width="27.7109375" style="366" customWidth="1"/>
    <col min="8963" max="8964" width="8.85546875" style="366"/>
    <col min="8965" max="8965" width="13.85546875" style="366" customWidth="1"/>
    <col min="8966" max="8966" width="22.140625" style="366" customWidth="1"/>
    <col min="8967" max="8967" width="8.85546875" style="366"/>
    <col min="8968" max="8968" width="8.140625" style="366" customWidth="1"/>
    <col min="8969" max="8969" width="10.28515625" style="366" customWidth="1"/>
    <col min="8970" max="8970" width="11" style="366" customWidth="1"/>
    <col min="8971" max="8971" width="8.85546875" style="366"/>
    <col min="8972" max="8981" width="10.28515625" style="366" customWidth="1"/>
    <col min="8982" max="8982" width="11.28515625" style="366" customWidth="1"/>
    <col min="8983" max="8985" width="10.28515625" style="366" customWidth="1"/>
    <col min="8986" max="9216" width="8.85546875" style="366"/>
    <col min="9217" max="9217" width="3.85546875" style="366" customWidth="1"/>
    <col min="9218" max="9218" width="27.7109375" style="366" customWidth="1"/>
    <col min="9219" max="9220" width="8.85546875" style="366"/>
    <col min="9221" max="9221" width="13.85546875" style="366" customWidth="1"/>
    <col min="9222" max="9222" width="22.140625" style="366" customWidth="1"/>
    <col min="9223" max="9223" width="8.85546875" style="366"/>
    <col min="9224" max="9224" width="8.140625" style="366" customWidth="1"/>
    <col min="9225" max="9225" width="10.28515625" style="366" customWidth="1"/>
    <col min="9226" max="9226" width="11" style="366" customWidth="1"/>
    <col min="9227" max="9227" width="8.85546875" style="366"/>
    <col min="9228" max="9237" width="10.28515625" style="366" customWidth="1"/>
    <col min="9238" max="9238" width="11.28515625" style="366" customWidth="1"/>
    <col min="9239" max="9241" width="10.28515625" style="366" customWidth="1"/>
    <col min="9242" max="9472" width="8.85546875" style="366"/>
    <col min="9473" max="9473" width="3.85546875" style="366" customWidth="1"/>
    <col min="9474" max="9474" width="27.7109375" style="366" customWidth="1"/>
    <col min="9475" max="9476" width="8.85546875" style="366"/>
    <col min="9477" max="9477" width="13.85546875" style="366" customWidth="1"/>
    <col min="9478" max="9478" width="22.140625" style="366" customWidth="1"/>
    <col min="9479" max="9479" width="8.85546875" style="366"/>
    <col min="9480" max="9480" width="8.140625" style="366" customWidth="1"/>
    <col min="9481" max="9481" width="10.28515625" style="366" customWidth="1"/>
    <col min="9482" max="9482" width="11" style="366" customWidth="1"/>
    <col min="9483" max="9483" width="8.85546875" style="366"/>
    <col min="9484" max="9493" width="10.28515625" style="366" customWidth="1"/>
    <col min="9494" max="9494" width="11.28515625" style="366" customWidth="1"/>
    <col min="9495" max="9497" width="10.28515625" style="366" customWidth="1"/>
    <col min="9498" max="9728" width="8.85546875" style="366"/>
    <col min="9729" max="9729" width="3.85546875" style="366" customWidth="1"/>
    <col min="9730" max="9730" width="27.7109375" style="366" customWidth="1"/>
    <col min="9731" max="9732" width="8.85546875" style="366"/>
    <col min="9733" max="9733" width="13.85546875" style="366" customWidth="1"/>
    <col min="9734" max="9734" width="22.140625" style="366" customWidth="1"/>
    <col min="9735" max="9735" width="8.85546875" style="366"/>
    <col min="9736" max="9736" width="8.140625" style="366" customWidth="1"/>
    <col min="9737" max="9737" width="10.28515625" style="366" customWidth="1"/>
    <col min="9738" max="9738" width="11" style="366" customWidth="1"/>
    <col min="9739" max="9739" width="8.85546875" style="366"/>
    <col min="9740" max="9749" width="10.28515625" style="366" customWidth="1"/>
    <col min="9750" max="9750" width="11.28515625" style="366" customWidth="1"/>
    <col min="9751" max="9753" width="10.28515625" style="366" customWidth="1"/>
    <col min="9754" max="9984" width="8.85546875" style="366"/>
    <col min="9985" max="9985" width="3.85546875" style="366" customWidth="1"/>
    <col min="9986" max="9986" width="27.7109375" style="366" customWidth="1"/>
    <col min="9987" max="9988" width="8.85546875" style="366"/>
    <col min="9989" max="9989" width="13.85546875" style="366" customWidth="1"/>
    <col min="9990" max="9990" width="22.140625" style="366" customWidth="1"/>
    <col min="9991" max="9991" width="8.85546875" style="366"/>
    <col min="9992" max="9992" width="8.140625" style="366" customWidth="1"/>
    <col min="9993" max="9993" width="10.28515625" style="366" customWidth="1"/>
    <col min="9994" max="9994" width="11" style="366" customWidth="1"/>
    <col min="9995" max="9995" width="8.85546875" style="366"/>
    <col min="9996" max="10005" width="10.28515625" style="366" customWidth="1"/>
    <col min="10006" max="10006" width="11.28515625" style="366" customWidth="1"/>
    <col min="10007" max="10009" width="10.28515625" style="366" customWidth="1"/>
    <col min="10010" max="10240" width="8.85546875" style="366"/>
    <col min="10241" max="10241" width="3.85546875" style="366" customWidth="1"/>
    <col min="10242" max="10242" width="27.7109375" style="366" customWidth="1"/>
    <col min="10243" max="10244" width="8.85546875" style="366"/>
    <col min="10245" max="10245" width="13.85546875" style="366" customWidth="1"/>
    <col min="10246" max="10246" width="22.140625" style="366" customWidth="1"/>
    <col min="10247" max="10247" width="8.85546875" style="366"/>
    <col min="10248" max="10248" width="8.140625" style="366" customWidth="1"/>
    <col min="10249" max="10249" width="10.28515625" style="366" customWidth="1"/>
    <col min="10250" max="10250" width="11" style="366" customWidth="1"/>
    <col min="10251" max="10251" width="8.85546875" style="366"/>
    <col min="10252" max="10261" width="10.28515625" style="366" customWidth="1"/>
    <col min="10262" max="10262" width="11.28515625" style="366" customWidth="1"/>
    <col min="10263" max="10265" width="10.28515625" style="366" customWidth="1"/>
    <col min="10266" max="10496" width="8.85546875" style="366"/>
    <col min="10497" max="10497" width="3.85546875" style="366" customWidth="1"/>
    <col min="10498" max="10498" width="27.7109375" style="366" customWidth="1"/>
    <col min="10499" max="10500" width="8.85546875" style="366"/>
    <col min="10501" max="10501" width="13.85546875" style="366" customWidth="1"/>
    <col min="10502" max="10502" width="22.140625" style="366" customWidth="1"/>
    <col min="10503" max="10503" width="8.85546875" style="366"/>
    <col min="10504" max="10504" width="8.140625" style="366" customWidth="1"/>
    <col min="10505" max="10505" width="10.28515625" style="366" customWidth="1"/>
    <col min="10506" max="10506" width="11" style="366" customWidth="1"/>
    <col min="10507" max="10507" width="8.85546875" style="366"/>
    <col min="10508" max="10517" width="10.28515625" style="366" customWidth="1"/>
    <col min="10518" max="10518" width="11.28515625" style="366" customWidth="1"/>
    <col min="10519" max="10521" width="10.28515625" style="366" customWidth="1"/>
    <col min="10522" max="10752" width="8.85546875" style="366"/>
    <col min="10753" max="10753" width="3.85546875" style="366" customWidth="1"/>
    <col min="10754" max="10754" width="27.7109375" style="366" customWidth="1"/>
    <col min="10755" max="10756" width="8.85546875" style="366"/>
    <col min="10757" max="10757" width="13.85546875" style="366" customWidth="1"/>
    <col min="10758" max="10758" width="22.140625" style="366" customWidth="1"/>
    <col min="10759" max="10759" width="8.85546875" style="366"/>
    <col min="10760" max="10760" width="8.140625" style="366" customWidth="1"/>
    <col min="10761" max="10761" width="10.28515625" style="366" customWidth="1"/>
    <col min="10762" max="10762" width="11" style="366" customWidth="1"/>
    <col min="10763" max="10763" width="8.85546875" style="366"/>
    <col min="10764" max="10773" width="10.28515625" style="366" customWidth="1"/>
    <col min="10774" max="10774" width="11.28515625" style="366" customWidth="1"/>
    <col min="10775" max="10777" width="10.28515625" style="366" customWidth="1"/>
    <col min="10778" max="11008" width="8.85546875" style="366"/>
    <col min="11009" max="11009" width="3.85546875" style="366" customWidth="1"/>
    <col min="11010" max="11010" width="27.7109375" style="366" customWidth="1"/>
    <col min="11011" max="11012" width="8.85546875" style="366"/>
    <col min="11013" max="11013" width="13.85546875" style="366" customWidth="1"/>
    <col min="11014" max="11014" width="22.140625" style="366" customWidth="1"/>
    <col min="11015" max="11015" width="8.85546875" style="366"/>
    <col min="11016" max="11016" width="8.140625" style="366" customWidth="1"/>
    <col min="11017" max="11017" width="10.28515625" style="366" customWidth="1"/>
    <col min="11018" max="11018" width="11" style="366" customWidth="1"/>
    <col min="11019" max="11019" width="8.85546875" style="366"/>
    <col min="11020" max="11029" width="10.28515625" style="366" customWidth="1"/>
    <col min="11030" max="11030" width="11.28515625" style="366" customWidth="1"/>
    <col min="11031" max="11033" width="10.28515625" style="366" customWidth="1"/>
    <col min="11034" max="11264" width="8.85546875" style="366"/>
    <col min="11265" max="11265" width="3.85546875" style="366" customWidth="1"/>
    <col min="11266" max="11266" width="27.7109375" style="366" customWidth="1"/>
    <col min="11267" max="11268" width="8.85546875" style="366"/>
    <col min="11269" max="11269" width="13.85546875" style="366" customWidth="1"/>
    <col min="11270" max="11270" width="22.140625" style="366" customWidth="1"/>
    <col min="11271" max="11271" width="8.85546875" style="366"/>
    <col min="11272" max="11272" width="8.140625" style="366" customWidth="1"/>
    <col min="11273" max="11273" width="10.28515625" style="366" customWidth="1"/>
    <col min="11274" max="11274" width="11" style="366" customWidth="1"/>
    <col min="11275" max="11275" width="8.85546875" style="366"/>
    <col min="11276" max="11285" width="10.28515625" style="366" customWidth="1"/>
    <col min="11286" max="11286" width="11.28515625" style="366" customWidth="1"/>
    <col min="11287" max="11289" width="10.28515625" style="366" customWidth="1"/>
    <col min="11290" max="11520" width="8.85546875" style="366"/>
    <col min="11521" max="11521" width="3.85546875" style="366" customWidth="1"/>
    <col min="11522" max="11522" width="27.7109375" style="366" customWidth="1"/>
    <col min="11523" max="11524" width="8.85546875" style="366"/>
    <col min="11525" max="11525" width="13.85546875" style="366" customWidth="1"/>
    <col min="11526" max="11526" width="22.140625" style="366" customWidth="1"/>
    <col min="11527" max="11527" width="8.85546875" style="366"/>
    <col min="11528" max="11528" width="8.140625" style="366" customWidth="1"/>
    <col min="11529" max="11529" width="10.28515625" style="366" customWidth="1"/>
    <col min="11530" max="11530" width="11" style="366" customWidth="1"/>
    <col min="11531" max="11531" width="8.85546875" style="366"/>
    <col min="11532" max="11541" width="10.28515625" style="366" customWidth="1"/>
    <col min="11542" max="11542" width="11.28515625" style="366" customWidth="1"/>
    <col min="11543" max="11545" width="10.28515625" style="366" customWidth="1"/>
    <col min="11546" max="11776" width="8.85546875" style="366"/>
    <col min="11777" max="11777" width="3.85546875" style="366" customWidth="1"/>
    <col min="11778" max="11778" width="27.7109375" style="366" customWidth="1"/>
    <col min="11779" max="11780" width="8.85546875" style="366"/>
    <col min="11781" max="11781" width="13.85546875" style="366" customWidth="1"/>
    <col min="11782" max="11782" width="22.140625" style="366" customWidth="1"/>
    <col min="11783" max="11783" width="8.85546875" style="366"/>
    <col min="11784" max="11784" width="8.140625" style="366" customWidth="1"/>
    <col min="11785" max="11785" width="10.28515625" style="366" customWidth="1"/>
    <col min="11786" max="11786" width="11" style="366" customWidth="1"/>
    <col min="11787" max="11787" width="8.85546875" style="366"/>
    <col min="11788" max="11797" width="10.28515625" style="366" customWidth="1"/>
    <col min="11798" max="11798" width="11.28515625" style="366" customWidth="1"/>
    <col min="11799" max="11801" width="10.28515625" style="366" customWidth="1"/>
    <col min="11802" max="12032" width="8.85546875" style="366"/>
    <col min="12033" max="12033" width="3.85546875" style="366" customWidth="1"/>
    <col min="12034" max="12034" width="27.7109375" style="366" customWidth="1"/>
    <col min="12035" max="12036" width="8.85546875" style="366"/>
    <col min="12037" max="12037" width="13.85546875" style="366" customWidth="1"/>
    <col min="12038" max="12038" width="22.140625" style="366" customWidth="1"/>
    <col min="12039" max="12039" width="8.85546875" style="366"/>
    <col min="12040" max="12040" width="8.140625" style="366" customWidth="1"/>
    <col min="12041" max="12041" width="10.28515625" style="366" customWidth="1"/>
    <col min="12042" max="12042" width="11" style="366" customWidth="1"/>
    <col min="12043" max="12043" width="8.85546875" style="366"/>
    <col min="12044" max="12053" width="10.28515625" style="366" customWidth="1"/>
    <col min="12054" max="12054" width="11.28515625" style="366" customWidth="1"/>
    <col min="12055" max="12057" width="10.28515625" style="366" customWidth="1"/>
    <col min="12058" max="12288" width="8.85546875" style="366"/>
    <col min="12289" max="12289" width="3.85546875" style="366" customWidth="1"/>
    <col min="12290" max="12290" width="27.7109375" style="366" customWidth="1"/>
    <col min="12291" max="12292" width="8.85546875" style="366"/>
    <col min="12293" max="12293" width="13.85546875" style="366" customWidth="1"/>
    <col min="12294" max="12294" width="22.140625" style="366" customWidth="1"/>
    <col min="12295" max="12295" width="8.85546875" style="366"/>
    <col min="12296" max="12296" width="8.140625" style="366" customWidth="1"/>
    <col min="12297" max="12297" width="10.28515625" style="366" customWidth="1"/>
    <col min="12298" max="12298" width="11" style="366" customWidth="1"/>
    <col min="12299" max="12299" width="8.85546875" style="366"/>
    <col min="12300" max="12309" width="10.28515625" style="366" customWidth="1"/>
    <col min="12310" max="12310" width="11.28515625" style="366" customWidth="1"/>
    <col min="12311" max="12313" width="10.28515625" style="366" customWidth="1"/>
    <col min="12314" max="12544" width="8.85546875" style="366"/>
    <col min="12545" max="12545" width="3.85546875" style="366" customWidth="1"/>
    <col min="12546" max="12546" width="27.7109375" style="366" customWidth="1"/>
    <col min="12547" max="12548" width="8.85546875" style="366"/>
    <col min="12549" max="12549" width="13.85546875" style="366" customWidth="1"/>
    <col min="12550" max="12550" width="22.140625" style="366" customWidth="1"/>
    <col min="12551" max="12551" width="8.85546875" style="366"/>
    <col min="12552" max="12552" width="8.140625" style="366" customWidth="1"/>
    <col min="12553" max="12553" width="10.28515625" style="366" customWidth="1"/>
    <col min="12554" max="12554" width="11" style="366" customWidth="1"/>
    <col min="12555" max="12555" width="8.85546875" style="366"/>
    <col min="12556" max="12565" width="10.28515625" style="366" customWidth="1"/>
    <col min="12566" max="12566" width="11.28515625" style="366" customWidth="1"/>
    <col min="12567" max="12569" width="10.28515625" style="366" customWidth="1"/>
    <col min="12570" max="12800" width="8.85546875" style="366"/>
    <col min="12801" max="12801" width="3.85546875" style="366" customWidth="1"/>
    <col min="12802" max="12802" width="27.7109375" style="366" customWidth="1"/>
    <col min="12803" max="12804" width="8.85546875" style="366"/>
    <col min="12805" max="12805" width="13.85546875" style="366" customWidth="1"/>
    <col min="12806" max="12806" width="22.140625" style="366" customWidth="1"/>
    <col min="12807" max="12807" width="8.85546875" style="366"/>
    <col min="12808" max="12808" width="8.140625" style="366" customWidth="1"/>
    <col min="12809" max="12809" width="10.28515625" style="366" customWidth="1"/>
    <col min="12810" max="12810" width="11" style="366" customWidth="1"/>
    <col min="12811" max="12811" width="8.85546875" style="366"/>
    <col min="12812" max="12821" width="10.28515625" style="366" customWidth="1"/>
    <col min="12822" max="12822" width="11.28515625" style="366" customWidth="1"/>
    <col min="12823" max="12825" width="10.28515625" style="366" customWidth="1"/>
    <col min="12826" max="13056" width="8.85546875" style="366"/>
    <col min="13057" max="13057" width="3.85546875" style="366" customWidth="1"/>
    <col min="13058" max="13058" width="27.7109375" style="366" customWidth="1"/>
    <col min="13059" max="13060" width="8.85546875" style="366"/>
    <col min="13061" max="13061" width="13.85546875" style="366" customWidth="1"/>
    <col min="13062" max="13062" width="22.140625" style="366" customWidth="1"/>
    <col min="13063" max="13063" width="8.85546875" style="366"/>
    <col min="13064" max="13064" width="8.140625" style="366" customWidth="1"/>
    <col min="13065" max="13065" width="10.28515625" style="366" customWidth="1"/>
    <col min="13066" max="13066" width="11" style="366" customWidth="1"/>
    <col min="13067" max="13067" width="8.85546875" style="366"/>
    <col min="13068" max="13077" width="10.28515625" style="366" customWidth="1"/>
    <col min="13078" max="13078" width="11.28515625" style="366" customWidth="1"/>
    <col min="13079" max="13081" width="10.28515625" style="366" customWidth="1"/>
    <col min="13082" max="13312" width="8.85546875" style="366"/>
    <col min="13313" max="13313" width="3.85546875" style="366" customWidth="1"/>
    <col min="13314" max="13314" width="27.7109375" style="366" customWidth="1"/>
    <col min="13315" max="13316" width="8.85546875" style="366"/>
    <col min="13317" max="13317" width="13.85546875" style="366" customWidth="1"/>
    <col min="13318" max="13318" width="22.140625" style="366" customWidth="1"/>
    <col min="13319" max="13319" width="8.85546875" style="366"/>
    <col min="13320" max="13320" width="8.140625" style="366" customWidth="1"/>
    <col min="13321" max="13321" width="10.28515625" style="366" customWidth="1"/>
    <col min="13322" max="13322" width="11" style="366" customWidth="1"/>
    <col min="13323" max="13323" width="8.85546875" style="366"/>
    <col min="13324" max="13333" width="10.28515625" style="366" customWidth="1"/>
    <col min="13334" max="13334" width="11.28515625" style="366" customWidth="1"/>
    <col min="13335" max="13337" width="10.28515625" style="366" customWidth="1"/>
    <col min="13338" max="13568" width="8.85546875" style="366"/>
    <col min="13569" max="13569" width="3.85546875" style="366" customWidth="1"/>
    <col min="13570" max="13570" width="27.7109375" style="366" customWidth="1"/>
    <col min="13571" max="13572" width="8.85546875" style="366"/>
    <col min="13573" max="13573" width="13.85546875" style="366" customWidth="1"/>
    <col min="13574" max="13574" width="22.140625" style="366" customWidth="1"/>
    <col min="13575" max="13575" width="8.85546875" style="366"/>
    <col min="13576" max="13576" width="8.140625" style="366" customWidth="1"/>
    <col min="13577" max="13577" width="10.28515625" style="366" customWidth="1"/>
    <col min="13578" max="13578" width="11" style="366" customWidth="1"/>
    <col min="13579" max="13579" width="8.85546875" style="366"/>
    <col min="13580" max="13589" width="10.28515625" style="366" customWidth="1"/>
    <col min="13590" max="13590" width="11.28515625" style="366" customWidth="1"/>
    <col min="13591" max="13593" width="10.28515625" style="366" customWidth="1"/>
    <col min="13594" max="13824" width="8.85546875" style="366"/>
    <col min="13825" max="13825" width="3.85546875" style="366" customWidth="1"/>
    <col min="13826" max="13826" width="27.7109375" style="366" customWidth="1"/>
    <col min="13827" max="13828" width="8.85546875" style="366"/>
    <col min="13829" max="13829" width="13.85546875" style="366" customWidth="1"/>
    <col min="13830" max="13830" width="22.140625" style="366" customWidth="1"/>
    <col min="13831" max="13831" width="8.85546875" style="366"/>
    <col min="13832" max="13832" width="8.140625" style="366" customWidth="1"/>
    <col min="13833" max="13833" width="10.28515625" style="366" customWidth="1"/>
    <col min="13834" max="13834" width="11" style="366" customWidth="1"/>
    <col min="13835" max="13835" width="8.85546875" style="366"/>
    <col min="13836" max="13845" width="10.28515625" style="366" customWidth="1"/>
    <col min="13846" max="13846" width="11.28515625" style="366" customWidth="1"/>
    <col min="13847" max="13849" width="10.28515625" style="366" customWidth="1"/>
    <col min="13850" max="14080" width="8.85546875" style="366"/>
    <col min="14081" max="14081" width="3.85546875" style="366" customWidth="1"/>
    <col min="14082" max="14082" width="27.7109375" style="366" customWidth="1"/>
    <col min="14083" max="14084" width="8.85546875" style="366"/>
    <col min="14085" max="14085" width="13.85546875" style="366" customWidth="1"/>
    <col min="14086" max="14086" width="22.140625" style="366" customWidth="1"/>
    <col min="14087" max="14087" width="8.85546875" style="366"/>
    <col min="14088" max="14088" width="8.140625" style="366" customWidth="1"/>
    <col min="14089" max="14089" width="10.28515625" style="366" customWidth="1"/>
    <col min="14090" max="14090" width="11" style="366" customWidth="1"/>
    <col min="14091" max="14091" width="8.85546875" style="366"/>
    <col min="14092" max="14101" width="10.28515625" style="366" customWidth="1"/>
    <col min="14102" max="14102" width="11.28515625" style="366" customWidth="1"/>
    <col min="14103" max="14105" width="10.28515625" style="366" customWidth="1"/>
    <col min="14106" max="14336" width="8.85546875" style="366"/>
    <col min="14337" max="14337" width="3.85546875" style="366" customWidth="1"/>
    <col min="14338" max="14338" width="27.7109375" style="366" customWidth="1"/>
    <col min="14339" max="14340" width="8.85546875" style="366"/>
    <col min="14341" max="14341" width="13.85546875" style="366" customWidth="1"/>
    <col min="14342" max="14342" width="22.140625" style="366" customWidth="1"/>
    <col min="14343" max="14343" width="8.85546875" style="366"/>
    <col min="14344" max="14344" width="8.140625" style="366" customWidth="1"/>
    <col min="14345" max="14345" width="10.28515625" style="366" customWidth="1"/>
    <col min="14346" max="14346" width="11" style="366" customWidth="1"/>
    <col min="14347" max="14347" width="8.85546875" style="366"/>
    <col min="14348" max="14357" width="10.28515625" style="366" customWidth="1"/>
    <col min="14358" max="14358" width="11.28515625" style="366" customWidth="1"/>
    <col min="14359" max="14361" width="10.28515625" style="366" customWidth="1"/>
    <col min="14362" max="14592" width="8.85546875" style="366"/>
    <col min="14593" max="14593" width="3.85546875" style="366" customWidth="1"/>
    <col min="14594" max="14594" width="27.7109375" style="366" customWidth="1"/>
    <col min="14595" max="14596" width="8.85546875" style="366"/>
    <col min="14597" max="14597" width="13.85546875" style="366" customWidth="1"/>
    <col min="14598" max="14598" width="22.140625" style="366" customWidth="1"/>
    <col min="14599" max="14599" width="8.85546875" style="366"/>
    <col min="14600" max="14600" width="8.140625" style="366" customWidth="1"/>
    <col min="14601" max="14601" width="10.28515625" style="366" customWidth="1"/>
    <col min="14602" max="14602" width="11" style="366" customWidth="1"/>
    <col min="14603" max="14603" width="8.85546875" style="366"/>
    <col min="14604" max="14613" width="10.28515625" style="366" customWidth="1"/>
    <col min="14614" max="14614" width="11.28515625" style="366" customWidth="1"/>
    <col min="14615" max="14617" width="10.28515625" style="366" customWidth="1"/>
    <col min="14618" max="14848" width="8.85546875" style="366"/>
    <col min="14849" max="14849" width="3.85546875" style="366" customWidth="1"/>
    <col min="14850" max="14850" width="27.7109375" style="366" customWidth="1"/>
    <col min="14851" max="14852" width="8.85546875" style="366"/>
    <col min="14853" max="14853" width="13.85546875" style="366" customWidth="1"/>
    <col min="14854" max="14854" width="22.140625" style="366" customWidth="1"/>
    <col min="14855" max="14855" width="8.85546875" style="366"/>
    <col min="14856" max="14856" width="8.140625" style="366" customWidth="1"/>
    <col min="14857" max="14857" width="10.28515625" style="366" customWidth="1"/>
    <col min="14858" max="14858" width="11" style="366" customWidth="1"/>
    <col min="14859" max="14859" width="8.85546875" style="366"/>
    <col min="14860" max="14869" width="10.28515625" style="366" customWidth="1"/>
    <col min="14870" max="14870" width="11.28515625" style="366" customWidth="1"/>
    <col min="14871" max="14873" width="10.28515625" style="366" customWidth="1"/>
    <col min="14874" max="15104" width="8.85546875" style="366"/>
    <col min="15105" max="15105" width="3.85546875" style="366" customWidth="1"/>
    <col min="15106" max="15106" width="27.7109375" style="366" customWidth="1"/>
    <col min="15107" max="15108" width="8.85546875" style="366"/>
    <col min="15109" max="15109" width="13.85546875" style="366" customWidth="1"/>
    <col min="15110" max="15110" width="22.140625" style="366" customWidth="1"/>
    <col min="15111" max="15111" width="8.85546875" style="366"/>
    <col min="15112" max="15112" width="8.140625" style="366" customWidth="1"/>
    <col min="15113" max="15113" width="10.28515625" style="366" customWidth="1"/>
    <col min="15114" max="15114" width="11" style="366" customWidth="1"/>
    <col min="15115" max="15115" width="8.85546875" style="366"/>
    <col min="15116" max="15125" width="10.28515625" style="366" customWidth="1"/>
    <col min="15126" max="15126" width="11.28515625" style="366" customWidth="1"/>
    <col min="15127" max="15129" width="10.28515625" style="366" customWidth="1"/>
    <col min="15130" max="15360" width="8.85546875" style="366"/>
    <col min="15361" max="15361" width="3.85546875" style="366" customWidth="1"/>
    <col min="15362" max="15362" width="27.7109375" style="366" customWidth="1"/>
    <col min="15363" max="15364" width="8.85546875" style="366"/>
    <col min="15365" max="15365" width="13.85546875" style="366" customWidth="1"/>
    <col min="15366" max="15366" width="22.140625" style="366" customWidth="1"/>
    <col min="15367" max="15367" width="8.85546875" style="366"/>
    <col min="15368" max="15368" width="8.140625" style="366" customWidth="1"/>
    <col min="15369" max="15369" width="10.28515625" style="366" customWidth="1"/>
    <col min="15370" max="15370" width="11" style="366" customWidth="1"/>
    <col min="15371" max="15371" width="8.85546875" style="366"/>
    <col min="15372" max="15381" width="10.28515625" style="366" customWidth="1"/>
    <col min="15382" max="15382" width="11.28515625" style="366" customWidth="1"/>
    <col min="15383" max="15385" width="10.28515625" style="366" customWidth="1"/>
    <col min="15386" max="15616" width="8.85546875" style="366"/>
    <col min="15617" max="15617" width="3.85546875" style="366" customWidth="1"/>
    <col min="15618" max="15618" width="27.7109375" style="366" customWidth="1"/>
    <col min="15619" max="15620" width="8.85546875" style="366"/>
    <col min="15621" max="15621" width="13.85546875" style="366" customWidth="1"/>
    <col min="15622" max="15622" width="22.140625" style="366" customWidth="1"/>
    <col min="15623" max="15623" width="8.85546875" style="366"/>
    <col min="15624" max="15624" width="8.140625" style="366" customWidth="1"/>
    <col min="15625" max="15625" width="10.28515625" style="366" customWidth="1"/>
    <col min="15626" max="15626" width="11" style="366" customWidth="1"/>
    <col min="15627" max="15627" width="8.85546875" style="366"/>
    <col min="15628" max="15637" width="10.28515625" style="366" customWidth="1"/>
    <col min="15638" max="15638" width="11.28515625" style="366" customWidth="1"/>
    <col min="15639" max="15641" width="10.28515625" style="366" customWidth="1"/>
    <col min="15642" max="15872" width="8.85546875" style="366"/>
    <col min="15873" max="15873" width="3.85546875" style="366" customWidth="1"/>
    <col min="15874" max="15874" width="27.7109375" style="366" customWidth="1"/>
    <col min="15875" max="15876" width="8.85546875" style="366"/>
    <col min="15877" max="15877" width="13.85546875" style="366" customWidth="1"/>
    <col min="15878" max="15878" width="22.140625" style="366" customWidth="1"/>
    <col min="15879" max="15879" width="8.85546875" style="366"/>
    <col min="15880" max="15880" width="8.140625" style="366" customWidth="1"/>
    <col min="15881" max="15881" width="10.28515625" style="366" customWidth="1"/>
    <col min="15882" max="15882" width="11" style="366" customWidth="1"/>
    <col min="15883" max="15883" width="8.85546875" style="366"/>
    <col min="15884" max="15893" width="10.28515625" style="366" customWidth="1"/>
    <col min="15894" max="15894" width="11.28515625" style="366" customWidth="1"/>
    <col min="15895" max="15897" width="10.28515625" style="366" customWidth="1"/>
    <col min="15898" max="16128" width="8.85546875" style="366"/>
    <col min="16129" max="16129" width="3.85546875" style="366" customWidth="1"/>
    <col min="16130" max="16130" width="27.7109375" style="366" customWidth="1"/>
    <col min="16131" max="16132" width="8.85546875" style="366"/>
    <col min="16133" max="16133" width="13.85546875" style="366" customWidth="1"/>
    <col min="16134" max="16134" width="22.140625" style="366" customWidth="1"/>
    <col min="16135" max="16135" width="8.85546875" style="366"/>
    <col min="16136" max="16136" width="8.140625" style="366" customWidth="1"/>
    <col min="16137" max="16137" width="10.28515625" style="366" customWidth="1"/>
    <col min="16138" max="16138" width="11" style="366" customWidth="1"/>
    <col min="16139" max="16139" width="8.85546875" style="366"/>
    <col min="16140" max="16149" width="10.28515625" style="366" customWidth="1"/>
    <col min="16150" max="16150" width="11.28515625" style="366" customWidth="1"/>
    <col min="16151" max="16153" width="10.28515625" style="366" customWidth="1"/>
    <col min="16154" max="16384" width="8.85546875" style="366"/>
  </cols>
  <sheetData>
    <row r="1" spans="1:34" ht="15.75">
      <c r="B1" s="367" t="str">
        <f>CALCULATIONS!B1</f>
        <v>GEORGIA TB NSP 2016-2020 [2019-2022]</v>
      </c>
    </row>
    <row r="3" spans="1:34" ht="18.75">
      <c r="A3" s="530"/>
      <c r="B3" s="531" t="s">
        <v>1171</v>
      </c>
      <c r="C3" s="405"/>
      <c r="D3" s="405"/>
      <c r="E3" s="405"/>
      <c r="F3" s="406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5"/>
      <c r="V3" s="405"/>
      <c r="W3" s="405"/>
      <c r="X3" s="405"/>
      <c r="Y3" s="405"/>
      <c r="Z3" s="405"/>
      <c r="AA3" s="405"/>
      <c r="AB3" s="405"/>
      <c r="AC3" s="405"/>
      <c r="AD3" s="405"/>
      <c r="AE3" s="405"/>
      <c r="AF3" s="405"/>
      <c r="AG3" s="405"/>
      <c r="AH3" s="405"/>
    </row>
    <row r="4" spans="1:34" ht="15.75">
      <c r="B4" s="367"/>
      <c r="F4" s="368"/>
    </row>
    <row r="5" spans="1:34" ht="15.75">
      <c r="A5" s="467" t="s">
        <v>41</v>
      </c>
      <c r="B5" s="465" t="s">
        <v>1262</v>
      </c>
      <c r="C5" s="464" t="s">
        <v>1861</v>
      </c>
      <c r="D5" s="464"/>
      <c r="E5" s="464"/>
      <c r="F5" s="466"/>
      <c r="G5" s="464"/>
      <c r="H5" s="464"/>
      <c r="I5" s="464" t="s">
        <v>2065</v>
      </c>
      <c r="J5" s="464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  <c r="X5" s="405"/>
      <c r="Y5" s="405"/>
    </row>
    <row r="6" spans="1:34" ht="15.75">
      <c r="B6" s="367"/>
      <c r="F6" s="368"/>
    </row>
    <row r="7" spans="1:34" ht="14.45" customHeight="1">
      <c r="A7" s="1852" t="s">
        <v>243</v>
      </c>
      <c r="B7" s="1852" t="s">
        <v>1120</v>
      </c>
      <c r="C7" s="1852"/>
      <c r="D7" s="1852"/>
      <c r="E7" s="1852" t="s">
        <v>1123</v>
      </c>
      <c r="F7" s="1852" t="s">
        <v>1124</v>
      </c>
      <c r="G7" s="1852" t="s">
        <v>1182</v>
      </c>
      <c r="H7" s="1852" t="s">
        <v>1126</v>
      </c>
      <c r="I7" s="1852" t="s">
        <v>1183</v>
      </c>
      <c r="J7" s="1852" t="s">
        <v>1193</v>
      </c>
    </row>
    <row r="8" spans="1:34" ht="24" customHeight="1">
      <c r="A8" s="1853"/>
      <c r="B8" s="1853"/>
      <c r="C8" s="1853"/>
      <c r="D8" s="1853"/>
      <c r="E8" s="1853"/>
      <c r="F8" s="1853"/>
      <c r="G8" s="1853"/>
      <c r="H8" s="1853"/>
      <c r="I8" s="1853"/>
      <c r="J8" s="1853"/>
    </row>
    <row r="9" spans="1:34">
      <c r="A9" s="383">
        <v>1</v>
      </c>
      <c r="B9" s="394" t="s">
        <v>1186</v>
      </c>
      <c r="C9" s="400"/>
      <c r="D9" s="401"/>
      <c r="E9" s="383" t="s">
        <v>1172</v>
      </c>
      <c r="F9" s="402" t="s">
        <v>1173</v>
      </c>
      <c r="G9" s="389">
        <f>GDFPCSXL_61201861412AM!O4</f>
        <v>45.92</v>
      </c>
      <c r="H9" s="401">
        <v>672</v>
      </c>
      <c r="I9" s="404">
        <f t="shared" ref="I9:I14" si="0">G9/H9</f>
        <v>6.8333333333333329E-2</v>
      </c>
      <c r="J9" s="392">
        <v>4</v>
      </c>
    </row>
    <row r="10" spans="1:34">
      <c r="A10" s="383">
        <v>2</v>
      </c>
      <c r="B10" s="394" t="s">
        <v>1187</v>
      </c>
      <c r="C10" s="400"/>
      <c r="D10" s="401"/>
      <c r="E10" s="383" t="s">
        <v>1174</v>
      </c>
      <c r="F10" s="402" t="s">
        <v>1173</v>
      </c>
      <c r="G10" s="389">
        <f>GDFPCSXL_61201861412AM!O5</f>
        <v>22.01</v>
      </c>
      <c r="H10" s="401">
        <v>672</v>
      </c>
      <c r="I10" s="404">
        <f t="shared" si="0"/>
        <v>3.2752976190476193E-2</v>
      </c>
      <c r="J10" s="392">
        <v>4</v>
      </c>
    </row>
    <row r="11" spans="1:34">
      <c r="A11" s="383">
        <v>3</v>
      </c>
      <c r="B11" s="394" t="s">
        <v>1152</v>
      </c>
      <c r="C11" s="400"/>
      <c r="D11" s="401"/>
      <c r="E11" s="383" t="s">
        <v>1153</v>
      </c>
      <c r="F11" s="402" t="s">
        <v>1173</v>
      </c>
      <c r="G11" s="389">
        <f>GDFPCSXL_61201861412AM!O6</f>
        <v>24.1</v>
      </c>
      <c r="H11" s="401">
        <v>672</v>
      </c>
      <c r="I11" s="404">
        <f>G11/H11</f>
        <v>3.5863095238095243E-2</v>
      </c>
      <c r="J11" s="392">
        <v>3</v>
      </c>
    </row>
    <row r="12" spans="1:34">
      <c r="A12" s="383">
        <v>4</v>
      </c>
      <c r="B12" s="394" t="s">
        <v>1149</v>
      </c>
      <c r="C12" s="400"/>
      <c r="D12" s="401"/>
      <c r="E12" s="383" t="s">
        <v>1153</v>
      </c>
      <c r="F12" s="402" t="s">
        <v>1173</v>
      </c>
      <c r="G12" s="389">
        <f>GDFPCSXL_61201861412AM!O7</f>
        <v>14</v>
      </c>
      <c r="H12" s="401">
        <v>672</v>
      </c>
      <c r="I12" s="404">
        <f t="shared" si="0"/>
        <v>2.0833333333333332E-2</v>
      </c>
      <c r="J12" s="392">
        <v>4</v>
      </c>
    </row>
    <row r="13" spans="1:34">
      <c r="A13" s="383">
        <v>5</v>
      </c>
      <c r="B13" s="394" t="s">
        <v>1175</v>
      </c>
      <c r="C13" s="400"/>
      <c r="D13" s="401"/>
      <c r="E13" s="383" t="s">
        <v>1138</v>
      </c>
      <c r="F13" s="402" t="s">
        <v>1142</v>
      </c>
      <c r="G13" s="389">
        <f>GDFPCSXL_61201861412AM!O8</f>
        <v>64</v>
      </c>
      <c r="H13" s="401">
        <v>672</v>
      </c>
      <c r="I13" s="404">
        <f t="shared" si="0"/>
        <v>9.5238095238095233E-2</v>
      </c>
      <c r="J13" s="392">
        <v>1</v>
      </c>
    </row>
    <row r="14" spans="1:34">
      <c r="A14" s="383">
        <v>6</v>
      </c>
      <c r="B14" s="384" t="s">
        <v>1184</v>
      </c>
      <c r="C14" s="385"/>
      <c r="D14" s="386"/>
      <c r="E14" s="387" t="s">
        <v>1138</v>
      </c>
      <c r="F14" s="388" t="s">
        <v>1188</v>
      </c>
      <c r="G14" s="389">
        <f>GDFPCSXL_61201861412AM!O9</f>
        <v>46</v>
      </c>
      <c r="H14" s="386">
        <v>50</v>
      </c>
      <c r="I14" s="390">
        <f t="shared" si="0"/>
        <v>0.92</v>
      </c>
      <c r="J14" s="392">
        <v>1</v>
      </c>
    </row>
    <row r="15" spans="1:34">
      <c r="A15" s="383">
        <v>7</v>
      </c>
      <c r="B15" s="384" t="s">
        <v>1137</v>
      </c>
      <c r="C15" s="385"/>
      <c r="D15" s="386"/>
      <c r="E15" s="387" t="s">
        <v>1138</v>
      </c>
      <c r="F15" s="388" t="s">
        <v>1139</v>
      </c>
      <c r="G15" s="389">
        <f>GDFPCSXL_61201861412AM!O10</f>
        <v>3.85</v>
      </c>
      <c r="H15" s="386">
        <v>1</v>
      </c>
      <c r="I15" s="390">
        <f>G15/H15</f>
        <v>3.85</v>
      </c>
      <c r="J15" s="392">
        <v>1</v>
      </c>
    </row>
    <row r="16" spans="1:34">
      <c r="A16" s="383">
        <v>8</v>
      </c>
      <c r="B16" s="384" t="s">
        <v>1140</v>
      </c>
      <c r="C16" s="385"/>
      <c r="D16" s="386"/>
      <c r="E16" s="387" t="s">
        <v>1141</v>
      </c>
      <c r="F16" s="388" t="s">
        <v>1139</v>
      </c>
      <c r="G16" s="389">
        <f>GDFPCSXL_61201861412AM!O11</f>
        <v>7.05</v>
      </c>
      <c r="H16" s="386">
        <v>1</v>
      </c>
      <c r="I16" s="390">
        <f t="shared" ref="I16:I22" si="1">G16/H16</f>
        <v>7.05</v>
      </c>
      <c r="J16" s="392">
        <v>2</v>
      </c>
    </row>
    <row r="17" spans="1:12">
      <c r="A17" s="383">
        <v>9</v>
      </c>
      <c r="B17" s="384" t="s">
        <v>1143</v>
      </c>
      <c r="C17" s="385"/>
      <c r="D17" s="386"/>
      <c r="E17" s="387" t="s">
        <v>1144</v>
      </c>
      <c r="F17" s="388" t="s">
        <v>1189</v>
      </c>
      <c r="G17" s="389">
        <f>GDFPCSXL_61201861412AM!O12</f>
        <v>3.78</v>
      </c>
      <c r="H17" s="386">
        <v>100</v>
      </c>
      <c r="I17" s="390">
        <f t="shared" si="1"/>
        <v>3.78E-2</v>
      </c>
      <c r="J17" s="392">
        <v>4</v>
      </c>
    </row>
    <row r="18" spans="1:12">
      <c r="A18" s="383">
        <v>10</v>
      </c>
      <c r="B18" s="394" t="s">
        <v>1161</v>
      </c>
      <c r="C18" s="400"/>
      <c r="D18" s="401"/>
      <c r="E18" s="383" t="s">
        <v>1153</v>
      </c>
      <c r="F18" s="388" t="s">
        <v>1189</v>
      </c>
      <c r="G18" s="389">
        <f>GDFPCSXL_61201861412AM!O13</f>
        <v>29</v>
      </c>
      <c r="H18" s="401">
        <v>100</v>
      </c>
      <c r="I18" s="404">
        <f>G18/H18</f>
        <v>0.28999999999999998</v>
      </c>
      <c r="J18" s="392">
        <v>1</v>
      </c>
    </row>
    <row r="19" spans="1:12">
      <c r="A19" s="383">
        <v>11</v>
      </c>
      <c r="B19" s="384" t="s">
        <v>1146</v>
      </c>
      <c r="C19" s="385"/>
      <c r="D19" s="386"/>
      <c r="E19" s="387" t="s">
        <v>1144</v>
      </c>
      <c r="F19" s="388" t="s">
        <v>1145</v>
      </c>
      <c r="G19" s="389">
        <f>GDFPCSXL_61201861412AM!O14</f>
        <v>8.1999999999999993</v>
      </c>
      <c r="H19" s="386">
        <v>100</v>
      </c>
      <c r="I19" s="390">
        <f t="shared" si="1"/>
        <v>8.199999999999999E-2</v>
      </c>
      <c r="J19" s="392">
        <v>3</v>
      </c>
    </row>
    <row r="20" spans="1:12">
      <c r="A20" s="383">
        <v>12</v>
      </c>
      <c r="B20" s="384" t="s">
        <v>1147</v>
      </c>
      <c r="C20" s="385"/>
      <c r="D20" s="386"/>
      <c r="E20" s="387" t="s">
        <v>1144</v>
      </c>
      <c r="F20" s="388" t="s">
        <v>1148</v>
      </c>
      <c r="G20" s="389">
        <f>GDFPCSXL_61201861412AM!O15</f>
        <v>42.5</v>
      </c>
      <c r="H20" s="386">
        <v>100</v>
      </c>
      <c r="I20" s="390">
        <f t="shared" si="1"/>
        <v>0.42499999999999999</v>
      </c>
      <c r="J20" s="392">
        <v>3</v>
      </c>
      <c r="L20" s="409"/>
    </row>
    <row r="21" spans="1:12">
      <c r="A21" s="383">
        <v>13</v>
      </c>
      <c r="B21" s="394" t="s">
        <v>1158</v>
      </c>
      <c r="C21" s="400"/>
      <c r="D21" s="401"/>
      <c r="E21" s="383" t="s">
        <v>1159</v>
      </c>
      <c r="F21" s="402" t="s">
        <v>1160</v>
      </c>
      <c r="G21" s="389">
        <f>GDFPCSXL_61201861412AM!O16</f>
        <v>40</v>
      </c>
      <c r="H21" s="401">
        <v>30</v>
      </c>
      <c r="I21" s="404">
        <f t="shared" ref="I21" si="2">G21/H21</f>
        <v>1.3333333333333333</v>
      </c>
      <c r="J21" s="392">
        <v>2</v>
      </c>
    </row>
    <row r="22" spans="1:12">
      <c r="A22" s="383">
        <v>14</v>
      </c>
      <c r="B22" s="384" t="s">
        <v>1150</v>
      </c>
      <c r="C22" s="385"/>
      <c r="D22" s="386"/>
      <c r="E22" s="387" t="s">
        <v>1151</v>
      </c>
      <c r="F22" s="388" t="s">
        <v>1189</v>
      </c>
      <c r="G22" s="389">
        <f>GDFPCSXL_61201861412AM!O17</f>
        <v>14.85</v>
      </c>
      <c r="H22" s="386">
        <v>100</v>
      </c>
      <c r="I22" s="390">
        <f t="shared" si="1"/>
        <v>0.14849999999999999</v>
      </c>
      <c r="J22" s="392">
        <v>4</v>
      </c>
    </row>
    <row r="23" spans="1:12">
      <c r="A23" s="383">
        <v>15</v>
      </c>
      <c r="B23" s="384" t="s">
        <v>1185</v>
      </c>
      <c r="C23" s="385"/>
      <c r="D23" s="386"/>
      <c r="E23" s="387" t="s">
        <v>1190</v>
      </c>
      <c r="F23" s="402" t="s">
        <v>1173</v>
      </c>
      <c r="G23" s="389">
        <f>GDFPCSXL_61201861412AM!O18</f>
        <v>13.52</v>
      </c>
      <c r="H23" s="386">
        <v>672</v>
      </c>
      <c r="I23" s="390">
        <f t="shared" ref="I23" si="3">G23/H23</f>
        <v>2.011904761904762E-2</v>
      </c>
      <c r="J23" s="392">
        <v>5</v>
      </c>
      <c r="L23" s="366" t="s">
        <v>1201</v>
      </c>
    </row>
    <row r="24" spans="1:12">
      <c r="A24" s="383">
        <v>16</v>
      </c>
      <c r="B24" s="394" t="s">
        <v>1164</v>
      </c>
      <c r="C24" s="400"/>
      <c r="D24" s="401"/>
      <c r="E24" s="383" t="s">
        <v>1165</v>
      </c>
      <c r="F24" s="388" t="s">
        <v>1189</v>
      </c>
      <c r="G24" s="389">
        <f>GDFPCSXL_61201861412AM!O19</f>
        <v>140</v>
      </c>
      <c r="H24" s="401">
        <v>100</v>
      </c>
      <c r="I24" s="404">
        <f>G24/H24</f>
        <v>1.4</v>
      </c>
      <c r="J24" s="392">
        <v>1</v>
      </c>
    </row>
    <row r="25" spans="1:12">
      <c r="A25" s="383">
        <v>17</v>
      </c>
      <c r="B25" s="394" t="s">
        <v>1176</v>
      </c>
      <c r="C25" s="400"/>
      <c r="D25" s="401"/>
      <c r="E25" s="383" t="s">
        <v>1167</v>
      </c>
      <c r="F25" s="402" t="s">
        <v>1177</v>
      </c>
      <c r="G25" s="389">
        <f>GDFPCSXL_61201861412AM!O20</f>
        <v>900</v>
      </c>
      <c r="H25" s="401">
        <v>188</v>
      </c>
      <c r="I25" s="404">
        <f t="shared" ref="I25:I27" si="4">G25/H25</f>
        <v>4.7872340425531918</v>
      </c>
      <c r="J25" s="440">
        <f>(4*14+2*3*22)/6/26</f>
        <v>1.2051282051282051</v>
      </c>
      <c r="L25" s="366" t="s">
        <v>1178</v>
      </c>
    </row>
    <row r="26" spans="1:12">
      <c r="A26" s="383">
        <v>18</v>
      </c>
      <c r="B26" s="1462" t="s">
        <v>2068</v>
      </c>
      <c r="C26" s="1463"/>
      <c r="D26" s="1464"/>
      <c r="E26" s="1461" t="s">
        <v>2067</v>
      </c>
      <c r="F26" s="1465" t="s">
        <v>2069</v>
      </c>
      <c r="G26" s="1466">
        <v>1700</v>
      </c>
      <c r="H26" s="1464">
        <v>672</v>
      </c>
      <c r="I26" s="1467">
        <f>G26/H26</f>
        <v>2.5297619047619047</v>
      </c>
      <c r="J26" s="1468">
        <v>2</v>
      </c>
    </row>
    <row r="27" spans="1:12">
      <c r="A27" s="383">
        <v>19</v>
      </c>
      <c r="B27" s="394" t="s">
        <v>1179</v>
      </c>
      <c r="C27" s="400"/>
      <c r="D27" s="401"/>
      <c r="E27" s="383" t="s">
        <v>1180</v>
      </c>
      <c r="F27" s="402" t="s">
        <v>1181</v>
      </c>
      <c r="G27" s="389">
        <f>GDFPCSXL_61201861412AM!O21</f>
        <v>36</v>
      </c>
      <c r="H27" s="401">
        <v>1</v>
      </c>
      <c r="I27" s="404">
        <f t="shared" si="4"/>
        <v>36</v>
      </c>
      <c r="J27" s="408">
        <v>2</v>
      </c>
      <c r="L27" s="366" t="s">
        <v>1200</v>
      </c>
    </row>
    <row r="28" spans="1:12">
      <c r="A28" s="383">
        <v>20</v>
      </c>
      <c r="B28" s="394" t="s">
        <v>1162</v>
      </c>
      <c r="C28" s="400"/>
      <c r="D28" s="401"/>
      <c r="E28" s="383" t="s">
        <v>1163</v>
      </c>
      <c r="F28" s="388" t="s">
        <v>1192</v>
      </c>
      <c r="G28" s="389">
        <f>GDFPCSXL_61201861412AM!O22</f>
        <v>1.69</v>
      </c>
      <c r="H28" s="401">
        <v>12</v>
      </c>
      <c r="I28" s="404">
        <f t="shared" ref="I28:I29" si="5">G28/H28</f>
        <v>0.14083333333333334</v>
      </c>
      <c r="J28" s="392">
        <v>3</v>
      </c>
    </row>
    <row r="29" spans="1:12">
      <c r="A29" s="383">
        <v>21</v>
      </c>
      <c r="B29" s="394" t="s">
        <v>1166</v>
      </c>
      <c r="C29" s="400"/>
      <c r="D29" s="401"/>
      <c r="E29" s="383" t="s">
        <v>1167</v>
      </c>
      <c r="F29" s="402" t="s">
        <v>1168</v>
      </c>
      <c r="G29" s="389">
        <f>GDFPCSXL_61201861412AM!O23</f>
        <v>98.24</v>
      </c>
      <c r="H29" s="401">
        <v>100</v>
      </c>
      <c r="I29" s="404">
        <f t="shared" si="5"/>
        <v>0.98239999999999994</v>
      </c>
      <c r="J29" s="441" t="s">
        <v>1199</v>
      </c>
      <c r="L29" s="366" t="s">
        <v>1243</v>
      </c>
    </row>
    <row r="30" spans="1:12">
      <c r="A30" s="383">
        <v>22</v>
      </c>
      <c r="B30" s="394" t="s">
        <v>1194</v>
      </c>
      <c r="C30" s="400"/>
      <c r="D30" s="401"/>
      <c r="E30" s="383" t="s">
        <v>1195</v>
      </c>
      <c r="F30" s="388" t="s">
        <v>1142</v>
      </c>
      <c r="G30" s="389">
        <f>GDFPCSXL_61201861412AM!O24</f>
        <v>9.1999999999999993</v>
      </c>
      <c r="H30" s="401">
        <v>50</v>
      </c>
      <c r="I30" s="404">
        <f t="shared" ref="I30:I31" si="6">G30/H30</f>
        <v>0.184</v>
      </c>
      <c r="J30" s="391"/>
    </row>
    <row r="31" spans="1:12">
      <c r="A31" s="383">
        <v>23</v>
      </c>
      <c r="B31" s="394" t="s">
        <v>1196</v>
      </c>
      <c r="C31" s="400"/>
      <c r="D31" s="401"/>
      <c r="E31" s="383" t="s">
        <v>1197</v>
      </c>
      <c r="F31" s="402" t="s">
        <v>1198</v>
      </c>
      <c r="G31" s="389">
        <f>GDFPCSXL_61201861412AM!O25</f>
        <v>4.25</v>
      </c>
      <c r="H31" s="401">
        <v>100</v>
      </c>
      <c r="I31" s="404">
        <f t="shared" si="6"/>
        <v>4.2500000000000003E-2</v>
      </c>
      <c r="J31" s="391"/>
    </row>
    <row r="32" spans="1:12" ht="15.75">
      <c r="B32" s="367"/>
      <c r="F32" s="368"/>
    </row>
    <row r="33" spans="1:31" ht="15.75">
      <c r="A33" s="467" t="s">
        <v>43</v>
      </c>
      <c r="B33" s="465" t="s">
        <v>274</v>
      </c>
      <c r="C33" s="464"/>
      <c r="D33" s="464"/>
      <c r="E33" s="464"/>
      <c r="F33" s="466"/>
      <c r="G33" s="464"/>
      <c r="H33" s="464"/>
      <c r="I33" s="464"/>
      <c r="J33" s="464"/>
      <c r="K33" s="464"/>
      <c r="L33" s="464"/>
      <c r="M33" s="464"/>
      <c r="N33" s="464"/>
      <c r="O33" s="464"/>
      <c r="P33" s="464"/>
      <c r="Q33" s="464"/>
      <c r="R33" s="464"/>
      <c r="S33" s="464"/>
      <c r="T33" s="464"/>
      <c r="U33" s="464"/>
      <c r="V33" s="464"/>
      <c r="W33" s="464"/>
      <c r="X33" s="464"/>
      <c r="Y33" s="464"/>
      <c r="Z33" s="464"/>
      <c r="AA33" s="464"/>
      <c r="AB33" s="464"/>
      <c r="AC33" s="464"/>
      <c r="AD33" s="464"/>
      <c r="AE33" s="464"/>
    </row>
    <row r="34" spans="1:31">
      <c r="B34" s="366" t="s">
        <v>1240</v>
      </c>
    </row>
    <row r="35" spans="1:31" ht="12.75">
      <c r="G35" s="442"/>
      <c r="H35" s="442"/>
      <c r="I35" s="442"/>
      <c r="J35" s="442"/>
      <c r="Z35" s="373" t="s">
        <v>1215</v>
      </c>
      <c r="AC35" s="366" t="s">
        <v>1217</v>
      </c>
      <c r="AE35" s="418">
        <v>0.85</v>
      </c>
    </row>
    <row r="36" spans="1:31" ht="15.75">
      <c r="B36" s="369" t="s">
        <v>1109</v>
      </c>
      <c r="C36" s="476">
        <f>SUM(CALCULATIONS!I183:L183)</f>
        <v>8734</v>
      </c>
      <c r="I36" s="381"/>
      <c r="Z36" s="373" t="s">
        <v>1216</v>
      </c>
      <c r="AC36" s="366" t="s">
        <v>1218</v>
      </c>
      <c r="AE36" s="418">
        <f>1-AE35</f>
        <v>0.15000000000000002</v>
      </c>
    </row>
    <row r="37" spans="1:31" ht="12.75">
      <c r="AC37" s="366" t="s">
        <v>1219</v>
      </c>
      <c r="AE37" s="419">
        <v>4</v>
      </c>
    </row>
    <row r="38" spans="1:31" ht="14.45" customHeight="1">
      <c r="A38" s="1852" t="s">
        <v>243</v>
      </c>
      <c r="B38" s="1852" t="s">
        <v>1120</v>
      </c>
      <c r="C38" s="1852" t="s">
        <v>1121</v>
      </c>
      <c r="D38" s="1852" t="s">
        <v>1122</v>
      </c>
      <c r="E38" s="1852" t="s">
        <v>1123</v>
      </c>
      <c r="F38" s="1852" t="s">
        <v>1124</v>
      </c>
      <c r="G38" s="1852" t="s">
        <v>1125</v>
      </c>
      <c r="H38" s="1852" t="s">
        <v>1126</v>
      </c>
      <c r="I38" s="1852" t="s">
        <v>1127</v>
      </c>
      <c r="J38" s="1852" t="s">
        <v>1128</v>
      </c>
      <c r="K38" s="1852" t="s">
        <v>1129</v>
      </c>
      <c r="L38" s="1855" t="s">
        <v>1130</v>
      </c>
      <c r="M38" s="1857"/>
      <c r="N38" s="1855" t="s">
        <v>1131</v>
      </c>
      <c r="O38" s="1856"/>
      <c r="P38" s="1857"/>
      <c r="Q38" s="1855" t="s">
        <v>1132</v>
      </c>
      <c r="R38" s="1856"/>
      <c r="S38" s="1857"/>
      <c r="T38" s="1855" t="s">
        <v>1133</v>
      </c>
      <c r="U38" s="1856"/>
      <c r="V38" s="1857"/>
      <c r="W38" s="1855" t="s">
        <v>1134</v>
      </c>
      <c r="X38" s="1856"/>
      <c r="Y38" s="1857"/>
      <c r="Z38" s="1854" t="s">
        <v>1211</v>
      </c>
      <c r="AA38" s="1854"/>
      <c r="AB38" s="1854"/>
      <c r="AC38" s="1849" t="s">
        <v>1212</v>
      </c>
      <c r="AD38" s="1849" t="s">
        <v>1133</v>
      </c>
      <c r="AE38" s="1849" t="s">
        <v>1220</v>
      </c>
    </row>
    <row r="39" spans="1:31" ht="25.5">
      <c r="A39" s="1853"/>
      <c r="B39" s="1853"/>
      <c r="C39" s="1853"/>
      <c r="D39" s="1853"/>
      <c r="E39" s="1853"/>
      <c r="F39" s="1853"/>
      <c r="G39" s="1853"/>
      <c r="H39" s="1853"/>
      <c r="I39" s="1853"/>
      <c r="J39" s="1853"/>
      <c r="K39" s="1853"/>
      <c r="L39" s="382" t="s">
        <v>1135</v>
      </c>
      <c r="M39" s="382" t="s">
        <v>1136</v>
      </c>
      <c r="N39" s="382" t="s">
        <v>1135</v>
      </c>
      <c r="O39" s="382" t="s">
        <v>1136</v>
      </c>
      <c r="P39" s="382" t="s">
        <v>4</v>
      </c>
      <c r="Q39" s="382" t="s">
        <v>1135</v>
      </c>
      <c r="R39" s="382" t="s">
        <v>1136</v>
      </c>
      <c r="S39" s="382" t="s">
        <v>4</v>
      </c>
      <c r="T39" s="382" t="s">
        <v>1135</v>
      </c>
      <c r="U39" s="382" t="s">
        <v>1136</v>
      </c>
      <c r="V39" s="382" t="s">
        <v>4</v>
      </c>
      <c r="W39" s="382" t="s">
        <v>1135</v>
      </c>
      <c r="X39" s="382" t="s">
        <v>1136</v>
      </c>
      <c r="Y39" s="382" t="s">
        <v>4</v>
      </c>
      <c r="Z39" s="411" t="s">
        <v>1213</v>
      </c>
      <c r="AA39" s="411" t="s">
        <v>1214</v>
      </c>
      <c r="AB39" s="411" t="s">
        <v>4</v>
      </c>
      <c r="AC39" s="1850"/>
      <c r="AD39" s="1850"/>
      <c r="AE39" s="1850"/>
    </row>
    <row r="40" spans="1:31" ht="12.75">
      <c r="A40" s="383">
        <v>1</v>
      </c>
      <c r="B40" s="384" t="str">
        <f>B9</f>
        <v>4-FDC / RHZE</v>
      </c>
      <c r="C40" s="385">
        <v>0.8</v>
      </c>
      <c r="D40" s="386">
        <f>C$36*C40</f>
        <v>6987.2000000000007</v>
      </c>
      <c r="E40" s="387" t="str">
        <f t="shared" ref="E40:H43" si="7">E9</f>
        <v>150/75/400/275 mg</v>
      </c>
      <c r="F40" s="387" t="str">
        <f t="shared" si="7"/>
        <v>Box of 672 tabs (in blisters)</v>
      </c>
      <c r="G40" s="455">
        <f t="shared" si="7"/>
        <v>45.92</v>
      </c>
      <c r="H40" s="455">
        <f t="shared" si="7"/>
        <v>672</v>
      </c>
      <c r="I40" s="390">
        <f>G40/H40</f>
        <v>6.8333333333333329E-2</v>
      </c>
      <c r="J40" s="455">
        <f>J9</f>
        <v>4</v>
      </c>
      <c r="K40" s="392">
        <v>28</v>
      </c>
      <c r="L40" s="391">
        <v>2</v>
      </c>
      <c r="M40" s="391">
        <v>0</v>
      </c>
      <c r="N40" s="391">
        <f>J40*K40*L40</f>
        <v>224</v>
      </c>
      <c r="O40" s="391">
        <f>J40*K40*M40</f>
        <v>0</v>
      </c>
      <c r="P40" s="391">
        <f>SUM(N40:O40)</f>
        <v>224</v>
      </c>
      <c r="Q40" s="391">
        <f t="shared" ref="Q40:Q44" si="8">N40*D40</f>
        <v>1565132.8000000003</v>
      </c>
      <c r="R40" s="391">
        <f t="shared" ref="R40:R44" si="9">O40*D40</f>
        <v>0</v>
      </c>
      <c r="S40" s="391">
        <f>SUM(Q40:R40)</f>
        <v>1565132.8000000003</v>
      </c>
      <c r="T40" s="391">
        <f t="shared" ref="T40:T44" si="10">Q40*I40</f>
        <v>106950.74133333334</v>
      </c>
      <c r="U40" s="391">
        <f t="shared" ref="U40:U44" si="11">R40*I40</f>
        <v>0</v>
      </c>
      <c r="V40" s="391">
        <f>SUM(T40:U40)</f>
        <v>106950.74133333334</v>
      </c>
      <c r="W40" s="393">
        <f>T40/($C$36)</f>
        <v>12.245333333333335</v>
      </c>
      <c r="X40" s="393">
        <f t="shared" ref="X40:X44" si="12">U40/$C$36</f>
        <v>0</v>
      </c>
      <c r="Y40" s="393">
        <f>SUM(W40:X40)</f>
        <v>12.245333333333335</v>
      </c>
      <c r="Z40" s="412">
        <v>0.95</v>
      </c>
      <c r="AA40" s="412">
        <f>Z40*90%*AE$37/6</f>
        <v>0.56999999999999995</v>
      </c>
      <c r="AB40" s="413">
        <f>Z40*AE$35+AA40*AE$36</f>
        <v>0.89300000000000002</v>
      </c>
      <c r="AC40" s="414">
        <f>S40*AB40</f>
        <v>1397663.5904000003</v>
      </c>
      <c r="AD40" s="414">
        <f>AC40*I40</f>
        <v>95507.012010666687</v>
      </c>
      <c r="AE40" s="415">
        <f>AD40/C$36</f>
        <v>10.93508266666667</v>
      </c>
    </row>
    <row r="41" spans="1:31" ht="12.75">
      <c r="A41" s="383">
        <v>2</v>
      </c>
      <c r="B41" s="384" t="str">
        <f>B10</f>
        <v>2-FDC / RH</v>
      </c>
      <c r="C41" s="385">
        <v>0.2</v>
      </c>
      <c r="D41" s="386">
        <f t="shared" ref="D41:D44" si="13">C$36*C41</f>
        <v>1746.8000000000002</v>
      </c>
      <c r="E41" s="387" t="str">
        <f t="shared" si="7"/>
        <v>150/75 mg</v>
      </c>
      <c r="F41" s="387" t="str">
        <f t="shared" si="7"/>
        <v>Box of 672 tabs (in blisters)</v>
      </c>
      <c r="G41" s="455">
        <f t="shared" si="7"/>
        <v>22.01</v>
      </c>
      <c r="H41" s="455">
        <f t="shared" si="7"/>
        <v>672</v>
      </c>
      <c r="I41" s="390">
        <f t="shared" ref="I41:I44" si="14">G41/H41</f>
        <v>3.2752976190476193E-2</v>
      </c>
      <c r="J41" s="455">
        <f>J10</f>
        <v>4</v>
      </c>
      <c r="K41" s="392">
        <v>28</v>
      </c>
      <c r="L41" s="391">
        <v>2</v>
      </c>
      <c r="M41" s="391">
        <v>0</v>
      </c>
      <c r="N41" s="391">
        <f t="shared" ref="N41:N44" si="15">J41*K41*L41</f>
        <v>224</v>
      </c>
      <c r="O41" s="391">
        <f t="shared" ref="O41:O44" si="16">J41*K41*M41</f>
        <v>0</v>
      </c>
      <c r="P41" s="391">
        <f t="shared" ref="P41:P44" si="17">SUM(N41:O41)</f>
        <v>224</v>
      </c>
      <c r="Q41" s="391">
        <f t="shared" si="8"/>
        <v>391283.20000000007</v>
      </c>
      <c r="R41" s="391">
        <f t="shared" si="9"/>
        <v>0</v>
      </c>
      <c r="S41" s="391">
        <f t="shared" ref="S41:S44" si="18">SUM(Q41:R41)</f>
        <v>391283.20000000007</v>
      </c>
      <c r="T41" s="391">
        <f t="shared" si="10"/>
        <v>12815.689333333337</v>
      </c>
      <c r="U41" s="391">
        <f t="shared" si="11"/>
        <v>0</v>
      </c>
      <c r="V41" s="391">
        <f t="shared" ref="V41:V44" si="19">SUM(T41:U41)</f>
        <v>12815.689333333337</v>
      </c>
      <c r="W41" s="393">
        <f t="shared" ref="W41:W44" si="20">T41/($C$36)</f>
        <v>1.4673333333333338</v>
      </c>
      <c r="X41" s="393">
        <f t="shared" si="12"/>
        <v>0</v>
      </c>
      <c r="Y41" s="393">
        <f t="shared" ref="Y41:Y44" si="21">SUM(W41:X41)</f>
        <v>1.4673333333333338</v>
      </c>
      <c r="Z41" s="412">
        <v>0.95</v>
      </c>
      <c r="AA41" s="412">
        <f t="shared" ref="AA41:AA44" si="22">Z41*90%*AE$37/6</f>
        <v>0.56999999999999995</v>
      </c>
      <c r="AB41" s="413">
        <f t="shared" ref="AB41:AB44" si="23">Z41*AE$35+AA41*AE$36</f>
        <v>0.89300000000000002</v>
      </c>
      <c r="AC41" s="414">
        <f t="shared" ref="AC41:AC44" si="24">S41*AB41</f>
        <v>349415.89760000008</v>
      </c>
      <c r="AD41" s="414">
        <f t="shared" ref="AD41:AD44" si="25">AC41*I41</f>
        <v>11444.41057466667</v>
      </c>
      <c r="AE41" s="415">
        <f t="shared" ref="AE41:AE44" si="26">AD41/C$36</f>
        <v>1.3103286666666671</v>
      </c>
    </row>
    <row r="42" spans="1:31" ht="12.75">
      <c r="A42" s="383">
        <v>3</v>
      </c>
      <c r="B42" s="384" t="str">
        <f>B11</f>
        <v>Ethambutol</v>
      </c>
      <c r="C42" s="385">
        <v>0.2</v>
      </c>
      <c r="D42" s="386">
        <f t="shared" si="13"/>
        <v>1746.8000000000002</v>
      </c>
      <c r="E42" s="387" t="str">
        <f t="shared" si="7"/>
        <v>400 mg</v>
      </c>
      <c r="F42" s="387" t="str">
        <f t="shared" si="7"/>
        <v>Box of 672 tabs (in blisters)</v>
      </c>
      <c r="G42" s="455">
        <f t="shared" si="7"/>
        <v>24.1</v>
      </c>
      <c r="H42" s="455">
        <f t="shared" si="7"/>
        <v>672</v>
      </c>
      <c r="I42" s="390">
        <f t="shared" si="14"/>
        <v>3.5863095238095243E-2</v>
      </c>
      <c r="J42" s="455">
        <f>J11</f>
        <v>3</v>
      </c>
      <c r="K42" s="392">
        <v>28</v>
      </c>
      <c r="L42" s="391">
        <v>2</v>
      </c>
      <c r="M42" s="391">
        <v>0</v>
      </c>
      <c r="N42" s="391">
        <f t="shared" si="15"/>
        <v>168</v>
      </c>
      <c r="O42" s="391">
        <f t="shared" si="16"/>
        <v>0</v>
      </c>
      <c r="P42" s="391">
        <f t="shared" si="17"/>
        <v>168</v>
      </c>
      <c r="Q42" s="391">
        <f t="shared" si="8"/>
        <v>293462.40000000002</v>
      </c>
      <c r="R42" s="391">
        <f t="shared" si="9"/>
        <v>0</v>
      </c>
      <c r="S42" s="391">
        <f t="shared" si="18"/>
        <v>293462.40000000002</v>
      </c>
      <c r="T42" s="391">
        <f t="shared" si="10"/>
        <v>10524.470000000003</v>
      </c>
      <c r="U42" s="391">
        <f t="shared" si="11"/>
        <v>0</v>
      </c>
      <c r="V42" s="391">
        <f t="shared" si="19"/>
        <v>10524.470000000003</v>
      </c>
      <c r="W42" s="393">
        <f t="shared" si="20"/>
        <v>1.2050000000000003</v>
      </c>
      <c r="X42" s="393">
        <f t="shared" si="12"/>
        <v>0</v>
      </c>
      <c r="Y42" s="393">
        <f t="shared" si="21"/>
        <v>1.2050000000000003</v>
      </c>
      <c r="Z42" s="412">
        <v>0.95</v>
      </c>
      <c r="AA42" s="412">
        <f t="shared" si="22"/>
        <v>0.56999999999999995</v>
      </c>
      <c r="AB42" s="413">
        <f t="shared" si="23"/>
        <v>0.89300000000000002</v>
      </c>
      <c r="AC42" s="414">
        <f t="shared" si="24"/>
        <v>262061.92320000002</v>
      </c>
      <c r="AD42" s="414">
        <f t="shared" si="25"/>
        <v>9398.3517100000026</v>
      </c>
      <c r="AE42" s="415">
        <f t="shared" si="26"/>
        <v>1.0760650000000003</v>
      </c>
    </row>
    <row r="43" spans="1:31" ht="12.75">
      <c r="A43" s="383">
        <v>4</v>
      </c>
      <c r="B43" s="384" t="str">
        <f>B12</f>
        <v>Pyrazinamide</v>
      </c>
      <c r="C43" s="385">
        <v>0.2</v>
      </c>
      <c r="D43" s="386">
        <f t="shared" si="13"/>
        <v>1746.8000000000002</v>
      </c>
      <c r="E43" s="387" t="str">
        <f t="shared" si="7"/>
        <v>400 mg</v>
      </c>
      <c r="F43" s="387" t="str">
        <f t="shared" si="7"/>
        <v>Box of 672 tabs (in blisters)</v>
      </c>
      <c r="G43" s="455">
        <f t="shared" si="7"/>
        <v>14</v>
      </c>
      <c r="H43" s="455">
        <f t="shared" si="7"/>
        <v>672</v>
      </c>
      <c r="I43" s="390">
        <f t="shared" si="14"/>
        <v>2.0833333333333332E-2</v>
      </c>
      <c r="J43" s="455">
        <f>J12</f>
        <v>4</v>
      </c>
      <c r="K43" s="392">
        <v>28</v>
      </c>
      <c r="L43" s="391">
        <v>2</v>
      </c>
      <c r="M43" s="391">
        <v>0</v>
      </c>
      <c r="N43" s="391">
        <f t="shared" si="15"/>
        <v>224</v>
      </c>
      <c r="O43" s="391">
        <f t="shared" si="16"/>
        <v>0</v>
      </c>
      <c r="P43" s="391">
        <f t="shared" si="17"/>
        <v>224</v>
      </c>
      <c r="Q43" s="391">
        <f t="shared" si="8"/>
        <v>391283.20000000007</v>
      </c>
      <c r="R43" s="391">
        <f t="shared" si="9"/>
        <v>0</v>
      </c>
      <c r="S43" s="391">
        <f t="shared" si="18"/>
        <v>391283.20000000007</v>
      </c>
      <c r="T43" s="391">
        <f t="shared" si="10"/>
        <v>8151.7333333333345</v>
      </c>
      <c r="U43" s="391">
        <f t="shared" si="11"/>
        <v>0</v>
      </c>
      <c r="V43" s="391">
        <f t="shared" si="19"/>
        <v>8151.7333333333345</v>
      </c>
      <c r="W43" s="393">
        <f t="shared" si="20"/>
        <v>0.93333333333333346</v>
      </c>
      <c r="X43" s="393">
        <f t="shared" si="12"/>
        <v>0</v>
      </c>
      <c r="Y43" s="393">
        <f t="shared" si="21"/>
        <v>0.93333333333333346</v>
      </c>
      <c r="Z43" s="412">
        <v>0.95</v>
      </c>
      <c r="AA43" s="412">
        <f t="shared" si="22"/>
        <v>0.56999999999999995</v>
      </c>
      <c r="AB43" s="413">
        <f t="shared" si="23"/>
        <v>0.89300000000000002</v>
      </c>
      <c r="AC43" s="414">
        <f t="shared" si="24"/>
        <v>349415.89760000008</v>
      </c>
      <c r="AD43" s="414">
        <f t="shared" si="25"/>
        <v>7279.4978666666684</v>
      </c>
      <c r="AE43" s="415">
        <f t="shared" si="26"/>
        <v>0.83346666666666691</v>
      </c>
    </row>
    <row r="44" spans="1:31" ht="12.75">
      <c r="A44" s="383">
        <v>5</v>
      </c>
      <c r="B44" s="384" t="str">
        <f>B10</f>
        <v>2-FDC / RH</v>
      </c>
      <c r="C44" s="385">
        <v>1</v>
      </c>
      <c r="D44" s="386">
        <f t="shared" si="13"/>
        <v>8734</v>
      </c>
      <c r="E44" s="387" t="str">
        <f>E10</f>
        <v>150/75 mg</v>
      </c>
      <c r="F44" s="387" t="str">
        <f>F10</f>
        <v>Box of 672 tabs (in blisters)</v>
      </c>
      <c r="G44" s="455">
        <f>G10</f>
        <v>22.01</v>
      </c>
      <c r="H44" s="455">
        <f>H10</f>
        <v>672</v>
      </c>
      <c r="I44" s="390">
        <f t="shared" si="14"/>
        <v>3.2752976190476193E-2</v>
      </c>
      <c r="J44" s="455">
        <f>J10</f>
        <v>4</v>
      </c>
      <c r="K44" s="392">
        <v>28</v>
      </c>
      <c r="L44" s="391">
        <v>0</v>
      </c>
      <c r="M44" s="391">
        <v>4</v>
      </c>
      <c r="N44" s="391">
        <f t="shared" si="15"/>
        <v>0</v>
      </c>
      <c r="O44" s="391">
        <f t="shared" si="16"/>
        <v>448</v>
      </c>
      <c r="P44" s="391">
        <f t="shared" si="17"/>
        <v>448</v>
      </c>
      <c r="Q44" s="391">
        <f t="shared" si="8"/>
        <v>0</v>
      </c>
      <c r="R44" s="391">
        <f t="shared" si="9"/>
        <v>3912832</v>
      </c>
      <c r="S44" s="391">
        <f t="shared" si="18"/>
        <v>3912832</v>
      </c>
      <c r="T44" s="391">
        <f t="shared" si="10"/>
        <v>0</v>
      </c>
      <c r="U44" s="391">
        <f t="shared" si="11"/>
        <v>128156.89333333334</v>
      </c>
      <c r="V44" s="391">
        <f t="shared" si="19"/>
        <v>128156.89333333334</v>
      </c>
      <c r="W44" s="393">
        <f t="shared" si="20"/>
        <v>0</v>
      </c>
      <c r="X44" s="393">
        <f t="shared" si="12"/>
        <v>14.673333333333334</v>
      </c>
      <c r="Y44" s="393">
        <f t="shared" si="21"/>
        <v>14.673333333333334</v>
      </c>
      <c r="Z44" s="412">
        <v>0.95</v>
      </c>
      <c r="AA44" s="412">
        <f t="shared" si="22"/>
        <v>0.56999999999999995</v>
      </c>
      <c r="AB44" s="413">
        <f t="shared" si="23"/>
        <v>0.89300000000000002</v>
      </c>
      <c r="AC44" s="414">
        <f t="shared" si="24"/>
        <v>3494158.9760000003</v>
      </c>
      <c r="AD44" s="414">
        <f t="shared" si="25"/>
        <v>114444.10574666668</v>
      </c>
      <c r="AE44" s="415">
        <f t="shared" si="26"/>
        <v>13.103286666666669</v>
      </c>
    </row>
    <row r="45" spans="1:31" ht="15.75">
      <c r="A45" s="394"/>
      <c r="B45" s="394"/>
      <c r="C45" s="394"/>
      <c r="D45" s="394"/>
      <c r="E45" s="394"/>
      <c r="F45" s="394"/>
      <c r="G45" s="394"/>
      <c r="H45" s="394"/>
      <c r="I45" s="394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5">
        <f>SUM(V40:V44)</f>
        <v>266599.52733333339</v>
      </c>
      <c r="W45" s="391"/>
      <c r="X45" s="391"/>
      <c r="Y45" s="396">
        <f>SUM(Y40:Y44)</f>
        <v>30.524333333333338</v>
      </c>
      <c r="Z45" s="416"/>
      <c r="AA45" s="416"/>
      <c r="AB45" s="416"/>
      <c r="AC45" s="416"/>
      <c r="AD45" s="417">
        <f>SUM(AD40:AD44)</f>
        <v>238073.37790866673</v>
      </c>
      <c r="AE45" s="456">
        <f>SUM(AE40:AE44)</f>
        <v>27.258229666666672</v>
      </c>
    </row>
    <row r="46" spans="1:31" ht="12.75" thickBot="1"/>
    <row r="47" spans="1:31" ht="12.75">
      <c r="A47" s="370"/>
      <c r="B47" s="373" t="s">
        <v>1221</v>
      </c>
      <c r="C47" s="1851" t="s">
        <v>1222</v>
      </c>
      <c r="D47" s="1851"/>
      <c r="E47" s="1851"/>
      <c r="G47" s="1851" t="s">
        <v>1223</v>
      </c>
      <c r="H47" s="1851"/>
      <c r="I47" s="1851"/>
      <c r="K47" s="420" t="s">
        <v>1225</v>
      </c>
      <c r="L47" s="421" t="s">
        <v>1222</v>
      </c>
      <c r="M47" s="422" t="s">
        <v>1224</v>
      </c>
    </row>
    <row r="48" spans="1:31" ht="12.75">
      <c r="A48" s="370"/>
      <c r="B48" s="370"/>
      <c r="C48" s="371" t="s">
        <v>1110</v>
      </c>
      <c r="D48" s="397" t="s">
        <v>4</v>
      </c>
      <c r="E48" s="397" t="s">
        <v>1154</v>
      </c>
      <c r="G48" s="371" t="s">
        <v>1110</v>
      </c>
      <c r="H48" s="397" t="s">
        <v>4</v>
      </c>
      <c r="I48" s="397" t="s">
        <v>1154</v>
      </c>
      <c r="K48" s="423" t="s">
        <v>1155</v>
      </c>
      <c r="L48" s="425">
        <f>E49/E$57</f>
        <v>0.76616610481152314</v>
      </c>
      <c r="M48" s="426">
        <f>I49/I$57</f>
        <v>0.76616610481152314</v>
      </c>
      <c r="S48" s="592"/>
      <c r="AC48" s="592"/>
    </row>
    <row r="49" spans="1:31" ht="13.5" thickBot="1">
      <c r="A49" s="372" t="s">
        <v>41</v>
      </c>
      <c r="B49" s="373" t="s">
        <v>1111</v>
      </c>
      <c r="C49" s="374"/>
      <c r="D49" s="374">
        <f>V45</f>
        <v>266599.52733333339</v>
      </c>
      <c r="E49" s="375">
        <f>Y45</f>
        <v>30.524333333333338</v>
      </c>
      <c r="G49" s="374"/>
      <c r="H49" s="374">
        <f>AD45</f>
        <v>238073.37790866673</v>
      </c>
      <c r="I49" s="375">
        <f>AE45</f>
        <v>27.258229666666672</v>
      </c>
      <c r="K49" s="424" t="s">
        <v>1004</v>
      </c>
      <c r="L49" s="427">
        <f t="shared" ref="L49" si="27">E50/E$57</f>
        <v>0.23383389518847689</v>
      </c>
      <c r="M49" s="428">
        <f>I50/I$57</f>
        <v>0.23383389518847686</v>
      </c>
    </row>
    <row r="50" spans="1:31" ht="12.75">
      <c r="A50" s="372" t="s">
        <v>43</v>
      </c>
      <c r="B50" s="373" t="s">
        <v>1112</v>
      </c>
      <c r="C50" s="373"/>
      <c r="D50" s="374">
        <f>SUM(D51:D56)</f>
        <v>81366.175742133346</v>
      </c>
      <c r="E50" s="375">
        <f>SUM(E51:E56)</f>
        <v>9.3160265333333356</v>
      </c>
      <c r="F50" s="398"/>
      <c r="G50" s="373"/>
      <c r="H50" s="374">
        <f>SUM(H51:H56)</f>
        <v>72659.994937725074</v>
      </c>
      <c r="I50" s="375">
        <f>SUM(I51:I56)</f>
        <v>8.3192116942666683</v>
      </c>
    </row>
    <row r="51" spans="1:31" ht="12.75">
      <c r="A51" s="376">
        <v>1</v>
      </c>
      <c r="B51" s="377" t="s">
        <v>1113</v>
      </c>
      <c r="C51" s="378">
        <v>4.2000000000000003E-2</v>
      </c>
      <c r="D51" s="399">
        <f t="shared" ref="D51:D56" si="28">D$49*C51</f>
        <v>11197.180148000003</v>
      </c>
      <c r="E51" s="379">
        <f t="shared" ref="E51:E56" si="29">E$49*C51</f>
        <v>1.2820220000000002</v>
      </c>
      <c r="F51" s="398"/>
      <c r="G51" s="378">
        <f>C51</f>
        <v>4.2000000000000003E-2</v>
      </c>
      <c r="H51" s="399">
        <f>H$49*G51</f>
        <v>9999.0818721640044</v>
      </c>
      <c r="I51" s="379">
        <f>I$49*G51</f>
        <v>1.1448456460000003</v>
      </c>
    </row>
    <row r="52" spans="1:31" ht="12.75">
      <c r="A52" s="376">
        <v>2</v>
      </c>
      <c r="B52" s="377" t="s">
        <v>1156</v>
      </c>
      <c r="C52" s="378">
        <v>0.2</v>
      </c>
      <c r="D52" s="399">
        <f t="shared" si="28"/>
        <v>53319.905466666678</v>
      </c>
      <c r="E52" s="379">
        <f t="shared" si="29"/>
        <v>6.104866666666668</v>
      </c>
      <c r="F52" s="398"/>
      <c r="G52" s="378">
        <f t="shared" ref="G52:G56" si="30">C52</f>
        <v>0.2</v>
      </c>
      <c r="H52" s="399">
        <f t="shared" ref="H52:H56" si="31">H$49*G52</f>
        <v>47614.675581733347</v>
      </c>
      <c r="I52" s="379">
        <f t="shared" ref="I52:I56" si="32">I$49*G52</f>
        <v>5.4516459333333351</v>
      </c>
    </row>
    <row r="53" spans="1:31" ht="13.5" thickBot="1">
      <c r="A53" s="376">
        <v>3</v>
      </c>
      <c r="B53" s="377" t="s">
        <v>1114</v>
      </c>
      <c r="C53" s="378">
        <v>1.2E-2</v>
      </c>
      <c r="D53" s="399">
        <f t="shared" si="28"/>
        <v>3199.194328000001</v>
      </c>
      <c r="E53" s="379">
        <f t="shared" si="29"/>
        <v>0.36629200000000006</v>
      </c>
      <c r="F53" s="398"/>
      <c r="G53" s="378">
        <f t="shared" si="30"/>
        <v>1.2E-2</v>
      </c>
      <c r="H53" s="399">
        <f t="shared" si="31"/>
        <v>2856.8805349040008</v>
      </c>
      <c r="I53" s="379">
        <f t="shared" si="32"/>
        <v>0.32709875600000005</v>
      </c>
    </row>
    <row r="54" spans="1:31" ht="15.75" thickBot="1">
      <c r="A54" s="376">
        <v>4</v>
      </c>
      <c r="B54" s="377" t="s">
        <v>1157</v>
      </c>
      <c r="C54" s="378">
        <v>1.1999999999999999E-3</v>
      </c>
      <c r="D54" s="399">
        <f t="shared" si="28"/>
        <v>319.91943280000004</v>
      </c>
      <c r="E54" s="379">
        <f t="shared" si="29"/>
        <v>3.6629200000000001E-2</v>
      </c>
      <c r="F54" s="398"/>
      <c r="G54" s="378">
        <f t="shared" si="30"/>
        <v>1.1999999999999999E-3</v>
      </c>
      <c r="H54" s="399">
        <f t="shared" si="31"/>
        <v>285.68805349040008</v>
      </c>
      <c r="I54" s="379">
        <f t="shared" si="32"/>
        <v>3.27098756E-2</v>
      </c>
      <c r="L54" s="1440"/>
      <c r="M54" s="1441"/>
      <c r="N54" s="1441"/>
      <c r="O54" s="1441"/>
    </row>
    <row r="55" spans="1:31" ht="12.75">
      <c r="A55" s="376">
        <v>5</v>
      </c>
      <c r="B55" s="377" t="s">
        <v>1115</v>
      </c>
      <c r="C55" s="378">
        <v>0.02</v>
      </c>
      <c r="D55" s="399">
        <f t="shared" si="28"/>
        <v>5331.9905466666678</v>
      </c>
      <c r="E55" s="379">
        <f t="shared" si="29"/>
        <v>0.61048666666666673</v>
      </c>
      <c r="F55" s="398"/>
      <c r="G55" s="378">
        <f t="shared" si="30"/>
        <v>0.02</v>
      </c>
      <c r="H55" s="399">
        <f t="shared" si="31"/>
        <v>4761.4675581733345</v>
      </c>
      <c r="I55" s="379">
        <f t="shared" si="32"/>
        <v>0.54516459333333345</v>
      </c>
    </row>
    <row r="56" spans="1:31" ht="12.75">
      <c r="A56" s="376">
        <v>6</v>
      </c>
      <c r="B56" s="377" t="s">
        <v>1116</v>
      </c>
      <c r="C56" s="378">
        <v>0.03</v>
      </c>
      <c r="D56" s="399">
        <f t="shared" si="28"/>
        <v>7997.9858200000017</v>
      </c>
      <c r="E56" s="379">
        <f t="shared" si="29"/>
        <v>0.91573000000000015</v>
      </c>
      <c r="F56" s="398"/>
      <c r="G56" s="378">
        <f t="shared" si="30"/>
        <v>0.03</v>
      </c>
      <c r="H56" s="399">
        <f t="shared" si="31"/>
        <v>7142.2013372600022</v>
      </c>
      <c r="I56" s="379">
        <f t="shared" si="32"/>
        <v>0.81774689000000012</v>
      </c>
    </row>
    <row r="57" spans="1:31" ht="13.5" thickBot="1">
      <c r="A57" s="372" t="s">
        <v>45</v>
      </c>
      <c r="B57" s="373" t="s">
        <v>1117</v>
      </c>
      <c r="C57" s="374"/>
      <c r="D57" s="374">
        <f>SUM(D49,D50)</f>
        <v>347965.70307546674</v>
      </c>
      <c r="E57" s="375">
        <f>SUM(E49,E50)</f>
        <v>39.840359866666674</v>
      </c>
      <c r="F57" s="398"/>
      <c r="G57" s="374"/>
      <c r="H57" s="374">
        <f>SUM(H49,H50)</f>
        <v>310733.37284639181</v>
      </c>
      <c r="I57" s="375">
        <f>SUM(I49,I50)</f>
        <v>35.577441360933342</v>
      </c>
    </row>
    <row r="58" spans="1:31" ht="15.75" thickBot="1">
      <c r="A58" s="429" t="s">
        <v>47</v>
      </c>
      <c r="B58" s="429" t="s">
        <v>1118</v>
      </c>
      <c r="C58" s="430"/>
      <c r="D58" s="430"/>
      <c r="E58" s="458">
        <f>ROUND(E57,1)</f>
        <v>39.799999999999997</v>
      </c>
      <c r="F58" s="398"/>
      <c r="G58" s="430"/>
      <c r="H58" s="430"/>
      <c r="I58" s="457">
        <f>ROUND(I57,1)</f>
        <v>35.6</v>
      </c>
    </row>
    <row r="60" spans="1:31" ht="15.75">
      <c r="A60" s="467" t="s">
        <v>45</v>
      </c>
      <c r="B60" s="465" t="s">
        <v>1169</v>
      </c>
      <c r="C60" s="464"/>
      <c r="D60" s="464"/>
      <c r="E60" s="464"/>
      <c r="F60" s="464"/>
      <c r="G60" s="464"/>
      <c r="H60" s="464"/>
      <c r="I60" s="464"/>
      <c r="J60" s="464"/>
      <c r="K60" s="464"/>
      <c r="L60" s="464"/>
      <c r="M60" s="464"/>
      <c r="N60" s="464"/>
      <c r="O60" s="464"/>
      <c r="P60" s="464"/>
      <c r="Q60" s="464"/>
      <c r="R60" s="464"/>
      <c r="S60" s="464"/>
      <c r="T60" s="464"/>
      <c r="U60" s="464"/>
      <c r="V60" s="464"/>
      <c r="W60" s="464"/>
      <c r="X60" s="464"/>
      <c r="Y60" s="464"/>
      <c r="Z60" s="464"/>
      <c r="AA60" s="464"/>
      <c r="AB60" s="464"/>
      <c r="AC60" s="464"/>
      <c r="AD60" s="464"/>
      <c r="AE60" s="464"/>
    </row>
    <row r="61" spans="1:31" ht="12.75">
      <c r="G61" s="442"/>
      <c r="H61" s="442"/>
      <c r="J61" s="442"/>
      <c r="Z61" s="373" t="s">
        <v>1215</v>
      </c>
      <c r="AC61" s="366" t="s">
        <v>1217</v>
      </c>
      <c r="AE61" s="418">
        <v>0.8</v>
      </c>
    </row>
    <row r="62" spans="1:31" ht="15.75">
      <c r="B62" s="369" t="s">
        <v>1109</v>
      </c>
      <c r="C62" s="476">
        <f>SUM(CALCULATIONS!F184:H184)</f>
        <v>347</v>
      </c>
      <c r="Z62" s="373" t="s">
        <v>1216</v>
      </c>
      <c r="AC62" s="366" t="s">
        <v>1218</v>
      </c>
      <c r="AE62" s="418">
        <f>1-AE61</f>
        <v>0.19999999999999996</v>
      </c>
    </row>
    <row r="63" spans="1:31" ht="12.75">
      <c r="AC63" s="366" t="s">
        <v>1219</v>
      </c>
      <c r="AE63" s="419">
        <v>6</v>
      </c>
    </row>
    <row r="64" spans="1:31" ht="14.45" customHeight="1">
      <c r="A64" s="1852" t="s">
        <v>243</v>
      </c>
      <c r="B64" s="1852" t="s">
        <v>1120</v>
      </c>
      <c r="C64" s="1852" t="s">
        <v>1121</v>
      </c>
      <c r="D64" s="1852" t="s">
        <v>1122</v>
      </c>
      <c r="E64" s="1852" t="s">
        <v>1123</v>
      </c>
      <c r="F64" s="1852" t="s">
        <v>1124</v>
      </c>
      <c r="G64" s="1852" t="s">
        <v>1125</v>
      </c>
      <c r="H64" s="1852" t="s">
        <v>1126</v>
      </c>
      <c r="I64" s="1852" t="s">
        <v>1127</v>
      </c>
      <c r="J64" s="1852" t="s">
        <v>1128</v>
      </c>
      <c r="K64" s="1852" t="s">
        <v>1129</v>
      </c>
      <c r="L64" s="1855" t="s">
        <v>1130</v>
      </c>
      <c r="M64" s="1857"/>
      <c r="N64" s="1855" t="s">
        <v>1131</v>
      </c>
      <c r="O64" s="1856"/>
      <c r="P64" s="1857"/>
      <c r="Q64" s="1855" t="s">
        <v>1132</v>
      </c>
      <c r="R64" s="1856"/>
      <c r="S64" s="1857"/>
      <c r="T64" s="1855" t="s">
        <v>1133</v>
      </c>
      <c r="U64" s="1856"/>
      <c r="V64" s="1857"/>
      <c r="W64" s="1855" t="s">
        <v>1134</v>
      </c>
      <c r="X64" s="1856"/>
      <c r="Y64" s="1857"/>
      <c r="Z64" s="1854" t="s">
        <v>1211</v>
      </c>
      <c r="AA64" s="1854"/>
      <c r="AB64" s="1854"/>
      <c r="AC64" s="1849" t="s">
        <v>1212</v>
      </c>
      <c r="AD64" s="1849" t="s">
        <v>1133</v>
      </c>
      <c r="AE64" s="1849" t="s">
        <v>1220</v>
      </c>
    </row>
    <row r="65" spans="1:31" ht="25.5">
      <c r="A65" s="1853"/>
      <c r="B65" s="1853"/>
      <c r="C65" s="1853"/>
      <c r="D65" s="1853"/>
      <c r="E65" s="1853"/>
      <c r="F65" s="1853"/>
      <c r="G65" s="1853"/>
      <c r="H65" s="1853"/>
      <c r="I65" s="1853"/>
      <c r="J65" s="1853"/>
      <c r="K65" s="1853"/>
      <c r="L65" s="382" t="s">
        <v>1135</v>
      </c>
      <c r="M65" s="382" t="s">
        <v>1136</v>
      </c>
      <c r="N65" s="382" t="s">
        <v>1135</v>
      </c>
      <c r="O65" s="382" t="s">
        <v>1136</v>
      </c>
      <c r="P65" s="382" t="s">
        <v>4</v>
      </c>
      <c r="Q65" s="382" t="s">
        <v>1135</v>
      </c>
      <c r="R65" s="382" t="s">
        <v>1136</v>
      </c>
      <c r="S65" s="382" t="s">
        <v>4</v>
      </c>
      <c r="T65" s="382" t="s">
        <v>1135</v>
      </c>
      <c r="U65" s="382" t="s">
        <v>1136</v>
      </c>
      <c r="V65" s="382" t="s">
        <v>4</v>
      </c>
      <c r="W65" s="382" t="s">
        <v>1135</v>
      </c>
      <c r="X65" s="382" t="s">
        <v>1136</v>
      </c>
      <c r="Y65" s="382" t="s">
        <v>4</v>
      </c>
      <c r="Z65" s="411" t="s">
        <v>1213</v>
      </c>
      <c r="AA65" s="411" t="s">
        <v>1214</v>
      </c>
      <c r="AB65" s="411" t="s">
        <v>4</v>
      </c>
      <c r="AC65" s="1850"/>
      <c r="AD65" s="1850"/>
      <c r="AE65" s="1850"/>
    </row>
    <row r="66" spans="1:31" ht="12.75">
      <c r="A66" s="383">
        <v>1</v>
      </c>
      <c r="B66" s="384" t="str">
        <f>B22</f>
        <v>Rifampicin</v>
      </c>
      <c r="C66" s="385">
        <v>0.8</v>
      </c>
      <c r="D66" s="386">
        <f>C$62*C66</f>
        <v>277.60000000000002</v>
      </c>
      <c r="E66" s="387" t="str">
        <f>E22</f>
        <v>150 mg</v>
      </c>
      <c r="F66" s="387" t="str">
        <f>F22</f>
        <v>Box of 100 tabs in blisters</v>
      </c>
      <c r="G66" s="384">
        <f>G22</f>
        <v>14.85</v>
      </c>
      <c r="H66" s="384">
        <f>H22</f>
        <v>100</v>
      </c>
      <c r="I66" s="390">
        <f>G66/H66</f>
        <v>0.14849999999999999</v>
      </c>
      <c r="J66" s="384">
        <f>J22</f>
        <v>4</v>
      </c>
      <c r="K66" s="392">
        <v>28</v>
      </c>
      <c r="L66" s="391">
        <v>3</v>
      </c>
      <c r="M66" s="391">
        <v>6</v>
      </c>
      <c r="N66" s="391">
        <f>J66*K66*L66</f>
        <v>336</v>
      </c>
      <c r="O66" s="391">
        <f>J66*K66*M66</f>
        <v>672</v>
      </c>
      <c r="P66" s="391">
        <f>SUM(N66:O66)</f>
        <v>1008</v>
      </c>
      <c r="Q66" s="391">
        <f t="shared" ref="Q66:Q79" si="33">N66*D66</f>
        <v>93273.600000000006</v>
      </c>
      <c r="R66" s="391">
        <f t="shared" ref="R66:R79" si="34">O66*D66</f>
        <v>186547.20000000001</v>
      </c>
      <c r="S66" s="391">
        <f>SUM(Q66:R66)</f>
        <v>279820.80000000005</v>
      </c>
      <c r="T66" s="391">
        <f t="shared" ref="T66:T79" si="35">Q66*I66</f>
        <v>13851.1296</v>
      </c>
      <c r="U66" s="391">
        <f t="shared" ref="U66:U79" si="36">R66*I66</f>
        <v>27702.2592</v>
      </c>
      <c r="V66" s="391">
        <f>SUM(T66:U66)</f>
        <v>41553.388800000001</v>
      </c>
      <c r="W66" s="393">
        <f>T66/($C$62)</f>
        <v>39.916800000000002</v>
      </c>
      <c r="X66" s="393">
        <f t="shared" ref="X66:X79" si="37">U66/($C$62)</f>
        <v>79.833600000000004</v>
      </c>
      <c r="Y66" s="393">
        <f>SUM(W66:X66)</f>
        <v>119.75040000000001</v>
      </c>
      <c r="Z66" s="412">
        <v>0.9</v>
      </c>
      <c r="AA66" s="412">
        <f t="shared" ref="AA66:AA72" si="38">Z66*80%*AE$106/(L66+M66)</f>
        <v>0.56000000000000005</v>
      </c>
      <c r="AB66" s="413">
        <f>Z66*AE$61+AA66*AE$62</f>
        <v>0.83200000000000007</v>
      </c>
      <c r="AC66" s="414">
        <f>S66*AB66</f>
        <v>232810.90560000006</v>
      </c>
      <c r="AD66" s="414">
        <f>AC66*I66</f>
        <v>34572.419481600009</v>
      </c>
      <c r="AE66" s="415">
        <f>AD66/C$62</f>
        <v>99.632332800000029</v>
      </c>
    </row>
    <row r="67" spans="1:31" ht="12.75">
      <c r="A67" s="383">
        <v>2</v>
      </c>
      <c r="B67" s="384" t="str">
        <f>B11</f>
        <v>Ethambutol</v>
      </c>
      <c r="C67" s="385">
        <v>0.8</v>
      </c>
      <c r="D67" s="386">
        <f t="shared" ref="D67:D77" si="39">C$62*C67</f>
        <v>277.60000000000002</v>
      </c>
      <c r="E67" s="387" t="str">
        <f t="shared" ref="E67:H68" si="40">E11</f>
        <v>400 mg</v>
      </c>
      <c r="F67" s="387" t="str">
        <f t="shared" si="40"/>
        <v>Box of 672 tabs (in blisters)</v>
      </c>
      <c r="G67" s="384">
        <f t="shared" si="40"/>
        <v>24.1</v>
      </c>
      <c r="H67" s="384">
        <f t="shared" si="40"/>
        <v>672</v>
      </c>
      <c r="I67" s="390">
        <f t="shared" ref="I67:I79" si="41">G67/H67</f>
        <v>3.5863095238095243E-2</v>
      </c>
      <c r="J67" s="384">
        <f>J11</f>
        <v>3</v>
      </c>
      <c r="K67" s="392">
        <v>28</v>
      </c>
      <c r="L67" s="391">
        <v>3</v>
      </c>
      <c r="M67" s="391">
        <v>6</v>
      </c>
      <c r="N67" s="391">
        <f t="shared" ref="N67:N79" si="42">J67*K67*L67</f>
        <v>252</v>
      </c>
      <c r="O67" s="391">
        <f t="shared" ref="O67:O79" si="43">J67*K67*M67</f>
        <v>504</v>
      </c>
      <c r="P67" s="391">
        <f t="shared" ref="P67:P79" si="44">SUM(N67:O67)</f>
        <v>756</v>
      </c>
      <c r="Q67" s="391">
        <f t="shared" si="33"/>
        <v>69955.200000000012</v>
      </c>
      <c r="R67" s="391">
        <f t="shared" si="34"/>
        <v>139910.40000000002</v>
      </c>
      <c r="S67" s="391">
        <f t="shared" ref="S67:S79" si="45">SUM(Q67:R67)</f>
        <v>209865.60000000003</v>
      </c>
      <c r="T67" s="391">
        <f t="shared" si="35"/>
        <v>2508.8100000000009</v>
      </c>
      <c r="U67" s="391">
        <f t="shared" si="36"/>
        <v>5017.6200000000017</v>
      </c>
      <c r="V67" s="391">
        <f t="shared" ref="V67:V79" si="46">SUM(T67:U67)</f>
        <v>7526.4300000000021</v>
      </c>
      <c r="W67" s="393">
        <f t="shared" ref="W67:W79" si="47">T67/($C$62)</f>
        <v>7.2300000000000022</v>
      </c>
      <c r="X67" s="393">
        <f t="shared" si="37"/>
        <v>14.460000000000004</v>
      </c>
      <c r="Y67" s="393">
        <f t="shared" ref="Y67:Y79" si="48">SUM(W67:X67)</f>
        <v>21.690000000000005</v>
      </c>
      <c r="Z67" s="412">
        <v>0.9</v>
      </c>
      <c r="AA67" s="412">
        <f t="shared" si="38"/>
        <v>0.56000000000000005</v>
      </c>
      <c r="AB67" s="413">
        <f t="shared" ref="AB67:AB79" si="49">Z67*AE$61+AA67*AE$62</f>
        <v>0.83200000000000007</v>
      </c>
      <c r="AC67" s="414">
        <f t="shared" ref="AC67:AC79" si="50">S67*AB67</f>
        <v>174608.17920000004</v>
      </c>
      <c r="AD67" s="414">
        <f t="shared" ref="AD67:AD79" si="51">AC67*I67</f>
        <v>6261.9897600000022</v>
      </c>
      <c r="AE67" s="415">
        <f t="shared" ref="AE67:AE79" si="52">AD67/C$62</f>
        <v>18.046080000000007</v>
      </c>
    </row>
    <row r="68" spans="1:31" ht="12.75">
      <c r="A68" s="383">
        <v>3</v>
      </c>
      <c r="B68" s="384" t="str">
        <f>B12</f>
        <v>Pyrazinamide</v>
      </c>
      <c r="C68" s="385">
        <v>0.8</v>
      </c>
      <c r="D68" s="386">
        <f t="shared" si="39"/>
        <v>277.60000000000002</v>
      </c>
      <c r="E68" s="387" t="str">
        <f t="shared" si="40"/>
        <v>400 mg</v>
      </c>
      <c r="F68" s="387" t="str">
        <f t="shared" si="40"/>
        <v>Box of 672 tabs (in blisters)</v>
      </c>
      <c r="G68" s="384">
        <f t="shared" si="40"/>
        <v>14</v>
      </c>
      <c r="H68" s="384">
        <f t="shared" si="40"/>
        <v>672</v>
      </c>
      <c r="I68" s="390">
        <f t="shared" si="41"/>
        <v>2.0833333333333332E-2</v>
      </c>
      <c r="J68" s="384">
        <f>J12</f>
        <v>4</v>
      </c>
      <c r="K68" s="392">
        <v>28</v>
      </c>
      <c r="L68" s="391">
        <v>3</v>
      </c>
      <c r="M68" s="391">
        <v>6</v>
      </c>
      <c r="N68" s="391">
        <f t="shared" si="42"/>
        <v>336</v>
      </c>
      <c r="O68" s="391">
        <f t="shared" si="43"/>
        <v>672</v>
      </c>
      <c r="P68" s="391">
        <f t="shared" si="44"/>
        <v>1008</v>
      </c>
      <c r="Q68" s="391">
        <f t="shared" si="33"/>
        <v>93273.600000000006</v>
      </c>
      <c r="R68" s="391">
        <f t="shared" si="34"/>
        <v>186547.20000000001</v>
      </c>
      <c r="S68" s="391">
        <f t="shared" si="45"/>
        <v>279820.80000000005</v>
      </c>
      <c r="T68" s="391">
        <f t="shared" si="35"/>
        <v>1943.2</v>
      </c>
      <c r="U68" s="391">
        <f t="shared" si="36"/>
        <v>3886.4</v>
      </c>
      <c r="V68" s="391">
        <f t="shared" si="46"/>
        <v>5829.6</v>
      </c>
      <c r="W68" s="393">
        <f t="shared" si="47"/>
        <v>5.6000000000000005</v>
      </c>
      <c r="X68" s="393">
        <f t="shared" si="37"/>
        <v>11.200000000000001</v>
      </c>
      <c r="Y68" s="393">
        <f t="shared" si="48"/>
        <v>16.8</v>
      </c>
      <c r="Z68" s="412">
        <v>0.9</v>
      </c>
      <c r="AA68" s="412">
        <f t="shared" si="38"/>
        <v>0.56000000000000005</v>
      </c>
      <c r="AB68" s="413">
        <f t="shared" si="49"/>
        <v>0.83200000000000007</v>
      </c>
      <c r="AC68" s="414">
        <f t="shared" si="50"/>
        <v>232810.90560000006</v>
      </c>
      <c r="AD68" s="414">
        <f t="shared" si="51"/>
        <v>4850.2272000000012</v>
      </c>
      <c r="AE68" s="415">
        <f t="shared" si="52"/>
        <v>13.977600000000004</v>
      </c>
    </row>
    <row r="69" spans="1:31" ht="12.75">
      <c r="A69" s="383">
        <v>4</v>
      </c>
      <c r="B69" s="384" t="str">
        <f>B17</f>
        <v>Levofloxacin</v>
      </c>
      <c r="C69" s="385">
        <v>0.4</v>
      </c>
      <c r="D69" s="386">
        <f t="shared" si="39"/>
        <v>138.80000000000001</v>
      </c>
      <c r="E69" s="387" t="str">
        <f>E17</f>
        <v>250 mg</v>
      </c>
      <c r="F69" s="387" t="str">
        <f>F17</f>
        <v>Box of 100 tabs in blisters</v>
      </c>
      <c r="G69" s="384">
        <f>G17</f>
        <v>3.78</v>
      </c>
      <c r="H69" s="384">
        <f>H17</f>
        <v>100</v>
      </c>
      <c r="I69" s="390">
        <f t="shared" ref="I69" si="53">G69/H69</f>
        <v>3.78E-2</v>
      </c>
      <c r="J69" s="384">
        <f>J17</f>
        <v>4</v>
      </c>
      <c r="K69" s="384">
        <v>28</v>
      </c>
      <c r="L69" s="391">
        <v>3</v>
      </c>
      <c r="M69" s="391">
        <v>6</v>
      </c>
      <c r="N69" s="391">
        <f t="shared" si="42"/>
        <v>336</v>
      </c>
      <c r="O69" s="391">
        <f t="shared" si="43"/>
        <v>672</v>
      </c>
      <c r="P69" s="391">
        <f t="shared" si="44"/>
        <v>1008</v>
      </c>
      <c r="Q69" s="391">
        <f t="shared" si="33"/>
        <v>46636.800000000003</v>
      </c>
      <c r="R69" s="391">
        <f t="shared" si="34"/>
        <v>93273.600000000006</v>
      </c>
      <c r="S69" s="391">
        <f t="shared" si="45"/>
        <v>139910.40000000002</v>
      </c>
      <c r="T69" s="391">
        <f t="shared" si="35"/>
        <v>1762.8710400000002</v>
      </c>
      <c r="U69" s="391">
        <f t="shared" si="36"/>
        <v>3525.7420800000004</v>
      </c>
      <c r="V69" s="391">
        <f t="shared" si="46"/>
        <v>5288.6131200000009</v>
      </c>
      <c r="W69" s="393">
        <f t="shared" si="47"/>
        <v>5.0803200000000004</v>
      </c>
      <c r="X69" s="393">
        <f t="shared" si="37"/>
        <v>10.160640000000001</v>
      </c>
      <c r="Y69" s="393">
        <f t="shared" si="48"/>
        <v>15.240960000000001</v>
      </c>
      <c r="Z69" s="412">
        <v>0.9</v>
      </c>
      <c r="AA69" s="412">
        <f t="shared" si="38"/>
        <v>0.56000000000000005</v>
      </c>
      <c r="AB69" s="413">
        <f t="shared" si="49"/>
        <v>0.83200000000000007</v>
      </c>
      <c r="AC69" s="414">
        <f t="shared" si="50"/>
        <v>116405.45280000003</v>
      </c>
      <c r="AD69" s="414">
        <f t="shared" si="51"/>
        <v>4400.1261158400011</v>
      </c>
      <c r="AE69" s="415">
        <f t="shared" si="52"/>
        <v>12.680478720000004</v>
      </c>
    </row>
    <row r="70" spans="1:31" ht="12.75">
      <c r="A70" s="383">
        <v>5</v>
      </c>
      <c r="B70" s="384" t="str">
        <f>B22</f>
        <v>Rifampicin</v>
      </c>
      <c r="C70" s="385">
        <v>0.1</v>
      </c>
      <c r="D70" s="386">
        <f t="shared" si="39"/>
        <v>34.700000000000003</v>
      </c>
      <c r="E70" s="387" t="str">
        <f>E22</f>
        <v>150 mg</v>
      </c>
      <c r="F70" s="387" t="str">
        <f>F22</f>
        <v>Box of 100 tabs in blisters</v>
      </c>
      <c r="G70" s="384">
        <f>G22</f>
        <v>14.85</v>
      </c>
      <c r="H70" s="384">
        <f>H22</f>
        <v>100</v>
      </c>
      <c r="I70" s="390">
        <f t="shared" si="41"/>
        <v>0.14849999999999999</v>
      </c>
      <c r="J70" s="384">
        <f>J22</f>
        <v>4</v>
      </c>
      <c r="K70" s="392">
        <v>28</v>
      </c>
      <c r="L70" s="391">
        <v>3</v>
      </c>
      <c r="M70" s="391">
        <v>9</v>
      </c>
      <c r="N70" s="391">
        <f>J70*K70*L70</f>
        <v>336</v>
      </c>
      <c r="O70" s="391">
        <f>J70*K70*M70</f>
        <v>1008</v>
      </c>
      <c r="P70" s="391">
        <f>SUM(N70:O70)</f>
        <v>1344</v>
      </c>
      <c r="Q70" s="391">
        <f t="shared" ref="Q70:Q72" si="54">N70*D70</f>
        <v>11659.2</v>
      </c>
      <c r="R70" s="391">
        <f t="shared" ref="R70:R72" si="55">O70*D70</f>
        <v>34977.600000000006</v>
      </c>
      <c r="S70" s="391">
        <f>SUM(Q70:R70)</f>
        <v>46636.800000000003</v>
      </c>
      <c r="T70" s="391">
        <f t="shared" ref="T70:T72" si="56">Q70*I70</f>
        <v>1731.3912</v>
      </c>
      <c r="U70" s="391">
        <f t="shared" ref="U70:U72" si="57">R70*I70</f>
        <v>5194.173600000001</v>
      </c>
      <c r="V70" s="391">
        <f>SUM(T70:U70)</f>
        <v>6925.564800000001</v>
      </c>
      <c r="W70" s="393">
        <f t="shared" si="47"/>
        <v>4.9896000000000003</v>
      </c>
      <c r="X70" s="393">
        <f t="shared" si="37"/>
        <v>14.968800000000003</v>
      </c>
      <c r="Y70" s="393">
        <f>SUM(W70:X70)</f>
        <v>19.958400000000005</v>
      </c>
      <c r="Z70" s="412">
        <v>0.9</v>
      </c>
      <c r="AA70" s="412">
        <f t="shared" si="38"/>
        <v>0.4200000000000001</v>
      </c>
      <c r="AB70" s="413">
        <f t="shared" si="49"/>
        <v>0.80400000000000005</v>
      </c>
      <c r="AC70" s="414">
        <f>S70*AB70</f>
        <v>37495.987200000003</v>
      </c>
      <c r="AD70" s="414">
        <f>AC70*I70</f>
        <v>5568.1540992</v>
      </c>
      <c r="AE70" s="415">
        <f t="shared" si="52"/>
        <v>16.046553599999999</v>
      </c>
    </row>
    <row r="71" spans="1:31" ht="12.75">
      <c r="A71" s="383">
        <v>6</v>
      </c>
      <c r="B71" s="384" t="str">
        <f>B12</f>
        <v>Pyrazinamide</v>
      </c>
      <c r="C71" s="385">
        <v>0.1</v>
      </c>
      <c r="D71" s="386">
        <f t="shared" si="39"/>
        <v>34.700000000000003</v>
      </c>
      <c r="E71" s="387" t="str">
        <f>E12</f>
        <v>400 mg</v>
      </c>
      <c r="F71" s="387" t="str">
        <f>F12</f>
        <v>Box of 672 tabs (in blisters)</v>
      </c>
      <c r="G71" s="384">
        <f>G12</f>
        <v>14</v>
      </c>
      <c r="H71" s="384">
        <f>H12</f>
        <v>672</v>
      </c>
      <c r="I71" s="390">
        <f t="shared" si="41"/>
        <v>2.0833333333333332E-2</v>
      </c>
      <c r="J71" s="384">
        <f>J12</f>
        <v>4</v>
      </c>
      <c r="K71" s="392">
        <v>28</v>
      </c>
      <c r="L71" s="391">
        <v>3</v>
      </c>
      <c r="M71" s="391">
        <v>9</v>
      </c>
      <c r="N71" s="391">
        <f t="shared" ref="N71:N72" si="58">J71*K71*L71</f>
        <v>336</v>
      </c>
      <c r="O71" s="391">
        <f t="shared" ref="O71:O72" si="59">J71*K71*M71</f>
        <v>1008</v>
      </c>
      <c r="P71" s="391">
        <f t="shared" ref="P71:P72" si="60">SUM(N71:O71)</f>
        <v>1344</v>
      </c>
      <c r="Q71" s="391">
        <f t="shared" si="54"/>
        <v>11659.2</v>
      </c>
      <c r="R71" s="391">
        <f t="shared" si="55"/>
        <v>34977.600000000006</v>
      </c>
      <c r="S71" s="391">
        <f t="shared" ref="S71:S72" si="61">SUM(Q71:R71)</f>
        <v>46636.800000000003</v>
      </c>
      <c r="T71" s="391">
        <f t="shared" si="56"/>
        <v>242.9</v>
      </c>
      <c r="U71" s="391">
        <f t="shared" si="57"/>
        <v>728.7</v>
      </c>
      <c r="V71" s="391">
        <f t="shared" ref="V71:V72" si="62">SUM(T71:U71)</f>
        <v>971.6</v>
      </c>
      <c r="W71" s="393">
        <f t="shared" si="47"/>
        <v>0.70000000000000007</v>
      </c>
      <c r="X71" s="393">
        <f t="shared" si="37"/>
        <v>2.1</v>
      </c>
      <c r="Y71" s="393">
        <f t="shared" ref="Y71:Y72" si="63">SUM(W71:X71)</f>
        <v>2.8000000000000003</v>
      </c>
      <c r="Z71" s="412">
        <v>0.9</v>
      </c>
      <c r="AA71" s="412">
        <f t="shared" si="38"/>
        <v>0.4200000000000001</v>
      </c>
      <c r="AB71" s="413">
        <f t="shared" si="49"/>
        <v>0.80400000000000005</v>
      </c>
      <c r="AC71" s="414">
        <f t="shared" ref="AC71:AC72" si="64">S71*AB71</f>
        <v>37495.987200000003</v>
      </c>
      <c r="AD71" s="414">
        <f t="shared" ref="AD71:AD72" si="65">AC71*I71</f>
        <v>781.16640000000007</v>
      </c>
      <c r="AE71" s="415">
        <f t="shared" si="52"/>
        <v>2.2512000000000003</v>
      </c>
    </row>
    <row r="72" spans="1:31" ht="12.75">
      <c r="A72" s="383">
        <v>7</v>
      </c>
      <c r="B72" s="384" t="str">
        <f>B17</f>
        <v>Levofloxacin</v>
      </c>
      <c r="C72" s="385">
        <v>0.1</v>
      </c>
      <c r="D72" s="386">
        <f t="shared" si="39"/>
        <v>34.700000000000003</v>
      </c>
      <c r="E72" s="387" t="str">
        <f>E17</f>
        <v>250 mg</v>
      </c>
      <c r="F72" s="387" t="str">
        <f>F17</f>
        <v>Box of 100 tabs in blisters</v>
      </c>
      <c r="G72" s="384">
        <f>G17</f>
        <v>3.78</v>
      </c>
      <c r="H72" s="384">
        <f>H17</f>
        <v>100</v>
      </c>
      <c r="I72" s="390">
        <f t="shared" si="41"/>
        <v>3.78E-2</v>
      </c>
      <c r="J72" s="384">
        <f>J17</f>
        <v>4</v>
      </c>
      <c r="K72" s="392">
        <v>28</v>
      </c>
      <c r="L72" s="391">
        <v>3</v>
      </c>
      <c r="M72" s="391">
        <v>9</v>
      </c>
      <c r="N72" s="391">
        <f t="shared" si="58"/>
        <v>336</v>
      </c>
      <c r="O72" s="391">
        <f t="shared" si="59"/>
        <v>1008</v>
      </c>
      <c r="P72" s="391">
        <f t="shared" si="60"/>
        <v>1344</v>
      </c>
      <c r="Q72" s="391">
        <f t="shared" si="54"/>
        <v>11659.2</v>
      </c>
      <c r="R72" s="391">
        <f t="shared" si="55"/>
        <v>34977.600000000006</v>
      </c>
      <c r="S72" s="391">
        <f t="shared" si="61"/>
        <v>46636.800000000003</v>
      </c>
      <c r="T72" s="391">
        <f t="shared" si="56"/>
        <v>440.71776000000006</v>
      </c>
      <c r="U72" s="391">
        <f t="shared" si="57"/>
        <v>1322.1532800000002</v>
      </c>
      <c r="V72" s="391">
        <f t="shared" si="62"/>
        <v>1762.8710400000002</v>
      </c>
      <c r="W72" s="393">
        <f t="shared" si="47"/>
        <v>1.2700800000000001</v>
      </c>
      <c r="X72" s="393">
        <f t="shared" si="37"/>
        <v>3.8102400000000007</v>
      </c>
      <c r="Y72" s="393">
        <f t="shared" si="63"/>
        <v>5.0803200000000004</v>
      </c>
      <c r="Z72" s="412">
        <v>0.9</v>
      </c>
      <c r="AA72" s="412">
        <f t="shared" si="38"/>
        <v>0.4200000000000001</v>
      </c>
      <c r="AB72" s="413">
        <f t="shared" si="49"/>
        <v>0.80400000000000005</v>
      </c>
      <c r="AC72" s="414">
        <f t="shared" si="64"/>
        <v>37495.987200000003</v>
      </c>
      <c r="AD72" s="414">
        <f t="shared" si="65"/>
        <v>1417.3483161600002</v>
      </c>
      <c r="AE72" s="415">
        <f t="shared" si="52"/>
        <v>4.0845772800000004</v>
      </c>
    </row>
    <row r="73" spans="1:31" ht="12.75">
      <c r="A73" s="383">
        <v>8</v>
      </c>
      <c r="B73" s="384" t="str">
        <f>B15</f>
        <v>Capreomycin</v>
      </c>
      <c r="C73" s="385">
        <v>0.05</v>
      </c>
      <c r="D73" s="386">
        <f t="shared" si="39"/>
        <v>17.350000000000001</v>
      </c>
      <c r="E73" s="387" t="str">
        <f>E15</f>
        <v>1 g</v>
      </c>
      <c r="F73" s="387" t="str">
        <f>F15</f>
        <v>Box of 1 vial</v>
      </c>
      <c r="G73" s="384">
        <f>G15</f>
        <v>3.85</v>
      </c>
      <c r="H73" s="384">
        <f>H15</f>
        <v>1</v>
      </c>
      <c r="I73" s="390">
        <f t="shared" si="41"/>
        <v>3.85</v>
      </c>
      <c r="J73" s="384">
        <f>J15</f>
        <v>1</v>
      </c>
      <c r="K73" s="392">
        <v>26</v>
      </c>
      <c r="L73" s="391">
        <v>3</v>
      </c>
      <c r="M73" s="391">
        <v>0</v>
      </c>
      <c r="N73" s="391">
        <f t="shared" si="42"/>
        <v>78</v>
      </c>
      <c r="O73" s="391">
        <f t="shared" si="43"/>
        <v>0</v>
      </c>
      <c r="P73" s="391">
        <f t="shared" si="44"/>
        <v>78</v>
      </c>
      <c r="Q73" s="391">
        <f t="shared" si="33"/>
        <v>1353.3000000000002</v>
      </c>
      <c r="R73" s="391">
        <f t="shared" si="34"/>
        <v>0</v>
      </c>
      <c r="S73" s="391">
        <f t="shared" si="45"/>
        <v>1353.3000000000002</v>
      </c>
      <c r="T73" s="391">
        <f t="shared" si="35"/>
        <v>5210.2050000000008</v>
      </c>
      <c r="U73" s="391">
        <f t="shared" si="36"/>
        <v>0</v>
      </c>
      <c r="V73" s="391">
        <f t="shared" si="46"/>
        <v>5210.2050000000008</v>
      </c>
      <c r="W73" s="393">
        <f t="shared" si="47"/>
        <v>15.015000000000002</v>
      </c>
      <c r="X73" s="393">
        <f t="shared" si="37"/>
        <v>0</v>
      </c>
      <c r="Y73" s="393">
        <f t="shared" si="48"/>
        <v>15.015000000000002</v>
      </c>
      <c r="Z73" s="412">
        <v>0.9</v>
      </c>
      <c r="AA73" s="413">
        <f>Z73*80%</f>
        <v>0.72000000000000008</v>
      </c>
      <c r="AB73" s="413">
        <f t="shared" si="49"/>
        <v>0.8640000000000001</v>
      </c>
      <c r="AC73" s="414">
        <f t="shared" si="50"/>
        <v>1169.2512000000004</v>
      </c>
      <c r="AD73" s="414">
        <f t="shared" si="51"/>
        <v>4501.6171200000017</v>
      </c>
      <c r="AE73" s="415">
        <f t="shared" si="52"/>
        <v>12.972960000000004</v>
      </c>
    </row>
    <row r="74" spans="1:31" ht="12.75">
      <c r="A74" s="383">
        <v>9</v>
      </c>
      <c r="B74" s="384" t="str">
        <f>B22</f>
        <v>Rifampicin</v>
      </c>
      <c r="C74" s="385">
        <v>0.1</v>
      </c>
      <c r="D74" s="386">
        <f t="shared" si="39"/>
        <v>34.700000000000003</v>
      </c>
      <c r="E74" s="387" t="str">
        <f>E22</f>
        <v>150 mg</v>
      </c>
      <c r="F74" s="387" t="str">
        <f>F22</f>
        <v>Box of 100 tabs in blisters</v>
      </c>
      <c r="G74" s="384">
        <f>G22</f>
        <v>14.85</v>
      </c>
      <c r="H74" s="384">
        <f>H22</f>
        <v>100</v>
      </c>
      <c r="I74" s="390">
        <f t="shared" si="41"/>
        <v>0.14849999999999999</v>
      </c>
      <c r="J74" s="384">
        <f>J22</f>
        <v>4</v>
      </c>
      <c r="K74" s="392">
        <v>28</v>
      </c>
      <c r="L74" s="391">
        <v>3</v>
      </c>
      <c r="M74" s="391">
        <v>15</v>
      </c>
      <c r="N74" s="391">
        <f t="shared" si="42"/>
        <v>336</v>
      </c>
      <c r="O74" s="391">
        <f t="shared" si="43"/>
        <v>1680</v>
      </c>
      <c r="P74" s="391">
        <f t="shared" si="44"/>
        <v>2016</v>
      </c>
      <c r="Q74" s="391">
        <f t="shared" si="33"/>
        <v>11659.2</v>
      </c>
      <c r="R74" s="391">
        <f t="shared" si="34"/>
        <v>58296.000000000007</v>
      </c>
      <c r="S74" s="391">
        <f t="shared" si="45"/>
        <v>69955.200000000012</v>
      </c>
      <c r="T74" s="391">
        <f t="shared" si="35"/>
        <v>1731.3912</v>
      </c>
      <c r="U74" s="391">
        <f t="shared" si="36"/>
        <v>8656.9560000000001</v>
      </c>
      <c r="V74" s="391">
        <f t="shared" si="46"/>
        <v>10388.3472</v>
      </c>
      <c r="W74" s="393">
        <f t="shared" si="47"/>
        <v>4.9896000000000003</v>
      </c>
      <c r="X74" s="393">
        <f t="shared" si="37"/>
        <v>24.948</v>
      </c>
      <c r="Y74" s="393">
        <f t="shared" si="48"/>
        <v>29.9376</v>
      </c>
      <c r="Z74" s="412">
        <v>0.9</v>
      </c>
      <c r="AA74" s="412">
        <f>Z74*80%*AE$106/(L74+M74)</f>
        <v>0.28000000000000003</v>
      </c>
      <c r="AB74" s="413">
        <f t="shared" si="49"/>
        <v>0.77600000000000002</v>
      </c>
      <c r="AC74" s="414">
        <f t="shared" si="50"/>
        <v>54285.23520000001</v>
      </c>
      <c r="AD74" s="414">
        <f t="shared" si="51"/>
        <v>8061.3574272000014</v>
      </c>
      <c r="AE74" s="415">
        <f t="shared" si="52"/>
        <v>23.231577600000005</v>
      </c>
    </row>
    <row r="75" spans="1:31" ht="12.75">
      <c r="A75" s="383">
        <v>10</v>
      </c>
      <c r="B75" s="384" t="str">
        <f>B17</f>
        <v>Levofloxacin</v>
      </c>
      <c r="C75" s="385">
        <v>0.1</v>
      </c>
      <c r="D75" s="386">
        <f t="shared" si="39"/>
        <v>34.700000000000003</v>
      </c>
      <c r="E75" s="387" t="str">
        <f>E17</f>
        <v>250 mg</v>
      </c>
      <c r="F75" s="387" t="str">
        <f>F17</f>
        <v>Box of 100 tabs in blisters</v>
      </c>
      <c r="G75" s="384">
        <f>G17</f>
        <v>3.78</v>
      </c>
      <c r="H75" s="384">
        <f>H17</f>
        <v>100</v>
      </c>
      <c r="I75" s="390">
        <f t="shared" si="41"/>
        <v>3.78E-2</v>
      </c>
      <c r="J75" s="384">
        <f>J17</f>
        <v>4</v>
      </c>
      <c r="K75" s="392">
        <v>28</v>
      </c>
      <c r="L75" s="391">
        <v>3</v>
      </c>
      <c r="M75" s="391">
        <v>15</v>
      </c>
      <c r="N75" s="391">
        <f t="shared" si="42"/>
        <v>336</v>
      </c>
      <c r="O75" s="391">
        <f t="shared" si="43"/>
        <v>1680</v>
      </c>
      <c r="P75" s="391">
        <f t="shared" si="44"/>
        <v>2016</v>
      </c>
      <c r="Q75" s="391">
        <f t="shared" si="33"/>
        <v>11659.2</v>
      </c>
      <c r="R75" s="391">
        <f t="shared" si="34"/>
        <v>58296.000000000007</v>
      </c>
      <c r="S75" s="391">
        <f t="shared" si="45"/>
        <v>69955.200000000012</v>
      </c>
      <c r="T75" s="391">
        <f t="shared" si="35"/>
        <v>440.71776000000006</v>
      </c>
      <c r="U75" s="391">
        <f t="shared" si="36"/>
        <v>2203.5888000000004</v>
      </c>
      <c r="V75" s="391">
        <f t="shared" si="46"/>
        <v>2644.3065600000004</v>
      </c>
      <c r="W75" s="393">
        <f t="shared" si="47"/>
        <v>1.2700800000000001</v>
      </c>
      <c r="X75" s="393">
        <f t="shared" si="37"/>
        <v>6.3504000000000014</v>
      </c>
      <c r="Y75" s="393">
        <f t="shared" si="48"/>
        <v>7.6204800000000015</v>
      </c>
      <c r="Z75" s="412">
        <v>0.9</v>
      </c>
      <c r="AA75" s="412">
        <f>Z75*80%*AE$106/(L75+M75)</f>
        <v>0.28000000000000003</v>
      </c>
      <c r="AB75" s="413">
        <f t="shared" si="49"/>
        <v>0.77600000000000002</v>
      </c>
      <c r="AC75" s="414">
        <f t="shared" si="50"/>
        <v>54285.23520000001</v>
      </c>
      <c r="AD75" s="414">
        <f t="shared" si="51"/>
        <v>2051.9818905600005</v>
      </c>
      <c r="AE75" s="415">
        <f t="shared" si="52"/>
        <v>5.9134924800000013</v>
      </c>
    </row>
    <row r="76" spans="1:31" ht="12.75">
      <c r="A76" s="383">
        <v>11</v>
      </c>
      <c r="B76" s="384" t="str">
        <f>B19</f>
        <v>Prothionamide</v>
      </c>
      <c r="C76" s="385">
        <v>0.1</v>
      </c>
      <c r="D76" s="386">
        <f t="shared" si="39"/>
        <v>34.700000000000003</v>
      </c>
      <c r="E76" s="387" t="str">
        <f>E19</f>
        <v>250 mg</v>
      </c>
      <c r="F76" s="387" t="str">
        <f>F19</f>
        <v>Blister of 100 tabs</v>
      </c>
      <c r="G76" s="384">
        <f>G19</f>
        <v>8.1999999999999993</v>
      </c>
      <c r="H76" s="384">
        <f>H19</f>
        <v>100</v>
      </c>
      <c r="I76" s="390">
        <f t="shared" si="41"/>
        <v>8.199999999999999E-2</v>
      </c>
      <c r="J76" s="384">
        <f>J19</f>
        <v>3</v>
      </c>
      <c r="K76" s="392">
        <v>28</v>
      </c>
      <c r="L76" s="391">
        <v>3</v>
      </c>
      <c r="M76" s="391">
        <v>15</v>
      </c>
      <c r="N76" s="391">
        <f t="shared" si="42"/>
        <v>252</v>
      </c>
      <c r="O76" s="391">
        <f t="shared" si="43"/>
        <v>1260</v>
      </c>
      <c r="P76" s="391">
        <f t="shared" si="44"/>
        <v>1512</v>
      </c>
      <c r="Q76" s="391">
        <f t="shared" si="33"/>
        <v>8744.4000000000015</v>
      </c>
      <c r="R76" s="391">
        <f t="shared" si="34"/>
        <v>43722</v>
      </c>
      <c r="S76" s="391">
        <f t="shared" si="45"/>
        <v>52466.400000000001</v>
      </c>
      <c r="T76" s="391">
        <f t="shared" si="35"/>
        <v>717.04079999999999</v>
      </c>
      <c r="U76" s="391">
        <f t="shared" si="36"/>
        <v>3585.2039999999997</v>
      </c>
      <c r="V76" s="391">
        <f t="shared" si="46"/>
        <v>4302.2447999999995</v>
      </c>
      <c r="W76" s="393">
        <f t="shared" si="47"/>
        <v>2.0663999999999998</v>
      </c>
      <c r="X76" s="393">
        <f t="shared" si="37"/>
        <v>10.331999999999999</v>
      </c>
      <c r="Y76" s="393">
        <f t="shared" si="48"/>
        <v>12.398399999999999</v>
      </c>
      <c r="Z76" s="412">
        <v>0.8</v>
      </c>
      <c r="AA76" s="412">
        <f>Z76*80%*AE$106/(L76+M76)</f>
        <v>0.24888888888888891</v>
      </c>
      <c r="AB76" s="413">
        <f t="shared" si="49"/>
        <v>0.68977777777777793</v>
      </c>
      <c r="AC76" s="414">
        <f t="shared" si="50"/>
        <v>36190.156800000012</v>
      </c>
      <c r="AD76" s="414">
        <f t="shared" si="51"/>
        <v>2967.5928576000006</v>
      </c>
      <c r="AE76" s="415">
        <f t="shared" si="52"/>
        <v>8.5521408000000019</v>
      </c>
    </row>
    <row r="77" spans="1:31" ht="12.75">
      <c r="A77" s="383">
        <v>12</v>
      </c>
      <c r="B77" s="384" t="str">
        <f>B15</f>
        <v>Capreomycin</v>
      </c>
      <c r="C77" s="385">
        <v>0.1</v>
      </c>
      <c r="D77" s="386">
        <f t="shared" si="39"/>
        <v>34.700000000000003</v>
      </c>
      <c r="E77" s="387" t="str">
        <f>E15</f>
        <v>1 g</v>
      </c>
      <c r="F77" s="387" t="str">
        <f>F15</f>
        <v>Box of 1 vial</v>
      </c>
      <c r="G77" s="384">
        <f>G15</f>
        <v>3.85</v>
      </c>
      <c r="H77" s="384">
        <f>H15</f>
        <v>1</v>
      </c>
      <c r="I77" s="390">
        <f t="shared" si="41"/>
        <v>3.85</v>
      </c>
      <c r="J77" s="384">
        <f>J15</f>
        <v>1</v>
      </c>
      <c r="K77" s="392">
        <v>26</v>
      </c>
      <c r="L77" s="391">
        <v>3</v>
      </c>
      <c r="M77" s="391">
        <v>0</v>
      </c>
      <c r="N77" s="391">
        <f t="shared" si="42"/>
        <v>78</v>
      </c>
      <c r="O77" s="391">
        <f t="shared" si="43"/>
        <v>0</v>
      </c>
      <c r="P77" s="391">
        <f t="shared" si="44"/>
        <v>78</v>
      </c>
      <c r="Q77" s="391">
        <f t="shared" si="33"/>
        <v>2706.6000000000004</v>
      </c>
      <c r="R77" s="391">
        <f t="shared" si="34"/>
        <v>0</v>
      </c>
      <c r="S77" s="391">
        <f t="shared" si="45"/>
        <v>2706.6000000000004</v>
      </c>
      <c r="T77" s="391">
        <f t="shared" si="35"/>
        <v>10420.410000000002</v>
      </c>
      <c r="U77" s="391">
        <f t="shared" si="36"/>
        <v>0</v>
      </c>
      <c r="V77" s="391">
        <f t="shared" si="46"/>
        <v>10420.410000000002</v>
      </c>
      <c r="W77" s="393">
        <f t="shared" si="47"/>
        <v>30.030000000000005</v>
      </c>
      <c r="X77" s="393">
        <f t="shared" si="37"/>
        <v>0</v>
      </c>
      <c r="Y77" s="393">
        <f t="shared" si="48"/>
        <v>30.030000000000005</v>
      </c>
      <c r="Z77" s="412">
        <v>0.9</v>
      </c>
      <c r="AA77" s="413">
        <f>Z77*80%</f>
        <v>0.72000000000000008</v>
      </c>
      <c r="AB77" s="413">
        <f t="shared" si="49"/>
        <v>0.8640000000000001</v>
      </c>
      <c r="AC77" s="414">
        <f t="shared" si="50"/>
        <v>2338.5024000000008</v>
      </c>
      <c r="AD77" s="414">
        <f t="shared" si="51"/>
        <v>9003.2342400000034</v>
      </c>
      <c r="AE77" s="415">
        <f t="shared" si="52"/>
        <v>25.945920000000008</v>
      </c>
    </row>
    <row r="78" spans="1:31" ht="12.75">
      <c r="A78" s="383">
        <v>13</v>
      </c>
      <c r="B78" s="384" t="str">
        <f>B30</f>
        <v>Water for injection</v>
      </c>
      <c r="C78" s="385">
        <v>0.15000000000000002</v>
      </c>
      <c r="D78" s="386">
        <f>D73+D77</f>
        <v>52.050000000000004</v>
      </c>
      <c r="E78" s="387" t="str">
        <f t="shared" ref="E78:H79" si="66">E30</f>
        <v>5 ml</v>
      </c>
      <c r="F78" s="387" t="str">
        <f t="shared" si="66"/>
        <v>Box of 100 vials</v>
      </c>
      <c r="G78" s="384">
        <f t="shared" si="66"/>
        <v>9.1999999999999993</v>
      </c>
      <c r="H78" s="384">
        <f t="shared" si="66"/>
        <v>50</v>
      </c>
      <c r="I78" s="390">
        <f t="shared" si="41"/>
        <v>0.184</v>
      </c>
      <c r="J78" s="391">
        <f>J73</f>
        <v>1</v>
      </c>
      <c r="K78" s="392">
        <f>K73</f>
        <v>26</v>
      </c>
      <c r="L78" s="391">
        <f>L73</f>
        <v>3</v>
      </c>
      <c r="M78" s="391">
        <f>M73</f>
        <v>0</v>
      </c>
      <c r="N78" s="391">
        <f t="shared" si="42"/>
        <v>78</v>
      </c>
      <c r="O78" s="391">
        <f t="shared" si="43"/>
        <v>0</v>
      </c>
      <c r="P78" s="391">
        <f t="shared" si="44"/>
        <v>78</v>
      </c>
      <c r="Q78" s="391">
        <f t="shared" si="33"/>
        <v>4059.9000000000005</v>
      </c>
      <c r="R78" s="391">
        <f t="shared" si="34"/>
        <v>0</v>
      </c>
      <c r="S78" s="391">
        <f t="shared" si="45"/>
        <v>4059.9000000000005</v>
      </c>
      <c r="T78" s="391">
        <f t="shared" si="35"/>
        <v>747.02160000000003</v>
      </c>
      <c r="U78" s="391">
        <f t="shared" si="36"/>
        <v>0</v>
      </c>
      <c r="V78" s="391">
        <f t="shared" si="46"/>
        <v>747.02160000000003</v>
      </c>
      <c r="W78" s="393">
        <f t="shared" si="47"/>
        <v>2.1528</v>
      </c>
      <c r="X78" s="393">
        <f t="shared" si="37"/>
        <v>0</v>
      </c>
      <c r="Y78" s="393">
        <f t="shared" si="48"/>
        <v>2.1528</v>
      </c>
      <c r="Z78" s="412">
        <f>Z73</f>
        <v>0.9</v>
      </c>
      <c r="AA78" s="412">
        <f>AA73</f>
        <v>0.72000000000000008</v>
      </c>
      <c r="AB78" s="413">
        <f t="shared" si="49"/>
        <v>0.8640000000000001</v>
      </c>
      <c r="AC78" s="414">
        <f t="shared" si="50"/>
        <v>3507.7536000000009</v>
      </c>
      <c r="AD78" s="414">
        <f t="shared" si="51"/>
        <v>645.42666240000017</v>
      </c>
      <c r="AE78" s="415">
        <f t="shared" si="52"/>
        <v>1.8600192000000004</v>
      </c>
    </row>
    <row r="79" spans="1:31" ht="12.75">
      <c r="A79" s="383">
        <v>14</v>
      </c>
      <c r="B79" s="384" t="str">
        <f>B31</f>
        <v xml:space="preserve">S&amp;N (auto-disable) </v>
      </c>
      <c r="C79" s="385">
        <v>0.15000000000000002</v>
      </c>
      <c r="D79" s="386">
        <f>D78</f>
        <v>52.050000000000004</v>
      </c>
      <c r="E79" s="387" t="str">
        <f t="shared" si="66"/>
        <v>5 ml / 21Gx</v>
      </c>
      <c r="F79" s="387" t="str">
        <f t="shared" si="66"/>
        <v>Box of 100</v>
      </c>
      <c r="G79" s="384">
        <f t="shared" si="66"/>
        <v>4.25</v>
      </c>
      <c r="H79" s="384">
        <f t="shared" si="66"/>
        <v>100</v>
      </c>
      <c r="I79" s="390">
        <f t="shared" si="41"/>
        <v>4.2500000000000003E-2</v>
      </c>
      <c r="J79" s="391">
        <f>J78</f>
        <v>1</v>
      </c>
      <c r="K79" s="392">
        <f>K78</f>
        <v>26</v>
      </c>
      <c r="L79" s="392">
        <f t="shared" ref="L79:M79" si="67">L78</f>
        <v>3</v>
      </c>
      <c r="M79" s="392">
        <f t="shared" si="67"/>
        <v>0</v>
      </c>
      <c r="N79" s="391">
        <f t="shared" si="42"/>
        <v>78</v>
      </c>
      <c r="O79" s="391">
        <f t="shared" si="43"/>
        <v>0</v>
      </c>
      <c r="P79" s="391">
        <f t="shared" si="44"/>
        <v>78</v>
      </c>
      <c r="Q79" s="391">
        <f t="shared" si="33"/>
        <v>4059.9000000000005</v>
      </c>
      <c r="R79" s="391">
        <f t="shared" si="34"/>
        <v>0</v>
      </c>
      <c r="S79" s="391">
        <f t="shared" si="45"/>
        <v>4059.9000000000005</v>
      </c>
      <c r="T79" s="391">
        <f t="shared" si="35"/>
        <v>172.54575000000003</v>
      </c>
      <c r="U79" s="391">
        <f t="shared" si="36"/>
        <v>0</v>
      </c>
      <c r="V79" s="391">
        <f t="shared" si="46"/>
        <v>172.54575000000003</v>
      </c>
      <c r="W79" s="393">
        <f t="shared" si="47"/>
        <v>0.49725000000000008</v>
      </c>
      <c r="X79" s="393">
        <f t="shared" si="37"/>
        <v>0</v>
      </c>
      <c r="Y79" s="393">
        <f t="shared" si="48"/>
        <v>0.49725000000000008</v>
      </c>
      <c r="Z79" s="412">
        <f>Z78</f>
        <v>0.9</v>
      </c>
      <c r="AA79" s="412">
        <f>AA78</f>
        <v>0.72000000000000008</v>
      </c>
      <c r="AB79" s="413">
        <f t="shared" si="49"/>
        <v>0.8640000000000001</v>
      </c>
      <c r="AC79" s="414">
        <f t="shared" si="50"/>
        <v>3507.7536000000009</v>
      </c>
      <c r="AD79" s="414">
        <f t="shared" si="51"/>
        <v>149.07952800000004</v>
      </c>
      <c r="AE79" s="415">
        <f t="shared" si="52"/>
        <v>0.42962400000000012</v>
      </c>
    </row>
    <row r="80" spans="1:31" ht="15.75">
      <c r="A80" s="394"/>
      <c r="B80" s="394"/>
      <c r="C80" s="394"/>
      <c r="D80" s="394"/>
      <c r="E80" s="394"/>
      <c r="F80" s="394"/>
      <c r="G80" s="394"/>
      <c r="H80" s="394"/>
      <c r="I80" s="394"/>
      <c r="J80" s="391"/>
      <c r="K80" s="391"/>
      <c r="L80" s="391"/>
      <c r="M80" s="391"/>
      <c r="N80" s="391"/>
      <c r="O80" s="391"/>
      <c r="P80" s="391"/>
      <c r="Q80" s="391"/>
      <c r="R80" s="391"/>
      <c r="S80" s="391"/>
      <c r="T80" s="391"/>
      <c r="U80" s="391"/>
      <c r="V80" s="395">
        <f>SUM(V66:V79)</f>
        <v>103743.14867000001</v>
      </c>
      <c r="W80" s="391"/>
      <c r="X80" s="391"/>
      <c r="Y80" s="395">
        <f>SUM(Y66:Y79)</f>
        <v>298.97161000000011</v>
      </c>
      <c r="Z80" s="416"/>
      <c r="AA80" s="416"/>
      <c r="AB80" s="416"/>
      <c r="AC80" s="416"/>
      <c r="AD80" s="417">
        <f>SUM(AD66:AD79)</f>
        <v>85231.721098560025</v>
      </c>
      <c r="AE80" s="417">
        <f>SUM(AE66:AE79)</f>
        <v>245.62455648000005</v>
      </c>
    </row>
    <row r="81" spans="1:29" ht="12.75" thickBot="1"/>
    <row r="82" spans="1:29" ht="12.75">
      <c r="A82" s="370"/>
      <c r="B82" s="373" t="s">
        <v>1221</v>
      </c>
      <c r="C82" s="1851" t="s">
        <v>1222</v>
      </c>
      <c r="D82" s="1851"/>
      <c r="E82" s="1851"/>
      <c r="G82" s="1851" t="s">
        <v>1223</v>
      </c>
      <c r="H82" s="1851"/>
      <c r="I82" s="1851"/>
      <c r="K82" s="420" t="s">
        <v>1225</v>
      </c>
      <c r="L82" s="421" t="s">
        <v>1222</v>
      </c>
      <c r="M82" s="422" t="s">
        <v>1224</v>
      </c>
      <c r="S82" s="592"/>
      <c r="AC82" s="592"/>
    </row>
    <row r="83" spans="1:29" ht="12.75">
      <c r="A83" s="370"/>
      <c r="B83" s="370"/>
      <c r="C83" s="371" t="s">
        <v>1110</v>
      </c>
      <c r="D83" s="397" t="s">
        <v>4</v>
      </c>
      <c r="E83" s="397" t="s">
        <v>1154</v>
      </c>
      <c r="G83" s="371" t="s">
        <v>1110</v>
      </c>
      <c r="H83" s="397" t="s">
        <v>4</v>
      </c>
      <c r="I83" s="397" t="s">
        <v>1154</v>
      </c>
      <c r="K83" s="423" t="s">
        <v>1155</v>
      </c>
      <c r="L83" s="425">
        <f>E84/E$92</f>
        <v>0.85091899251191283</v>
      </c>
      <c r="M83" s="426">
        <f>I84/I$92</f>
        <v>0.85091899251191294</v>
      </c>
    </row>
    <row r="84" spans="1:29" ht="13.5" thickBot="1">
      <c r="A84" s="372" t="s">
        <v>41</v>
      </c>
      <c r="B84" s="373" t="s">
        <v>1111</v>
      </c>
      <c r="C84" s="374"/>
      <c r="D84" s="374">
        <f>V80</f>
        <v>103743.14867000001</v>
      </c>
      <c r="E84" s="375">
        <f>Y80</f>
        <v>298.97161000000011</v>
      </c>
      <c r="G84" s="374"/>
      <c r="H84" s="374">
        <f>AD80</f>
        <v>85231.721098560025</v>
      </c>
      <c r="I84" s="375">
        <f>AE80</f>
        <v>245.62455648000005</v>
      </c>
      <c r="K84" s="424" t="s">
        <v>1004</v>
      </c>
      <c r="L84" s="427">
        <f>E85/E$92</f>
        <v>0.14908100748808714</v>
      </c>
      <c r="M84" s="428">
        <f>I85/I$92</f>
        <v>0.14908100748808717</v>
      </c>
    </row>
    <row r="85" spans="1:29" ht="12.75">
      <c r="A85" s="372" t="s">
        <v>43</v>
      </c>
      <c r="B85" s="373" t="s">
        <v>1112</v>
      </c>
      <c r="C85" s="373"/>
      <c r="D85" s="374">
        <f>SUM(D86:D91)</f>
        <v>18175.799646984004</v>
      </c>
      <c r="E85" s="375">
        <f>SUM(E86:E91)</f>
        <v>52.379826072000021</v>
      </c>
      <c r="F85" s="398"/>
      <c r="G85" s="373"/>
      <c r="H85" s="374">
        <f>SUM(H86:H91)</f>
        <v>14932.597536467718</v>
      </c>
      <c r="I85" s="375">
        <f>SUM(I86:I91)</f>
        <v>43.033422295296013</v>
      </c>
    </row>
    <row r="86" spans="1:29" ht="12.75">
      <c r="A86" s="376">
        <v>1</v>
      </c>
      <c r="B86" s="377" t="s">
        <v>1113</v>
      </c>
      <c r="C86" s="378">
        <v>4.2000000000000003E-2</v>
      </c>
      <c r="D86" s="399">
        <f>D$84*C86</f>
        <v>4357.2122441400006</v>
      </c>
      <c r="E86" s="379">
        <f>E$84*C86</f>
        <v>12.556807620000006</v>
      </c>
      <c r="F86" s="398"/>
      <c r="G86" s="378">
        <f>C86</f>
        <v>4.2000000000000003E-2</v>
      </c>
      <c r="H86" s="399">
        <f>H$84*G86</f>
        <v>3579.7322861395214</v>
      </c>
      <c r="I86" s="379">
        <f>I$84*G86</f>
        <v>10.316231372160003</v>
      </c>
    </row>
    <row r="87" spans="1:29" ht="12.75">
      <c r="A87" s="376">
        <v>2</v>
      </c>
      <c r="B87" s="377" t="s">
        <v>1156</v>
      </c>
      <c r="C87" s="378">
        <v>7.0000000000000007E-2</v>
      </c>
      <c r="D87" s="399">
        <f t="shared" ref="D87:D91" si="68">D$84*C87</f>
        <v>7262.020406900001</v>
      </c>
      <c r="E87" s="379">
        <f t="shared" ref="E87:E91" si="69">E$84*C87</f>
        <v>20.928012700000011</v>
      </c>
      <c r="F87" s="398"/>
      <c r="G87" s="378">
        <f t="shared" ref="G87:G91" si="70">C87</f>
        <v>7.0000000000000007E-2</v>
      </c>
      <c r="H87" s="399">
        <f t="shared" ref="H87:H91" si="71">H$84*G87</f>
        <v>5966.2204768992024</v>
      </c>
      <c r="I87" s="379">
        <f t="shared" ref="I87:I91" si="72">I$84*G87</f>
        <v>17.193718953600005</v>
      </c>
    </row>
    <row r="88" spans="1:29" ht="12.75">
      <c r="A88" s="376">
        <v>3</v>
      </c>
      <c r="B88" s="377" t="s">
        <v>1114</v>
      </c>
      <c r="C88" s="378">
        <v>1.2E-2</v>
      </c>
      <c r="D88" s="399">
        <f t="shared" si="68"/>
        <v>1244.9177840400002</v>
      </c>
      <c r="E88" s="379">
        <f t="shared" si="69"/>
        <v>3.5876593200000015</v>
      </c>
      <c r="F88" s="398"/>
      <c r="G88" s="378">
        <f t="shared" si="70"/>
        <v>1.2E-2</v>
      </c>
      <c r="H88" s="399">
        <f t="shared" si="71"/>
        <v>1022.7806531827204</v>
      </c>
      <c r="I88" s="379">
        <f t="shared" si="72"/>
        <v>2.9474946777600008</v>
      </c>
    </row>
    <row r="89" spans="1:29" ht="12.75">
      <c r="A89" s="376">
        <v>4</v>
      </c>
      <c r="B89" s="377" t="s">
        <v>1157</v>
      </c>
      <c r="C89" s="378">
        <v>1.1999999999999999E-3</v>
      </c>
      <c r="D89" s="399">
        <f t="shared" si="68"/>
        <v>124.491778404</v>
      </c>
      <c r="E89" s="379">
        <f t="shared" si="69"/>
        <v>0.35876593200000012</v>
      </c>
      <c r="F89" s="398"/>
      <c r="G89" s="378">
        <f t="shared" si="70"/>
        <v>1.1999999999999999E-3</v>
      </c>
      <c r="H89" s="399">
        <f t="shared" si="71"/>
        <v>102.27806531827203</v>
      </c>
      <c r="I89" s="379">
        <f t="shared" si="72"/>
        <v>0.29474946777600003</v>
      </c>
    </row>
    <row r="90" spans="1:29" ht="12.75">
      <c r="A90" s="376">
        <v>5</v>
      </c>
      <c r="B90" s="377" t="s">
        <v>1115</v>
      </c>
      <c r="C90" s="378">
        <v>0.02</v>
      </c>
      <c r="D90" s="399">
        <f t="shared" si="68"/>
        <v>2074.8629734000001</v>
      </c>
      <c r="E90" s="379">
        <f t="shared" si="69"/>
        <v>5.9794322000000024</v>
      </c>
      <c r="F90" s="398"/>
      <c r="G90" s="378">
        <f t="shared" si="70"/>
        <v>0.02</v>
      </c>
      <c r="H90" s="399">
        <f t="shared" si="71"/>
        <v>1704.6344219712005</v>
      </c>
      <c r="I90" s="379">
        <f t="shared" si="72"/>
        <v>4.9124911296000011</v>
      </c>
    </row>
    <row r="91" spans="1:29" ht="12.75">
      <c r="A91" s="376">
        <v>6</v>
      </c>
      <c r="B91" s="377" t="s">
        <v>1116</v>
      </c>
      <c r="C91" s="378">
        <v>0.03</v>
      </c>
      <c r="D91" s="399">
        <f t="shared" si="68"/>
        <v>3112.2944601000004</v>
      </c>
      <c r="E91" s="379">
        <f t="shared" si="69"/>
        <v>8.9691483000000023</v>
      </c>
      <c r="F91" s="398"/>
      <c r="G91" s="378">
        <f t="shared" si="70"/>
        <v>0.03</v>
      </c>
      <c r="H91" s="399">
        <f t="shared" si="71"/>
        <v>2556.9516329568005</v>
      </c>
      <c r="I91" s="379">
        <f t="shared" si="72"/>
        <v>7.3687366944000017</v>
      </c>
    </row>
    <row r="92" spans="1:29" ht="13.5" thickBot="1">
      <c r="A92" s="372" t="s">
        <v>45</v>
      </c>
      <c r="B92" s="373" t="s">
        <v>1117</v>
      </c>
      <c r="C92" s="374"/>
      <c r="D92" s="374">
        <f>SUM(D84,D85)</f>
        <v>121918.94831698401</v>
      </c>
      <c r="E92" s="375">
        <f>SUM(E84,E85)</f>
        <v>351.35143607200013</v>
      </c>
      <c r="F92" s="398"/>
      <c r="G92" s="374"/>
      <c r="H92" s="374">
        <f>SUM(H84,H85)</f>
        <v>100164.31863502774</v>
      </c>
      <c r="I92" s="375">
        <f>SUM(I84,I85)</f>
        <v>288.65797877529604</v>
      </c>
    </row>
    <row r="93" spans="1:29" ht="15.75" thickBot="1">
      <c r="A93" s="429" t="s">
        <v>47</v>
      </c>
      <c r="B93" s="429" t="s">
        <v>1118</v>
      </c>
      <c r="C93" s="430"/>
      <c r="D93" s="430"/>
      <c r="E93" s="432">
        <f>ROUND(E92,0)</f>
        <v>351</v>
      </c>
      <c r="F93" s="398"/>
      <c r="G93" s="430"/>
      <c r="H93" s="430"/>
      <c r="I93" s="433">
        <f>ROUND(I92,0)</f>
        <v>289</v>
      </c>
    </row>
    <row r="95" spans="1:29" s="65" customFormat="1" ht="43.15" customHeight="1">
      <c r="A95" s="468" t="s">
        <v>47</v>
      </c>
      <c r="B95" s="1858" t="s">
        <v>1202</v>
      </c>
      <c r="C95" s="1858"/>
      <c r="D95" s="1858"/>
      <c r="E95" s="1858"/>
      <c r="F95" s="263" t="s">
        <v>1208</v>
      </c>
      <c r="G95" s="263" t="s">
        <v>232</v>
      </c>
      <c r="H95" s="263" t="s">
        <v>233</v>
      </c>
      <c r="I95" s="263" t="s">
        <v>234</v>
      </c>
      <c r="J95" s="263" t="s">
        <v>1209</v>
      </c>
      <c r="K95" s="263" t="s">
        <v>1857</v>
      </c>
      <c r="L95" s="263" t="s">
        <v>1858</v>
      </c>
      <c r="M95" s="315" t="s">
        <v>1210</v>
      </c>
      <c r="N95" s="312" t="s">
        <v>1846</v>
      </c>
    </row>
    <row r="96" spans="1:29" s="65" customFormat="1" ht="12.75">
      <c r="A96" s="160">
        <v>1</v>
      </c>
      <c r="B96" s="154" t="s">
        <v>1203</v>
      </c>
      <c r="C96" s="264"/>
      <c r="D96" s="155"/>
      <c r="E96" s="89"/>
      <c r="F96" s="469">
        <f>CALCULATIONS!F185</f>
        <v>293</v>
      </c>
      <c r="G96" s="469">
        <f>CALCULATIONS!G185</f>
        <v>273</v>
      </c>
      <c r="H96" s="469">
        <f>CALCULATIONS!H185</f>
        <v>265</v>
      </c>
      <c r="I96" s="469">
        <f>CALCULATIONS!I185</f>
        <v>259</v>
      </c>
      <c r="J96" s="469">
        <f>CALCULATIONS!J185</f>
        <v>253</v>
      </c>
      <c r="K96" s="469">
        <f>CALCULATIONS!K185</f>
        <v>249</v>
      </c>
      <c r="L96" s="469">
        <f>CALCULATIONS!L185</f>
        <v>245</v>
      </c>
      <c r="M96" s="470">
        <f>SUM(F96:H96)</f>
        <v>831</v>
      </c>
      <c r="N96" s="471">
        <f>SUM(I96:L96)</f>
        <v>1006</v>
      </c>
    </row>
    <row r="97" spans="1:31" s="65" customFormat="1" ht="12.75">
      <c r="A97" s="160">
        <v>2</v>
      </c>
      <c r="B97" s="154" t="s">
        <v>1204</v>
      </c>
      <c r="C97" s="264"/>
      <c r="D97" s="155"/>
      <c r="E97" s="89"/>
      <c r="F97" s="472">
        <v>0.9</v>
      </c>
      <c r="G97" s="472">
        <v>0.9</v>
      </c>
      <c r="H97" s="472">
        <v>0.9</v>
      </c>
      <c r="I97" s="472">
        <v>0.9</v>
      </c>
      <c r="J97" s="472">
        <v>0.9</v>
      </c>
      <c r="K97" s="472">
        <v>0.9</v>
      </c>
      <c r="L97" s="472">
        <v>0.9</v>
      </c>
      <c r="M97" s="473">
        <f>M99/M$96</f>
        <v>0.90012033694344162</v>
      </c>
      <c r="N97" s="474">
        <f>N99/N$96</f>
        <v>0.89960238568588469</v>
      </c>
    </row>
    <row r="98" spans="1:31" s="65" customFormat="1" ht="12.75">
      <c r="A98" s="160">
        <v>3</v>
      </c>
      <c r="B98" s="154" t="s">
        <v>1205</v>
      </c>
      <c r="C98" s="264"/>
      <c r="D98" s="155"/>
      <c r="E98" s="89"/>
      <c r="F98" s="472">
        <f>1-F97</f>
        <v>9.9999999999999978E-2</v>
      </c>
      <c r="G98" s="472">
        <f t="shared" ref="G98:L98" si="73">1-G97</f>
        <v>9.9999999999999978E-2</v>
      </c>
      <c r="H98" s="472">
        <f t="shared" si="73"/>
        <v>9.9999999999999978E-2</v>
      </c>
      <c r="I98" s="472">
        <f t="shared" si="73"/>
        <v>9.9999999999999978E-2</v>
      </c>
      <c r="J98" s="472">
        <f t="shared" si="73"/>
        <v>9.9999999999999978E-2</v>
      </c>
      <c r="K98" s="472">
        <f t="shared" si="73"/>
        <v>9.9999999999999978E-2</v>
      </c>
      <c r="L98" s="472">
        <f t="shared" si="73"/>
        <v>9.9999999999999978E-2</v>
      </c>
      <c r="M98" s="473">
        <f>M100/M$96</f>
        <v>9.9879663056558363E-2</v>
      </c>
      <c r="N98" s="474">
        <f>N100/N$96</f>
        <v>0.10039761431411531</v>
      </c>
    </row>
    <row r="99" spans="1:31" s="65" customFormat="1" ht="12.75">
      <c r="A99" s="160">
        <v>4</v>
      </c>
      <c r="B99" s="154" t="s">
        <v>1206</v>
      </c>
      <c r="C99" s="264"/>
      <c r="D99" s="155"/>
      <c r="E99" s="89"/>
      <c r="F99" s="469">
        <f>F96-F100</f>
        <v>264</v>
      </c>
      <c r="G99" s="469">
        <f t="shared" ref="G99:L99" si="74">G96-G100</f>
        <v>246</v>
      </c>
      <c r="H99" s="469">
        <f t="shared" si="74"/>
        <v>238</v>
      </c>
      <c r="I99" s="469">
        <f t="shared" si="74"/>
        <v>233</v>
      </c>
      <c r="J99" s="469">
        <f t="shared" si="74"/>
        <v>228</v>
      </c>
      <c r="K99" s="469">
        <f t="shared" si="74"/>
        <v>224</v>
      </c>
      <c r="L99" s="469">
        <f t="shared" si="74"/>
        <v>220</v>
      </c>
      <c r="M99" s="470">
        <f>SUM(F99:H99)</f>
        <v>748</v>
      </c>
      <c r="N99" s="471">
        <f>SUM(I99:L99)</f>
        <v>905</v>
      </c>
    </row>
    <row r="100" spans="1:31" s="65" customFormat="1" ht="12.75">
      <c r="A100" s="160">
        <v>5</v>
      </c>
      <c r="B100" s="154" t="s">
        <v>1207</v>
      </c>
      <c r="C100" s="264"/>
      <c r="D100" s="155"/>
      <c r="E100" s="89"/>
      <c r="F100" s="469">
        <f>ROUND(F$96*F98,0)</f>
        <v>29</v>
      </c>
      <c r="G100" s="469">
        <f t="shared" ref="G100:L100" si="75">ROUND(G$96*G98,0)</f>
        <v>27</v>
      </c>
      <c r="H100" s="469">
        <f t="shared" si="75"/>
        <v>27</v>
      </c>
      <c r="I100" s="469">
        <f t="shared" si="75"/>
        <v>26</v>
      </c>
      <c r="J100" s="469">
        <f t="shared" si="75"/>
        <v>25</v>
      </c>
      <c r="K100" s="469">
        <f t="shared" si="75"/>
        <v>25</v>
      </c>
      <c r="L100" s="469">
        <f t="shared" si="75"/>
        <v>25</v>
      </c>
      <c r="M100" s="470">
        <f>SUM(F100:H100)</f>
        <v>83</v>
      </c>
      <c r="N100" s="471">
        <f>SUM(I100:L100)</f>
        <v>101</v>
      </c>
    </row>
    <row r="102" spans="1:31" ht="15.75">
      <c r="A102" s="467" t="s">
        <v>49</v>
      </c>
      <c r="B102" s="465" t="s">
        <v>1170</v>
      </c>
      <c r="C102" s="464"/>
      <c r="D102" s="464"/>
      <c r="E102" s="464"/>
      <c r="F102" s="466"/>
      <c r="G102" s="464"/>
      <c r="H102" s="464"/>
      <c r="I102" s="464"/>
      <c r="J102" s="464"/>
      <c r="K102" s="464"/>
      <c r="L102" s="464"/>
      <c r="M102" s="464"/>
      <c r="N102" s="464"/>
      <c r="O102" s="464"/>
      <c r="P102" s="464"/>
      <c r="Q102" s="464"/>
      <c r="R102" s="464"/>
      <c r="S102" s="464"/>
      <c r="T102" s="464"/>
      <c r="U102" s="464"/>
      <c r="V102" s="464"/>
      <c r="W102" s="464"/>
      <c r="X102" s="464"/>
      <c r="Y102" s="464"/>
      <c r="Z102" s="464"/>
      <c r="AA102" s="464"/>
      <c r="AB102" s="464"/>
      <c r="AC102" s="464"/>
      <c r="AD102" s="464"/>
      <c r="AE102" s="464"/>
    </row>
    <row r="103" spans="1:31">
      <c r="B103" s="366" t="s">
        <v>1228</v>
      </c>
    </row>
    <row r="104" spans="1:31" ht="12.75">
      <c r="Z104" s="373" t="s">
        <v>1215</v>
      </c>
      <c r="AC104" s="366" t="s">
        <v>1217</v>
      </c>
      <c r="AE104" s="418">
        <v>0.75</v>
      </c>
    </row>
    <row r="105" spans="1:31" ht="15.75">
      <c r="B105" s="369" t="s">
        <v>1109</v>
      </c>
      <c r="C105" s="476">
        <f>SUM(I99:L99)</f>
        <v>905</v>
      </c>
      <c r="D105" s="431" t="s">
        <v>1859</v>
      </c>
      <c r="Z105" s="373" t="s">
        <v>1216</v>
      </c>
      <c r="AC105" s="366" t="s">
        <v>1218</v>
      </c>
      <c r="AE105" s="418">
        <f>1-AE104</f>
        <v>0.25</v>
      </c>
    </row>
    <row r="106" spans="1:31" ht="12.75">
      <c r="AC106" s="366" t="s">
        <v>1219</v>
      </c>
      <c r="AE106" s="419">
        <v>7</v>
      </c>
    </row>
    <row r="107" spans="1:31" ht="14.45" customHeight="1">
      <c r="A107" s="1852" t="s">
        <v>243</v>
      </c>
      <c r="B107" s="1852" t="s">
        <v>1120</v>
      </c>
      <c r="C107" s="1852" t="s">
        <v>1121</v>
      </c>
      <c r="D107" s="1852" t="s">
        <v>1122</v>
      </c>
      <c r="E107" s="1852" t="s">
        <v>1123</v>
      </c>
      <c r="F107" s="1852" t="s">
        <v>1124</v>
      </c>
      <c r="G107" s="1852" t="s">
        <v>1125</v>
      </c>
      <c r="H107" s="1852" t="s">
        <v>1126</v>
      </c>
      <c r="I107" s="1852" t="s">
        <v>1127</v>
      </c>
      <c r="J107" s="1852" t="s">
        <v>1128</v>
      </c>
      <c r="K107" s="1852" t="s">
        <v>1129</v>
      </c>
      <c r="L107" s="1855" t="s">
        <v>1130</v>
      </c>
      <c r="M107" s="1857"/>
      <c r="N107" s="1855" t="s">
        <v>1131</v>
      </c>
      <c r="O107" s="1856"/>
      <c r="P107" s="1857"/>
      <c r="Q107" s="1855" t="s">
        <v>1132</v>
      </c>
      <c r="R107" s="1856"/>
      <c r="S107" s="1857"/>
      <c r="T107" s="1855" t="s">
        <v>1133</v>
      </c>
      <c r="U107" s="1856"/>
      <c r="V107" s="1857"/>
      <c r="W107" s="1855" t="s">
        <v>1134</v>
      </c>
      <c r="X107" s="1856"/>
      <c r="Y107" s="1857"/>
      <c r="Z107" s="1854" t="s">
        <v>1211</v>
      </c>
      <c r="AA107" s="1854"/>
      <c r="AB107" s="1854"/>
      <c r="AC107" s="1849" t="s">
        <v>1212</v>
      </c>
      <c r="AD107" s="1849" t="s">
        <v>1133</v>
      </c>
      <c r="AE107" s="1849" t="s">
        <v>1220</v>
      </c>
    </row>
    <row r="108" spans="1:31" ht="25.5">
      <c r="A108" s="1853"/>
      <c r="B108" s="1853"/>
      <c r="C108" s="1853"/>
      <c r="D108" s="1853"/>
      <c r="E108" s="1853"/>
      <c r="F108" s="1853"/>
      <c r="G108" s="1853"/>
      <c r="H108" s="1853"/>
      <c r="I108" s="1853"/>
      <c r="J108" s="1853"/>
      <c r="K108" s="1853"/>
      <c r="L108" s="382" t="s">
        <v>1135</v>
      </c>
      <c r="M108" s="382" t="s">
        <v>1136</v>
      </c>
      <c r="N108" s="382" t="s">
        <v>1135</v>
      </c>
      <c r="O108" s="382" t="s">
        <v>1136</v>
      </c>
      <c r="P108" s="382" t="s">
        <v>4</v>
      </c>
      <c r="Q108" s="382" t="s">
        <v>1135</v>
      </c>
      <c r="R108" s="382" t="s">
        <v>1136</v>
      </c>
      <c r="S108" s="382" t="s">
        <v>4</v>
      </c>
      <c r="T108" s="382" t="s">
        <v>1135</v>
      </c>
      <c r="U108" s="382" t="s">
        <v>1136</v>
      </c>
      <c r="V108" s="382" t="s">
        <v>4</v>
      </c>
      <c r="W108" s="382" t="s">
        <v>1135</v>
      </c>
      <c r="X108" s="382" t="s">
        <v>1136</v>
      </c>
      <c r="Y108" s="382" t="s">
        <v>4</v>
      </c>
      <c r="Z108" s="411" t="s">
        <v>1213</v>
      </c>
      <c r="AA108" s="411" t="s">
        <v>1214</v>
      </c>
      <c r="AB108" s="411" t="s">
        <v>4</v>
      </c>
      <c r="AC108" s="1850"/>
      <c r="AD108" s="1850"/>
      <c r="AE108" s="1850"/>
    </row>
    <row r="109" spans="1:31" ht="12.75">
      <c r="A109" s="383">
        <v>1</v>
      </c>
      <c r="B109" s="394" t="str">
        <f>B15</f>
        <v>Capreomycin</v>
      </c>
      <c r="C109" s="400">
        <v>0.97</v>
      </c>
      <c r="D109" s="401">
        <f>C$105*C109</f>
        <v>877.85</v>
      </c>
      <c r="E109" s="383" t="str">
        <f>E15</f>
        <v>1 g</v>
      </c>
      <c r="F109" s="383" t="str">
        <f>F15</f>
        <v>Box of 1 vial</v>
      </c>
      <c r="G109" s="394">
        <f>G15</f>
        <v>3.85</v>
      </c>
      <c r="H109" s="394">
        <f>H15</f>
        <v>1</v>
      </c>
      <c r="I109" s="410">
        <f>G109/H109</f>
        <v>3.85</v>
      </c>
      <c r="J109" s="394">
        <f>J15</f>
        <v>1</v>
      </c>
      <c r="K109" s="391">
        <v>26</v>
      </c>
      <c r="L109" s="391">
        <v>8</v>
      </c>
      <c r="M109" s="391">
        <v>0</v>
      </c>
      <c r="N109" s="391">
        <f>J109*K109*L109</f>
        <v>208</v>
      </c>
      <c r="O109" s="391">
        <f>J109*K109*M109</f>
        <v>0</v>
      </c>
      <c r="P109" s="391">
        <f>SUM(N109:O109)</f>
        <v>208</v>
      </c>
      <c r="Q109" s="391">
        <f t="shared" ref="Q109:Q116" si="76">N109*D109</f>
        <v>182592.80000000002</v>
      </c>
      <c r="R109" s="391">
        <f t="shared" ref="R109:R116" si="77">O109*D109</f>
        <v>0</v>
      </c>
      <c r="S109" s="391">
        <f>SUM(Q109:R109)</f>
        <v>182592.80000000002</v>
      </c>
      <c r="T109" s="391">
        <f t="shared" ref="T109:T116" si="78">Q109*I109</f>
        <v>702982.28</v>
      </c>
      <c r="U109" s="391">
        <f t="shared" ref="U109:U116" si="79">R109*I109</f>
        <v>0</v>
      </c>
      <c r="V109" s="391">
        <f>SUM(T109:U109)</f>
        <v>702982.28</v>
      </c>
      <c r="W109" s="393">
        <f>T109/$C$105</f>
        <v>776.77600000000007</v>
      </c>
      <c r="X109" s="393">
        <f t="shared" ref="X109:X121" si="80">U109/$C$105</f>
        <v>0</v>
      </c>
      <c r="Y109" s="393">
        <f>SUM(W109:X109)</f>
        <v>776.77600000000007</v>
      </c>
      <c r="Z109" s="412">
        <v>0.9</v>
      </c>
      <c r="AA109" s="412">
        <f>Z109*80%*AE$106/(L109+M109)</f>
        <v>0.63000000000000012</v>
      </c>
      <c r="AB109" s="413">
        <f t="shared" ref="AB109:AB121" si="81">Z109*AE$104+AA109*AE$105</f>
        <v>0.83250000000000002</v>
      </c>
      <c r="AC109" s="414">
        <f>S109*AB109</f>
        <v>152008.50600000002</v>
      </c>
      <c r="AD109" s="414">
        <f>AC109*I109</f>
        <v>585232.74810000008</v>
      </c>
      <c r="AE109" s="415">
        <f>AD109/C$105</f>
        <v>646.66602000000012</v>
      </c>
    </row>
    <row r="110" spans="1:31" ht="12.75">
      <c r="A110" s="383">
        <v>2</v>
      </c>
      <c r="B110" s="394" t="str">
        <f>B14</f>
        <v>Kanamycin</v>
      </c>
      <c r="C110" s="400">
        <v>0.03</v>
      </c>
      <c r="D110" s="401">
        <f t="shared" ref="D110:D121" si="82">C$105*C110</f>
        <v>27.15</v>
      </c>
      <c r="E110" s="383" t="str">
        <f>E14</f>
        <v>1 g</v>
      </c>
      <c r="F110" s="383" t="str">
        <f>F14</f>
        <v>Box of 50 vials</v>
      </c>
      <c r="G110" s="394">
        <f>G14</f>
        <v>46</v>
      </c>
      <c r="H110" s="394">
        <f>H14</f>
        <v>50</v>
      </c>
      <c r="I110" s="410">
        <f t="shared" ref="I110:I121" si="83">G110/H110</f>
        <v>0.92</v>
      </c>
      <c r="J110" s="394">
        <f>J14</f>
        <v>1</v>
      </c>
      <c r="K110" s="391">
        <v>26</v>
      </c>
      <c r="L110" s="391">
        <v>8</v>
      </c>
      <c r="M110" s="391">
        <v>0</v>
      </c>
      <c r="N110" s="391">
        <f t="shared" ref="N110:N116" si="84">J110*K110*L110</f>
        <v>208</v>
      </c>
      <c r="O110" s="391">
        <f t="shared" ref="O110:O116" si="85">J110*K110*M110</f>
        <v>0</v>
      </c>
      <c r="P110" s="391">
        <f t="shared" ref="P110:P116" si="86">SUM(N110:O110)</f>
        <v>208</v>
      </c>
      <c r="Q110" s="391">
        <f t="shared" si="76"/>
        <v>5647.2</v>
      </c>
      <c r="R110" s="391">
        <f t="shared" si="77"/>
        <v>0</v>
      </c>
      <c r="S110" s="391">
        <f t="shared" ref="S110:S116" si="87">SUM(Q110:R110)</f>
        <v>5647.2</v>
      </c>
      <c r="T110" s="391">
        <f t="shared" si="78"/>
        <v>5195.424</v>
      </c>
      <c r="U110" s="391">
        <f t="shared" si="79"/>
        <v>0</v>
      </c>
      <c r="V110" s="391">
        <f t="shared" ref="V110:V116" si="88">SUM(T110:U110)</f>
        <v>5195.424</v>
      </c>
      <c r="W110" s="393">
        <f t="shared" ref="W110:W121" si="89">T110/$C$105</f>
        <v>5.7408000000000001</v>
      </c>
      <c r="X110" s="393">
        <f t="shared" si="80"/>
        <v>0</v>
      </c>
      <c r="Y110" s="393">
        <f t="shared" ref="Y110:Y116" si="90">SUM(W110:X110)</f>
        <v>5.7408000000000001</v>
      </c>
      <c r="Z110" s="412">
        <f>Z109</f>
        <v>0.9</v>
      </c>
      <c r="AA110" s="412">
        <f t="shared" ref="AA110:AA119" si="91">Z110*80%*AE$106/(L110+M110)</f>
        <v>0.63000000000000012</v>
      </c>
      <c r="AB110" s="413">
        <f t="shared" si="81"/>
        <v>0.83250000000000002</v>
      </c>
      <c r="AC110" s="414">
        <f t="shared" ref="AC110:AC121" si="92">S110*AB110</f>
        <v>4701.2939999999999</v>
      </c>
      <c r="AD110" s="414">
        <f t="shared" ref="AD110:AD121" si="93">AC110*I110</f>
        <v>4325.1904800000002</v>
      </c>
      <c r="AE110" s="415">
        <f t="shared" ref="AE110:AE121" si="94">AD110/C$105</f>
        <v>4.7792159999999999</v>
      </c>
    </row>
    <row r="111" spans="1:31" ht="12.75">
      <c r="A111" s="383">
        <v>3</v>
      </c>
      <c r="B111" s="394" t="str">
        <f>B17</f>
        <v>Levofloxacin</v>
      </c>
      <c r="C111" s="400">
        <v>0.1</v>
      </c>
      <c r="D111" s="401">
        <f t="shared" si="82"/>
        <v>90.5</v>
      </c>
      <c r="E111" s="383" t="str">
        <f t="shared" ref="E111:H115" si="95">E17</f>
        <v>250 mg</v>
      </c>
      <c r="F111" s="383" t="str">
        <f t="shared" si="95"/>
        <v>Box of 100 tabs in blisters</v>
      </c>
      <c r="G111" s="394">
        <f t="shared" si="95"/>
        <v>3.78</v>
      </c>
      <c r="H111" s="394">
        <f t="shared" si="95"/>
        <v>100</v>
      </c>
      <c r="I111" s="410">
        <f t="shared" si="83"/>
        <v>3.78E-2</v>
      </c>
      <c r="J111" s="394">
        <f>J17</f>
        <v>4</v>
      </c>
      <c r="K111" s="391">
        <v>26</v>
      </c>
      <c r="L111" s="391">
        <v>8</v>
      </c>
      <c r="M111" s="391">
        <v>12</v>
      </c>
      <c r="N111" s="391">
        <f t="shared" si="84"/>
        <v>832</v>
      </c>
      <c r="O111" s="391">
        <f t="shared" si="85"/>
        <v>1248</v>
      </c>
      <c r="P111" s="391">
        <f t="shared" si="86"/>
        <v>2080</v>
      </c>
      <c r="Q111" s="391">
        <f t="shared" si="76"/>
        <v>75296</v>
      </c>
      <c r="R111" s="391">
        <f t="shared" si="77"/>
        <v>112944</v>
      </c>
      <c r="S111" s="391">
        <f t="shared" si="87"/>
        <v>188240</v>
      </c>
      <c r="T111" s="391">
        <f t="shared" si="78"/>
        <v>2846.1887999999999</v>
      </c>
      <c r="U111" s="391">
        <f t="shared" si="79"/>
        <v>4269.2831999999999</v>
      </c>
      <c r="V111" s="391">
        <f t="shared" si="88"/>
        <v>7115.4719999999998</v>
      </c>
      <c r="W111" s="393">
        <f t="shared" si="89"/>
        <v>3.1449599999999998</v>
      </c>
      <c r="X111" s="393">
        <f t="shared" si="80"/>
        <v>4.7174399999999999</v>
      </c>
      <c r="Y111" s="393">
        <f t="shared" si="90"/>
        <v>7.8623999999999992</v>
      </c>
      <c r="Z111" s="412">
        <v>0.9</v>
      </c>
      <c r="AA111" s="412">
        <f t="shared" si="91"/>
        <v>0.25200000000000006</v>
      </c>
      <c r="AB111" s="413">
        <f t="shared" si="81"/>
        <v>0.7380000000000001</v>
      </c>
      <c r="AC111" s="414">
        <f t="shared" si="92"/>
        <v>138921.12000000002</v>
      </c>
      <c r="AD111" s="414">
        <f t="shared" si="93"/>
        <v>5251.2183360000008</v>
      </c>
      <c r="AE111" s="415">
        <f t="shared" si="94"/>
        <v>5.802451200000001</v>
      </c>
    </row>
    <row r="112" spans="1:31" ht="12.75">
      <c r="A112" s="1461">
        <v>4</v>
      </c>
      <c r="B112" s="1462" t="s">
        <v>1161</v>
      </c>
      <c r="C112" s="1463">
        <v>0.9</v>
      </c>
      <c r="D112" s="401">
        <f t="shared" si="82"/>
        <v>814.5</v>
      </c>
      <c r="E112" s="383" t="str">
        <f t="shared" si="95"/>
        <v>400 mg</v>
      </c>
      <c r="F112" s="383" t="str">
        <f t="shared" si="95"/>
        <v>Box of 100 tabs in blisters</v>
      </c>
      <c r="G112" s="394">
        <f t="shared" si="95"/>
        <v>29</v>
      </c>
      <c r="H112" s="394">
        <f t="shared" si="95"/>
        <v>100</v>
      </c>
      <c r="I112" s="410">
        <f t="shared" si="83"/>
        <v>0.28999999999999998</v>
      </c>
      <c r="J112" s="1462">
        <v>1</v>
      </c>
      <c r="K112" s="1469">
        <v>26</v>
      </c>
      <c r="L112" s="1469">
        <v>8</v>
      </c>
      <c r="M112" s="1469">
        <v>12</v>
      </c>
      <c r="N112" s="391">
        <f t="shared" si="84"/>
        <v>208</v>
      </c>
      <c r="O112" s="391">
        <f t="shared" si="85"/>
        <v>312</v>
      </c>
      <c r="P112" s="391">
        <f t="shared" si="86"/>
        <v>520</v>
      </c>
      <c r="Q112" s="391">
        <f t="shared" si="76"/>
        <v>169416</v>
      </c>
      <c r="R112" s="391">
        <f t="shared" si="77"/>
        <v>254124</v>
      </c>
      <c r="S112" s="391">
        <f t="shared" si="87"/>
        <v>423540</v>
      </c>
      <c r="T112" s="391">
        <f t="shared" si="78"/>
        <v>49130.64</v>
      </c>
      <c r="U112" s="391">
        <f t="shared" si="79"/>
        <v>73695.959999999992</v>
      </c>
      <c r="V112" s="391">
        <f t="shared" si="88"/>
        <v>122826.59999999999</v>
      </c>
      <c r="W112" s="393">
        <f t="shared" si="89"/>
        <v>54.287999999999997</v>
      </c>
      <c r="X112" s="393">
        <f t="shared" si="80"/>
        <v>81.431999999999988</v>
      </c>
      <c r="Y112" s="393">
        <f t="shared" si="90"/>
        <v>135.71999999999997</v>
      </c>
      <c r="Z112" s="1471">
        <v>0.9</v>
      </c>
      <c r="AA112" s="412">
        <f t="shared" si="91"/>
        <v>0.25200000000000006</v>
      </c>
      <c r="AB112" s="413">
        <f t="shared" si="81"/>
        <v>0.7380000000000001</v>
      </c>
      <c r="AC112" s="414">
        <f t="shared" si="92"/>
        <v>312572.52</v>
      </c>
      <c r="AD112" s="414">
        <f t="shared" si="93"/>
        <v>90646.030799999993</v>
      </c>
      <c r="AE112" s="415">
        <f t="shared" si="94"/>
        <v>100.16135999999999</v>
      </c>
    </row>
    <row r="113" spans="1:31" ht="12.75">
      <c r="A113" s="383">
        <v>5</v>
      </c>
      <c r="B113" s="394" t="str">
        <f>B19</f>
        <v>Prothionamide</v>
      </c>
      <c r="C113" s="400">
        <v>0.4</v>
      </c>
      <c r="D113" s="401">
        <f t="shared" si="82"/>
        <v>362</v>
      </c>
      <c r="E113" s="383" t="str">
        <f t="shared" si="95"/>
        <v>250 mg</v>
      </c>
      <c r="F113" s="383" t="str">
        <f t="shared" si="95"/>
        <v>Blister of 100 tabs</v>
      </c>
      <c r="G113" s="394">
        <f t="shared" si="95"/>
        <v>8.1999999999999993</v>
      </c>
      <c r="H113" s="394">
        <f t="shared" si="95"/>
        <v>100</v>
      </c>
      <c r="I113" s="410">
        <f t="shared" si="83"/>
        <v>8.199999999999999E-2</v>
      </c>
      <c r="J113" s="1477">
        <f>J19</f>
        <v>3</v>
      </c>
      <c r="K113" s="391">
        <v>26</v>
      </c>
      <c r="L113" s="391">
        <v>8</v>
      </c>
      <c r="M113" s="391">
        <v>12</v>
      </c>
      <c r="N113" s="391">
        <f t="shared" si="84"/>
        <v>624</v>
      </c>
      <c r="O113" s="391">
        <f t="shared" si="85"/>
        <v>936</v>
      </c>
      <c r="P113" s="391">
        <f t="shared" si="86"/>
        <v>1560</v>
      </c>
      <c r="Q113" s="391">
        <f t="shared" si="76"/>
        <v>225888</v>
      </c>
      <c r="R113" s="391">
        <f t="shared" si="77"/>
        <v>338832</v>
      </c>
      <c r="S113" s="391">
        <f t="shared" si="87"/>
        <v>564720</v>
      </c>
      <c r="T113" s="391">
        <f t="shared" si="78"/>
        <v>18522.815999999999</v>
      </c>
      <c r="U113" s="391">
        <f t="shared" si="79"/>
        <v>27784.223999999995</v>
      </c>
      <c r="V113" s="391">
        <f t="shared" si="88"/>
        <v>46307.039999999994</v>
      </c>
      <c r="W113" s="393">
        <f t="shared" si="89"/>
        <v>20.467199999999998</v>
      </c>
      <c r="X113" s="393">
        <f t="shared" si="80"/>
        <v>30.700799999999994</v>
      </c>
      <c r="Y113" s="393">
        <f t="shared" si="90"/>
        <v>51.167999999999992</v>
      </c>
      <c r="Z113" s="412">
        <v>0.8</v>
      </c>
      <c r="AA113" s="412">
        <f t="shared" si="91"/>
        <v>0.22400000000000003</v>
      </c>
      <c r="AB113" s="413">
        <f t="shared" si="81"/>
        <v>0.65600000000000014</v>
      </c>
      <c r="AC113" s="414">
        <f t="shared" si="92"/>
        <v>370456.32000000007</v>
      </c>
      <c r="AD113" s="414">
        <f t="shared" si="93"/>
        <v>30377.418240000003</v>
      </c>
      <c r="AE113" s="415">
        <f t="shared" si="94"/>
        <v>33.566208000000003</v>
      </c>
    </row>
    <row r="114" spans="1:31" ht="12.75">
      <c r="A114" s="383">
        <v>6</v>
      </c>
      <c r="B114" s="394" t="str">
        <f>B20</f>
        <v>Cycloserine</v>
      </c>
      <c r="C114" s="400">
        <v>0.9</v>
      </c>
      <c r="D114" s="401">
        <f t="shared" si="82"/>
        <v>814.5</v>
      </c>
      <c r="E114" s="383" t="str">
        <f t="shared" si="95"/>
        <v>250 mg</v>
      </c>
      <c r="F114" s="383" t="str">
        <f t="shared" si="95"/>
        <v>Blister of 100 capsules</v>
      </c>
      <c r="G114" s="394">
        <f t="shared" si="95"/>
        <v>42.5</v>
      </c>
      <c r="H114" s="394">
        <f t="shared" si="95"/>
        <v>100</v>
      </c>
      <c r="I114" s="410">
        <f t="shared" si="83"/>
        <v>0.42499999999999999</v>
      </c>
      <c r="J114" s="1477">
        <f>J20</f>
        <v>3</v>
      </c>
      <c r="K114" s="391">
        <v>26</v>
      </c>
      <c r="L114" s="391">
        <v>8</v>
      </c>
      <c r="M114" s="391">
        <v>12</v>
      </c>
      <c r="N114" s="391">
        <f t="shared" si="84"/>
        <v>624</v>
      </c>
      <c r="O114" s="391">
        <f t="shared" si="85"/>
        <v>936</v>
      </c>
      <c r="P114" s="391">
        <f t="shared" si="86"/>
        <v>1560</v>
      </c>
      <c r="Q114" s="391">
        <f t="shared" si="76"/>
        <v>508248</v>
      </c>
      <c r="R114" s="391">
        <f t="shared" si="77"/>
        <v>762372</v>
      </c>
      <c r="S114" s="391">
        <f t="shared" si="87"/>
        <v>1270620</v>
      </c>
      <c r="T114" s="391">
        <f t="shared" si="78"/>
        <v>216005.4</v>
      </c>
      <c r="U114" s="391">
        <f t="shared" si="79"/>
        <v>324008.09999999998</v>
      </c>
      <c r="V114" s="391">
        <f t="shared" si="88"/>
        <v>540013.5</v>
      </c>
      <c r="W114" s="393">
        <f t="shared" si="89"/>
        <v>238.68</v>
      </c>
      <c r="X114" s="393">
        <f t="shared" si="80"/>
        <v>358.02</v>
      </c>
      <c r="Y114" s="393">
        <f t="shared" si="90"/>
        <v>596.70000000000005</v>
      </c>
      <c r="Z114" s="412">
        <v>0.85</v>
      </c>
      <c r="AA114" s="412">
        <f t="shared" si="91"/>
        <v>0.23800000000000004</v>
      </c>
      <c r="AB114" s="413">
        <f t="shared" si="81"/>
        <v>0.69699999999999995</v>
      </c>
      <c r="AC114" s="414">
        <f t="shared" si="92"/>
        <v>885622.1399999999</v>
      </c>
      <c r="AD114" s="414">
        <f t="shared" si="93"/>
        <v>376389.40949999995</v>
      </c>
      <c r="AE114" s="415">
        <f t="shared" si="94"/>
        <v>415.89989999999995</v>
      </c>
    </row>
    <row r="115" spans="1:31" ht="12.75">
      <c r="A115" s="383">
        <v>7</v>
      </c>
      <c r="B115" s="394" t="str">
        <f>B21</f>
        <v>PASER</v>
      </c>
      <c r="C115" s="400">
        <v>0.04</v>
      </c>
      <c r="D115" s="401">
        <f t="shared" si="82"/>
        <v>36.200000000000003</v>
      </c>
      <c r="E115" s="383" t="str">
        <f t="shared" si="95"/>
        <v>4 g</v>
      </c>
      <c r="F115" s="383" t="str">
        <f t="shared" si="95"/>
        <v>Box of 30 sachets</v>
      </c>
      <c r="G115" s="394">
        <f t="shared" si="95"/>
        <v>40</v>
      </c>
      <c r="H115" s="394">
        <f t="shared" si="95"/>
        <v>30</v>
      </c>
      <c r="I115" s="410">
        <f t="shared" si="83"/>
        <v>1.3333333333333333</v>
      </c>
      <c r="J115" s="1477">
        <f>J21</f>
        <v>2</v>
      </c>
      <c r="K115" s="391">
        <v>26</v>
      </c>
      <c r="L115" s="391">
        <v>8</v>
      </c>
      <c r="M115" s="391">
        <v>12</v>
      </c>
      <c r="N115" s="391">
        <f t="shared" si="84"/>
        <v>416</v>
      </c>
      <c r="O115" s="391">
        <f t="shared" si="85"/>
        <v>624</v>
      </c>
      <c r="P115" s="391">
        <f t="shared" si="86"/>
        <v>1040</v>
      </c>
      <c r="Q115" s="391">
        <f t="shared" si="76"/>
        <v>15059.2</v>
      </c>
      <c r="R115" s="391">
        <f t="shared" si="77"/>
        <v>22588.800000000003</v>
      </c>
      <c r="S115" s="391">
        <f t="shared" si="87"/>
        <v>37648</v>
      </c>
      <c r="T115" s="391">
        <f t="shared" si="78"/>
        <v>20078.933333333334</v>
      </c>
      <c r="U115" s="391">
        <f t="shared" si="79"/>
        <v>30118.400000000001</v>
      </c>
      <c r="V115" s="391">
        <f t="shared" si="88"/>
        <v>50197.333333333336</v>
      </c>
      <c r="W115" s="393">
        <f t="shared" si="89"/>
        <v>22.186666666666667</v>
      </c>
      <c r="X115" s="393">
        <f t="shared" si="80"/>
        <v>33.28</v>
      </c>
      <c r="Y115" s="393">
        <f t="shared" si="90"/>
        <v>55.466666666666669</v>
      </c>
      <c r="Z115" s="412">
        <v>0.85</v>
      </c>
      <c r="AA115" s="412">
        <f t="shared" si="91"/>
        <v>0.23800000000000004</v>
      </c>
      <c r="AB115" s="413">
        <f t="shared" si="81"/>
        <v>0.69699999999999995</v>
      </c>
      <c r="AC115" s="414">
        <f t="shared" si="92"/>
        <v>26240.655999999999</v>
      </c>
      <c r="AD115" s="414">
        <f t="shared" si="93"/>
        <v>34987.541333333327</v>
      </c>
      <c r="AE115" s="415">
        <f t="shared" si="94"/>
        <v>38.660266666666658</v>
      </c>
    </row>
    <row r="116" spans="1:31" ht="12.75">
      <c r="A116" s="1461">
        <v>8</v>
      </c>
      <c r="B116" s="394" t="str">
        <f>B12</f>
        <v>Pyrazinamide</v>
      </c>
      <c r="C116" s="400">
        <v>0.6</v>
      </c>
      <c r="D116" s="401">
        <f t="shared" si="82"/>
        <v>543</v>
      </c>
      <c r="E116" s="383" t="str">
        <f>E12</f>
        <v>400 mg</v>
      </c>
      <c r="F116" s="383" t="str">
        <f>F12</f>
        <v>Box of 672 tabs (in blisters)</v>
      </c>
      <c r="G116" s="394">
        <f>G12</f>
        <v>14</v>
      </c>
      <c r="H116" s="394">
        <f>H12</f>
        <v>672</v>
      </c>
      <c r="I116" s="410">
        <f t="shared" si="83"/>
        <v>2.0833333333333332E-2</v>
      </c>
      <c r="J116" s="1477">
        <f>J12</f>
        <v>4</v>
      </c>
      <c r="K116" s="391">
        <v>26</v>
      </c>
      <c r="L116" s="391">
        <v>8</v>
      </c>
      <c r="M116" s="391">
        <v>12</v>
      </c>
      <c r="N116" s="391">
        <f t="shared" si="84"/>
        <v>832</v>
      </c>
      <c r="O116" s="391">
        <f t="shared" si="85"/>
        <v>1248</v>
      </c>
      <c r="P116" s="391">
        <f t="shared" si="86"/>
        <v>2080</v>
      </c>
      <c r="Q116" s="391">
        <f t="shared" si="76"/>
        <v>451776</v>
      </c>
      <c r="R116" s="391">
        <f t="shared" si="77"/>
        <v>677664</v>
      </c>
      <c r="S116" s="391">
        <f t="shared" si="87"/>
        <v>1129440</v>
      </c>
      <c r="T116" s="391">
        <f t="shared" si="78"/>
        <v>9412</v>
      </c>
      <c r="U116" s="391">
        <f t="shared" si="79"/>
        <v>14118</v>
      </c>
      <c r="V116" s="391">
        <f t="shared" si="88"/>
        <v>23530</v>
      </c>
      <c r="W116" s="393">
        <f t="shared" si="89"/>
        <v>10.4</v>
      </c>
      <c r="X116" s="393">
        <f t="shared" si="80"/>
        <v>15.6</v>
      </c>
      <c r="Y116" s="393">
        <f t="shared" si="90"/>
        <v>26</v>
      </c>
      <c r="Z116" s="412">
        <v>0.9</v>
      </c>
      <c r="AA116" s="412">
        <f t="shared" si="91"/>
        <v>0.25200000000000006</v>
      </c>
      <c r="AB116" s="413">
        <f t="shared" si="81"/>
        <v>0.7380000000000001</v>
      </c>
      <c r="AC116" s="414">
        <f t="shared" si="92"/>
        <v>833526.72000000009</v>
      </c>
      <c r="AD116" s="414">
        <f t="shared" si="93"/>
        <v>17365.14</v>
      </c>
      <c r="AE116" s="415">
        <f t="shared" si="94"/>
        <v>19.187999999999999</v>
      </c>
    </row>
    <row r="117" spans="1:31" ht="12.75">
      <c r="A117" s="383">
        <v>9</v>
      </c>
      <c r="B117" s="394" t="str">
        <f>B11</f>
        <v>Ethambutol</v>
      </c>
      <c r="C117" s="400">
        <v>0.2</v>
      </c>
      <c r="D117" s="401">
        <f t="shared" si="82"/>
        <v>181</v>
      </c>
      <c r="E117" s="383" t="str">
        <f>E11</f>
        <v>400 mg</v>
      </c>
      <c r="F117" s="383" t="str">
        <f>F11</f>
        <v>Box of 672 tabs (in blisters)</v>
      </c>
      <c r="G117" s="394">
        <f>G11</f>
        <v>24.1</v>
      </c>
      <c r="H117" s="394">
        <f>H11</f>
        <v>672</v>
      </c>
      <c r="I117" s="410">
        <f t="shared" si="83"/>
        <v>3.5863095238095243E-2</v>
      </c>
      <c r="J117" s="1477">
        <f>J11</f>
        <v>3</v>
      </c>
      <c r="K117" s="391">
        <v>26</v>
      </c>
      <c r="L117" s="391">
        <v>8</v>
      </c>
      <c r="M117" s="391">
        <v>12</v>
      </c>
      <c r="N117" s="391">
        <f t="shared" ref="N117:N120" si="96">J117*K117*L117</f>
        <v>624</v>
      </c>
      <c r="O117" s="391">
        <f t="shared" ref="O117:O120" si="97">J117*K117*M117</f>
        <v>936</v>
      </c>
      <c r="P117" s="391">
        <f t="shared" ref="P117:P120" si="98">SUM(N117:O117)</f>
        <v>1560</v>
      </c>
      <c r="Q117" s="391">
        <f t="shared" ref="Q117:Q120" si="99">N117*D117</f>
        <v>112944</v>
      </c>
      <c r="R117" s="391">
        <f t="shared" ref="R117:R120" si="100">O117*D117</f>
        <v>169416</v>
      </c>
      <c r="S117" s="391">
        <f t="shared" ref="S117:S120" si="101">SUM(Q117:R117)</f>
        <v>282360</v>
      </c>
      <c r="T117" s="391">
        <f t="shared" ref="T117:T120" si="102">Q117*I117</f>
        <v>4050.5214285714292</v>
      </c>
      <c r="U117" s="391">
        <f t="shared" ref="U117:U120" si="103">R117*I117</f>
        <v>6075.7821428571433</v>
      </c>
      <c r="V117" s="391">
        <f t="shared" ref="V117:V120" si="104">SUM(T117:U117)</f>
        <v>10126.303571428572</v>
      </c>
      <c r="W117" s="393">
        <f t="shared" si="89"/>
        <v>4.475714285714286</v>
      </c>
      <c r="X117" s="393">
        <f t="shared" si="80"/>
        <v>6.713571428571429</v>
      </c>
      <c r="Y117" s="393">
        <f t="shared" ref="Y117:Y120" si="105">SUM(W117:X117)</f>
        <v>11.189285714285715</v>
      </c>
      <c r="Z117" s="412">
        <v>0.9</v>
      </c>
      <c r="AA117" s="412">
        <f t="shared" si="91"/>
        <v>0.25200000000000006</v>
      </c>
      <c r="AB117" s="413">
        <f t="shared" si="81"/>
        <v>0.7380000000000001</v>
      </c>
      <c r="AC117" s="414">
        <f t="shared" si="92"/>
        <v>208381.68000000002</v>
      </c>
      <c r="AD117" s="414">
        <f t="shared" si="93"/>
        <v>7473.2120357142876</v>
      </c>
      <c r="AE117" s="415">
        <f t="shared" si="94"/>
        <v>8.2576928571428585</v>
      </c>
    </row>
    <row r="118" spans="1:31" ht="12.75">
      <c r="A118" s="383">
        <v>10</v>
      </c>
      <c r="B118" s="1462" t="s">
        <v>2072</v>
      </c>
      <c r="C118" s="1463">
        <v>0.3</v>
      </c>
      <c r="D118" s="1464">
        <f t="shared" si="82"/>
        <v>271.5</v>
      </c>
      <c r="E118" s="1461" t="str">
        <f>E24</f>
        <v>600 mg</v>
      </c>
      <c r="F118" s="1461" t="str">
        <f t="shared" ref="F118:J118" si="106">F24</f>
        <v>Box of 100 tabs in blisters</v>
      </c>
      <c r="G118" s="1461">
        <f t="shared" si="106"/>
        <v>140</v>
      </c>
      <c r="H118" s="1478">
        <f t="shared" si="106"/>
        <v>100</v>
      </c>
      <c r="I118" s="1461">
        <f t="shared" si="106"/>
        <v>1.4</v>
      </c>
      <c r="J118" s="1478">
        <f t="shared" si="106"/>
        <v>1</v>
      </c>
      <c r="K118" s="1469">
        <v>26</v>
      </c>
      <c r="L118" s="1469">
        <v>8</v>
      </c>
      <c r="M118" s="1469">
        <v>2</v>
      </c>
      <c r="N118" s="1469">
        <f t="shared" si="96"/>
        <v>208</v>
      </c>
      <c r="O118" s="1469">
        <f t="shared" si="97"/>
        <v>52</v>
      </c>
      <c r="P118" s="1469">
        <f t="shared" si="98"/>
        <v>260</v>
      </c>
      <c r="Q118" s="1469">
        <f t="shared" si="99"/>
        <v>56472</v>
      </c>
      <c r="R118" s="1469">
        <f t="shared" si="100"/>
        <v>14118</v>
      </c>
      <c r="S118" s="1469">
        <f t="shared" si="101"/>
        <v>70590</v>
      </c>
      <c r="T118" s="1469">
        <f t="shared" si="102"/>
        <v>79060.799999999988</v>
      </c>
      <c r="U118" s="1469">
        <f t="shared" si="103"/>
        <v>19765.199999999997</v>
      </c>
      <c r="V118" s="1469">
        <f t="shared" si="104"/>
        <v>98825.999999999985</v>
      </c>
      <c r="W118" s="1470">
        <f t="shared" si="89"/>
        <v>87.359999999999985</v>
      </c>
      <c r="X118" s="1470">
        <f t="shared" si="80"/>
        <v>21.839999999999996</v>
      </c>
      <c r="Y118" s="1470">
        <f t="shared" si="105"/>
        <v>109.19999999999999</v>
      </c>
      <c r="Z118" s="412">
        <v>0.9</v>
      </c>
      <c r="AA118" s="412">
        <f t="shared" si="91"/>
        <v>0.50400000000000011</v>
      </c>
      <c r="AB118" s="413">
        <f t="shared" si="81"/>
        <v>0.80100000000000005</v>
      </c>
      <c r="AC118" s="414">
        <f t="shared" si="92"/>
        <v>56542.590000000004</v>
      </c>
      <c r="AD118" s="414">
        <f t="shared" si="93"/>
        <v>79159.626000000004</v>
      </c>
      <c r="AE118" s="415">
        <f t="shared" si="94"/>
        <v>87.469200000000001</v>
      </c>
    </row>
    <row r="119" spans="1:31" ht="12.75">
      <c r="A119" s="383">
        <v>11</v>
      </c>
      <c r="B119" s="1462" t="s">
        <v>2073</v>
      </c>
      <c r="C119" s="1463">
        <v>0.4</v>
      </c>
      <c r="D119" s="1464">
        <f t="shared" si="82"/>
        <v>362</v>
      </c>
      <c r="E119" s="1461" t="str">
        <f>E29</f>
        <v>100 mg</v>
      </c>
      <c r="F119" s="1461" t="str">
        <f t="shared" ref="F119:I119" si="107">F29</f>
        <v>HDPE Container of 100 caps</v>
      </c>
      <c r="G119" s="1461">
        <f t="shared" si="107"/>
        <v>98.24</v>
      </c>
      <c r="H119" s="1478">
        <f t="shared" si="107"/>
        <v>100</v>
      </c>
      <c r="I119" s="1461">
        <f t="shared" si="107"/>
        <v>0.98239999999999994</v>
      </c>
      <c r="J119" s="1479">
        <v>2</v>
      </c>
      <c r="K119" s="1469">
        <v>26</v>
      </c>
      <c r="L119" s="1469">
        <v>8</v>
      </c>
      <c r="M119" s="1469">
        <v>12</v>
      </c>
      <c r="N119" s="1469">
        <f t="shared" si="96"/>
        <v>416</v>
      </c>
      <c r="O119" s="1469">
        <f t="shared" si="97"/>
        <v>624</v>
      </c>
      <c r="P119" s="1469">
        <f t="shared" si="98"/>
        <v>1040</v>
      </c>
      <c r="Q119" s="1469">
        <f t="shared" si="99"/>
        <v>150592</v>
      </c>
      <c r="R119" s="1469">
        <f t="shared" si="100"/>
        <v>225888</v>
      </c>
      <c r="S119" s="1469">
        <f t="shared" si="101"/>
        <v>376480</v>
      </c>
      <c r="T119" s="1469">
        <f t="shared" si="102"/>
        <v>147941.5808</v>
      </c>
      <c r="U119" s="1469">
        <f t="shared" si="103"/>
        <v>221912.37119999999</v>
      </c>
      <c r="V119" s="1469">
        <f t="shared" si="104"/>
        <v>369853.95199999999</v>
      </c>
      <c r="W119" s="1470">
        <f t="shared" si="89"/>
        <v>163.47136</v>
      </c>
      <c r="X119" s="1470">
        <f t="shared" si="80"/>
        <v>245.20704000000001</v>
      </c>
      <c r="Y119" s="1470">
        <f t="shared" si="105"/>
        <v>408.67840000000001</v>
      </c>
      <c r="Z119" s="412">
        <v>0.9</v>
      </c>
      <c r="AA119" s="412">
        <f t="shared" si="91"/>
        <v>0.25200000000000006</v>
      </c>
      <c r="AB119" s="413">
        <f t="shared" si="81"/>
        <v>0.7380000000000001</v>
      </c>
      <c r="AC119" s="414">
        <f t="shared" si="92"/>
        <v>277842.24000000005</v>
      </c>
      <c r="AD119" s="414">
        <f t="shared" si="93"/>
        <v>272952.21657600004</v>
      </c>
      <c r="AE119" s="415">
        <f t="shared" si="94"/>
        <v>301.60465920000001</v>
      </c>
    </row>
    <row r="120" spans="1:31" ht="12.75">
      <c r="A120" s="1461">
        <v>12</v>
      </c>
      <c r="B120" s="394" t="str">
        <f>B30</f>
        <v>Water for injection</v>
      </c>
      <c r="C120" s="400">
        <f>C109+C110</f>
        <v>1</v>
      </c>
      <c r="D120" s="401">
        <f t="shared" si="82"/>
        <v>905</v>
      </c>
      <c r="E120" s="383" t="str">
        <f>E30</f>
        <v>5 ml</v>
      </c>
      <c r="F120" s="383" t="str">
        <f t="shared" ref="F120:H121" si="108">F30</f>
        <v>Box of 100 vials</v>
      </c>
      <c r="G120" s="394">
        <f t="shared" si="108"/>
        <v>9.1999999999999993</v>
      </c>
      <c r="H120" s="394">
        <f t="shared" si="108"/>
        <v>50</v>
      </c>
      <c r="I120" s="410">
        <f t="shared" si="83"/>
        <v>0.184</v>
      </c>
      <c r="J120" s="394">
        <f>J109</f>
        <v>1</v>
      </c>
      <c r="K120" s="391">
        <f>K109</f>
        <v>26</v>
      </c>
      <c r="L120" s="391">
        <f>L109</f>
        <v>8</v>
      </c>
      <c r="M120" s="391">
        <f>M109</f>
        <v>0</v>
      </c>
      <c r="N120" s="391">
        <f t="shared" si="96"/>
        <v>208</v>
      </c>
      <c r="O120" s="391">
        <f t="shared" si="97"/>
        <v>0</v>
      </c>
      <c r="P120" s="391">
        <f t="shared" si="98"/>
        <v>208</v>
      </c>
      <c r="Q120" s="391">
        <f t="shared" si="99"/>
        <v>188240</v>
      </c>
      <c r="R120" s="391">
        <f t="shared" si="100"/>
        <v>0</v>
      </c>
      <c r="S120" s="391">
        <f t="shared" si="101"/>
        <v>188240</v>
      </c>
      <c r="T120" s="391">
        <f t="shared" si="102"/>
        <v>34636.159999999996</v>
      </c>
      <c r="U120" s="391">
        <f t="shared" si="103"/>
        <v>0</v>
      </c>
      <c r="V120" s="391">
        <f t="shared" si="104"/>
        <v>34636.159999999996</v>
      </c>
      <c r="W120" s="393">
        <f t="shared" si="89"/>
        <v>38.271999999999998</v>
      </c>
      <c r="X120" s="393">
        <f t="shared" si="80"/>
        <v>0</v>
      </c>
      <c r="Y120" s="393">
        <f t="shared" si="105"/>
        <v>38.271999999999998</v>
      </c>
      <c r="Z120" s="412">
        <f>Z109</f>
        <v>0.9</v>
      </c>
      <c r="AA120" s="412">
        <f>AA109</f>
        <v>0.63000000000000012</v>
      </c>
      <c r="AB120" s="413">
        <f t="shared" si="81"/>
        <v>0.83250000000000002</v>
      </c>
      <c r="AC120" s="414">
        <f t="shared" si="92"/>
        <v>156709.80000000002</v>
      </c>
      <c r="AD120" s="414">
        <f t="shared" si="93"/>
        <v>28834.603200000001</v>
      </c>
      <c r="AE120" s="415">
        <f t="shared" si="94"/>
        <v>31.861440000000002</v>
      </c>
    </row>
    <row r="121" spans="1:31" ht="12.75">
      <c r="A121" s="383">
        <v>13</v>
      </c>
      <c r="B121" s="394" t="str">
        <f>B31</f>
        <v xml:space="preserve">S&amp;N (auto-disable) </v>
      </c>
      <c r="C121" s="400">
        <f>C120</f>
        <v>1</v>
      </c>
      <c r="D121" s="401">
        <f t="shared" si="82"/>
        <v>905</v>
      </c>
      <c r="E121" s="383" t="str">
        <f>E31</f>
        <v>5 ml / 21Gx</v>
      </c>
      <c r="F121" s="383" t="str">
        <f t="shared" si="108"/>
        <v>Box of 100</v>
      </c>
      <c r="G121" s="394">
        <f t="shared" si="108"/>
        <v>4.25</v>
      </c>
      <c r="H121" s="394">
        <f t="shared" si="108"/>
        <v>100</v>
      </c>
      <c r="I121" s="410">
        <f t="shared" si="83"/>
        <v>4.2500000000000003E-2</v>
      </c>
      <c r="J121" s="394">
        <f>J120</f>
        <v>1</v>
      </c>
      <c r="K121" s="391">
        <f>K120</f>
        <v>26</v>
      </c>
      <c r="L121" s="391">
        <f>L120</f>
        <v>8</v>
      </c>
      <c r="M121" s="391">
        <f>M120</f>
        <v>0</v>
      </c>
      <c r="N121" s="391">
        <f t="shared" ref="N121" si="109">J121*K121*L121</f>
        <v>208</v>
      </c>
      <c r="O121" s="391">
        <f t="shared" ref="O121" si="110">J121*K121*M121</f>
        <v>0</v>
      </c>
      <c r="P121" s="391">
        <f t="shared" ref="P121" si="111">SUM(N121:O121)</f>
        <v>208</v>
      </c>
      <c r="Q121" s="391">
        <f t="shared" ref="Q121" si="112">N121*D121</f>
        <v>188240</v>
      </c>
      <c r="R121" s="391">
        <f t="shared" ref="R121" si="113">O121*D121</f>
        <v>0</v>
      </c>
      <c r="S121" s="391">
        <f t="shared" ref="S121" si="114">SUM(Q121:R121)</f>
        <v>188240</v>
      </c>
      <c r="T121" s="391">
        <f t="shared" ref="T121" si="115">Q121*I121</f>
        <v>8000.2000000000007</v>
      </c>
      <c r="U121" s="391">
        <f t="shared" ref="U121" si="116">R121*I121</f>
        <v>0</v>
      </c>
      <c r="V121" s="391">
        <f t="shared" ref="V121" si="117">SUM(T121:U121)</f>
        <v>8000.2000000000007</v>
      </c>
      <c r="W121" s="393">
        <f t="shared" si="89"/>
        <v>8.8400000000000016</v>
      </c>
      <c r="X121" s="393">
        <f t="shared" si="80"/>
        <v>0</v>
      </c>
      <c r="Y121" s="393">
        <f t="shared" ref="Y121" si="118">SUM(W121:X121)</f>
        <v>8.8400000000000016</v>
      </c>
      <c r="Z121" s="412">
        <f>Z109</f>
        <v>0.9</v>
      </c>
      <c r="AA121" s="412">
        <f>AA109</f>
        <v>0.63000000000000012</v>
      </c>
      <c r="AB121" s="413">
        <f t="shared" si="81"/>
        <v>0.83250000000000002</v>
      </c>
      <c r="AC121" s="414">
        <f t="shared" si="92"/>
        <v>156709.80000000002</v>
      </c>
      <c r="AD121" s="414">
        <f t="shared" si="93"/>
        <v>6660.1665000000012</v>
      </c>
      <c r="AE121" s="415">
        <f t="shared" si="94"/>
        <v>7.3593000000000011</v>
      </c>
    </row>
    <row r="122" spans="1:31" ht="15.75">
      <c r="A122" s="394"/>
      <c r="B122" s="394"/>
      <c r="C122" s="394"/>
      <c r="D122" s="394"/>
      <c r="E122" s="394"/>
      <c r="F122" s="394"/>
      <c r="G122" s="394"/>
      <c r="H122" s="394"/>
      <c r="I122" s="394"/>
      <c r="J122" s="391"/>
      <c r="K122" s="391"/>
      <c r="L122" s="391"/>
      <c r="M122" s="391"/>
      <c r="N122" s="391"/>
      <c r="O122" s="391"/>
      <c r="P122" s="391"/>
      <c r="Q122" s="391"/>
      <c r="R122" s="391"/>
      <c r="S122" s="391"/>
      <c r="T122" s="391"/>
      <c r="U122" s="391"/>
      <c r="V122" s="395">
        <f>SUM(V109:V121)</f>
        <v>2019610.2649047619</v>
      </c>
      <c r="W122" s="391"/>
      <c r="X122" s="391"/>
      <c r="Y122" s="395">
        <f>SUM(Y109:Y121)</f>
        <v>2231.6135523809526</v>
      </c>
      <c r="Z122" s="416"/>
      <c r="AA122" s="416"/>
      <c r="AB122" s="416"/>
      <c r="AC122" s="416"/>
      <c r="AD122" s="417">
        <f>SUM(AD109:AD121)</f>
        <v>1539654.5211010473</v>
      </c>
      <c r="AE122" s="417">
        <f>SUM(AE109:AE121)</f>
        <v>1701.2757139238097</v>
      </c>
    </row>
    <row r="123" spans="1:31" ht="12.75" thickBot="1"/>
    <row r="124" spans="1:31" ht="12.75">
      <c r="A124" s="370"/>
      <c r="B124" s="373" t="s">
        <v>1221</v>
      </c>
      <c r="C124" s="1851" t="s">
        <v>1222</v>
      </c>
      <c r="D124" s="1851"/>
      <c r="E124" s="1851"/>
      <c r="G124" s="1851" t="s">
        <v>1223</v>
      </c>
      <c r="H124" s="1851"/>
      <c r="I124" s="1851"/>
      <c r="K124" s="420" t="s">
        <v>1225</v>
      </c>
      <c r="L124" s="421" t="s">
        <v>1222</v>
      </c>
      <c r="M124" s="422" t="s">
        <v>1224</v>
      </c>
      <c r="R124" s="592"/>
      <c r="S124" s="592"/>
      <c r="AC124" s="592"/>
    </row>
    <row r="125" spans="1:31" ht="12.75">
      <c r="A125" s="370"/>
      <c r="B125" s="370"/>
      <c r="C125" s="371" t="s">
        <v>1110</v>
      </c>
      <c r="D125" s="397" t="s">
        <v>4</v>
      </c>
      <c r="E125" s="397" t="s">
        <v>1154</v>
      </c>
      <c r="G125" s="371" t="s">
        <v>1110</v>
      </c>
      <c r="H125" s="397" t="s">
        <v>4</v>
      </c>
      <c r="I125" s="397" t="s">
        <v>1154</v>
      </c>
      <c r="K125" s="423" t="s">
        <v>1155</v>
      </c>
      <c r="L125" s="425">
        <f>E126/E$134</f>
        <v>0.88873089228581581</v>
      </c>
      <c r="M125" s="426">
        <f>I126/I$134</f>
        <v>0.88873089228581581</v>
      </c>
    </row>
    <row r="126" spans="1:31" ht="13.5" thickBot="1">
      <c r="A126" s="372" t="s">
        <v>41</v>
      </c>
      <c r="B126" s="373" t="s">
        <v>1111</v>
      </c>
      <c r="C126" s="374"/>
      <c r="D126" s="374">
        <f>V122</f>
        <v>2019610.2649047619</v>
      </c>
      <c r="E126" s="375">
        <f>Y122</f>
        <v>2231.6135523809526</v>
      </c>
      <c r="G126" s="374"/>
      <c r="H126" s="374">
        <f>AD122</f>
        <v>1539654.5211010473</v>
      </c>
      <c r="I126" s="375">
        <f>AE122</f>
        <v>1701.2757139238097</v>
      </c>
      <c r="K126" s="424" t="s">
        <v>1004</v>
      </c>
      <c r="L126" s="427">
        <f>E127/E$134</f>
        <v>0.11126910771418413</v>
      </c>
      <c r="M126" s="428">
        <f>I127/I$134</f>
        <v>0.11126910771418416</v>
      </c>
    </row>
    <row r="127" spans="1:31" ht="12.75">
      <c r="A127" s="372" t="s">
        <v>43</v>
      </c>
      <c r="B127" s="373" t="s">
        <v>1112</v>
      </c>
      <c r="C127" s="373"/>
      <c r="D127" s="374">
        <f>SUM(D128:D133)</f>
        <v>252855.20516607619</v>
      </c>
      <c r="E127" s="375">
        <f>SUM(E128:E133)</f>
        <v>279.39801675809525</v>
      </c>
      <c r="G127" s="373"/>
      <c r="H127" s="374">
        <f>SUM(H128:H133)</f>
        <v>192764.74604185112</v>
      </c>
      <c r="I127" s="375">
        <f>SUM(I128:I133)</f>
        <v>212.99971938326101</v>
      </c>
    </row>
    <row r="128" spans="1:31" ht="12.75">
      <c r="A128" s="376">
        <v>1</v>
      </c>
      <c r="B128" s="377" t="s">
        <v>1113</v>
      </c>
      <c r="C128" s="378">
        <v>4.2000000000000003E-2</v>
      </c>
      <c r="D128" s="399">
        <f>D$126*C128</f>
        <v>84823.631126000007</v>
      </c>
      <c r="E128" s="379">
        <f>E$126*C128</f>
        <v>93.727769200000012</v>
      </c>
      <c r="G128" s="378">
        <f>C128</f>
        <v>4.2000000000000003E-2</v>
      </c>
      <c r="H128" s="399">
        <f>H$126*G128</f>
        <v>64665.489886243988</v>
      </c>
      <c r="I128" s="379">
        <f>I$126*G128</f>
        <v>71.453579984800015</v>
      </c>
    </row>
    <row r="129" spans="1:31" ht="12.75">
      <c r="A129" s="376">
        <v>2</v>
      </c>
      <c r="B129" s="377" t="s">
        <v>1156</v>
      </c>
      <c r="C129" s="378">
        <v>0.02</v>
      </c>
      <c r="D129" s="399">
        <f t="shared" ref="D129:D133" si="119">D$126*C129</f>
        <v>40392.205298095236</v>
      </c>
      <c r="E129" s="379">
        <f t="shared" ref="E129:E133" si="120">E$126*C129</f>
        <v>44.632271047619049</v>
      </c>
      <c r="G129" s="378">
        <f t="shared" ref="G129:G133" si="121">C129</f>
        <v>0.02</v>
      </c>
      <c r="H129" s="399">
        <f t="shared" ref="H129:H133" si="122">H$126*G129</f>
        <v>30793.090422020945</v>
      </c>
      <c r="I129" s="379">
        <f t="shared" ref="I129:I133" si="123">I$126*G129</f>
        <v>34.025514278476194</v>
      </c>
    </row>
    <row r="130" spans="1:31" ht="12.75">
      <c r="A130" s="376">
        <v>3</v>
      </c>
      <c r="B130" s="377" t="s">
        <v>1114</v>
      </c>
      <c r="C130" s="378">
        <v>1.2E-2</v>
      </c>
      <c r="D130" s="399">
        <f t="shared" si="119"/>
        <v>24235.323178857143</v>
      </c>
      <c r="E130" s="379">
        <f t="shared" si="120"/>
        <v>26.77936262857143</v>
      </c>
      <c r="G130" s="378">
        <f t="shared" si="121"/>
        <v>1.2E-2</v>
      </c>
      <c r="H130" s="399">
        <f t="shared" si="122"/>
        <v>18475.854253212568</v>
      </c>
      <c r="I130" s="379">
        <f t="shared" si="123"/>
        <v>20.415308567085717</v>
      </c>
    </row>
    <row r="131" spans="1:31" ht="12.75">
      <c r="A131" s="376">
        <v>4</v>
      </c>
      <c r="B131" s="377" t="s">
        <v>1157</v>
      </c>
      <c r="C131" s="378">
        <v>1.1999999999999999E-3</v>
      </c>
      <c r="D131" s="399">
        <f t="shared" si="119"/>
        <v>2423.5323178857143</v>
      </c>
      <c r="E131" s="379">
        <f t="shared" si="120"/>
        <v>2.677936262857143</v>
      </c>
      <c r="G131" s="378">
        <f t="shared" si="121"/>
        <v>1.1999999999999999E-3</v>
      </c>
      <c r="H131" s="399">
        <f t="shared" si="122"/>
        <v>1847.5854253212565</v>
      </c>
      <c r="I131" s="379">
        <f t="shared" si="123"/>
        <v>2.0415308567085715</v>
      </c>
    </row>
    <row r="132" spans="1:31" ht="12.75">
      <c r="A132" s="376">
        <v>5</v>
      </c>
      <c r="B132" s="377" t="s">
        <v>1115</v>
      </c>
      <c r="C132" s="378">
        <v>0.02</v>
      </c>
      <c r="D132" s="399">
        <f t="shared" si="119"/>
        <v>40392.205298095236</v>
      </c>
      <c r="E132" s="379">
        <f t="shared" si="120"/>
        <v>44.632271047619049</v>
      </c>
      <c r="G132" s="378">
        <f t="shared" si="121"/>
        <v>0.02</v>
      </c>
      <c r="H132" s="399">
        <f t="shared" si="122"/>
        <v>30793.090422020945</v>
      </c>
      <c r="I132" s="379">
        <f t="shared" si="123"/>
        <v>34.025514278476194</v>
      </c>
    </row>
    <row r="133" spans="1:31" ht="12.75">
      <c r="A133" s="376">
        <v>6</v>
      </c>
      <c r="B133" s="377" t="s">
        <v>1116</v>
      </c>
      <c r="C133" s="378">
        <v>0.03</v>
      </c>
      <c r="D133" s="399">
        <f t="shared" si="119"/>
        <v>60588.307947142857</v>
      </c>
      <c r="E133" s="379">
        <f t="shared" si="120"/>
        <v>66.948406571428578</v>
      </c>
      <c r="G133" s="378">
        <f t="shared" si="121"/>
        <v>0.03</v>
      </c>
      <c r="H133" s="399">
        <f t="shared" si="122"/>
        <v>46189.635633031416</v>
      </c>
      <c r="I133" s="379">
        <f t="shared" si="123"/>
        <v>51.038271417714292</v>
      </c>
    </row>
    <row r="134" spans="1:31" ht="13.5" thickBot="1">
      <c r="A134" s="372" t="s">
        <v>45</v>
      </c>
      <c r="B134" s="373" t="s">
        <v>1117</v>
      </c>
      <c r="C134" s="374"/>
      <c r="D134" s="374">
        <f>SUM(D126,D127)</f>
        <v>2272465.470070838</v>
      </c>
      <c r="E134" s="375">
        <f>SUM(E126,E127)</f>
        <v>2511.0115691390479</v>
      </c>
      <c r="G134" s="374"/>
      <c r="H134" s="374">
        <f>SUM(H126,H127)</f>
        <v>1732419.2671428984</v>
      </c>
      <c r="I134" s="375">
        <f>SUM(I126,I127)</f>
        <v>1914.2754333070707</v>
      </c>
    </row>
    <row r="135" spans="1:31" ht="15.75" thickBot="1">
      <c r="A135" s="429" t="s">
        <v>47</v>
      </c>
      <c r="B135" s="429" t="s">
        <v>1118</v>
      </c>
      <c r="C135" s="430"/>
      <c r="D135" s="430"/>
      <c r="E135" s="432">
        <f>ROUND(E134,-1)</f>
        <v>2510</v>
      </c>
      <c r="F135" s="405"/>
      <c r="G135" s="430"/>
      <c r="H135" s="430"/>
      <c r="I135" s="433">
        <f>ROUND(I134,-1)</f>
        <v>1910</v>
      </c>
    </row>
    <row r="137" spans="1:31" ht="15.75">
      <c r="A137" s="467" t="s">
        <v>50</v>
      </c>
      <c r="B137" s="465" t="s">
        <v>1226</v>
      </c>
      <c r="C137" s="464"/>
      <c r="D137" s="464"/>
      <c r="E137" s="464"/>
      <c r="F137" s="466"/>
      <c r="G137" s="464"/>
      <c r="H137" s="464"/>
      <c r="I137" s="464"/>
      <c r="J137" s="464"/>
      <c r="K137" s="464"/>
      <c r="L137" s="464"/>
      <c r="M137" s="464"/>
      <c r="N137" s="464"/>
      <c r="O137" s="464"/>
      <c r="P137" s="464"/>
      <c r="Q137" s="464"/>
      <c r="R137" s="464"/>
      <c r="S137" s="464"/>
      <c r="T137" s="464"/>
      <c r="U137" s="464"/>
      <c r="V137" s="464"/>
      <c r="W137" s="464"/>
      <c r="X137" s="464"/>
      <c r="Y137" s="464"/>
      <c r="Z137" s="464"/>
      <c r="AA137" s="464"/>
      <c r="AB137" s="464"/>
      <c r="AC137" s="464"/>
      <c r="AD137" s="464"/>
      <c r="AE137" s="464"/>
    </row>
    <row r="138" spans="1:31" ht="12.75">
      <c r="B138" s="366" t="s">
        <v>1229</v>
      </c>
      <c r="Z138" s="373"/>
      <c r="AE138" s="418"/>
    </row>
    <row r="139" spans="1:31" ht="12.75">
      <c r="Z139" s="373" t="s">
        <v>1215</v>
      </c>
      <c r="AC139" s="366" t="s">
        <v>1217</v>
      </c>
      <c r="AE139" s="418">
        <v>0.85</v>
      </c>
    </row>
    <row r="140" spans="1:31" ht="15.75">
      <c r="B140" s="369" t="s">
        <v>1109</v>
      </c>
      <c r="C140" s="476">
        <f>SUM(I100:L100)</f>
        <v>101</v>
      </c>
      <c r="D140" s="431" t="s">
        <v>1859</v>
      </c>
      <c r="Z140" s="373" t="s">
        <v>1216</v>
      </c>
      <c r="AC140" s="366" t="s">
        <v>1218</v>
      </c>
      <c r="AE140" s="418">
        <f>1-AE139</f>
        <v>0.15000000000000002</v>
      </c>
    </row>
    <row r="141" spans="1:31" ht="12.75">
      <c r="AC141" s="366" t="s">
        <v>1219</v>
      </c>
      <c r="AE141" s="419">
        <v>5</v>
      </c>
    </row>
    <row r="142" spans="1:31" ht="14.45" customHeight="1">
      <c r="A142" s="1852" t="s">
        <v>243</v>
      </c>
      <c r="B142" s="1852" t="s">
        <v>1120</v>
      </c>
      <c r="C142" s="1852" t="s">
        <v>1121</v>
      </c>
      <c r="D142" s="1852" t="s">
        <v>1122</v>
      </c>
      <c r="E142" s="1852" t="s">
        <v>1123</v>
      </c>
      <c r="F142" s="1852" t="s">
        <v>1124</v>
      </c>
      <c r="G142" s="1852" t="s">
        <v>1125</v>
      </c>
      <c r="H142" s="1852" t="s">
        <v>1126</v>
      </c>
      <c r="I142" s="1852" t="s">
        <v>1127</v>
      </c>
      <c r="J142" s="1852" t="s">
        <v>1128</v>
      </c>
      <c r="K142" s="1852" t="s">
        <v>1129</v>
      </c>
      <c r="L142" s="1855" t="s">
        <v>1130</v>
      </c>
      <c r="M142" s="1857"/>
      <c r="N142" s="1855" t="s">
        <v>1131</v>
      </c>
      <c r="O142" s="1856"/>
      <c r="P142" s="1857"/>
      <c r="Q142" s="1855" t="s">
        <v>1132</v>
      </c>
      <c r="R142" s="1856"/>
      <c r="S142" s="1857"/>
      <c r="T142" s="1855" t="s">
        <v>1133</v>
      </c>
      <c r="U142" s="1856"/>
      <c r="V142" s="1857"/>
      <c r="W142" s="1855" t="s">
        <v>1134</v>
      </c>
      <c r="X142" s="1856"/>
      <c r="Y142" s="1857"/>
      <c r="Z142" s="1854" t="s">
        <v>1211</v>
      </c>
      <c r="AA142" s="1854"/>
      <c r="AB142" s="1854"/>
      <c r="AC142" s="1849" t="s">
        <v>1212</v>
      </c>
      <c r="AD142" s="1849" t="s">
        <v>1133</v>
      </c>
      <c r="AE142" s="1849" t="s">
        <v>1220</v>
      </c>
    </row>
    <row r="143" spans="1:31" ht="25.5">
      <c r="A143" s="1853"/>
      <c r="B143" s="1853"/>
      <c r="C143" s="1853"/>
      <c r="D143" s="1853"/>
      <c r="E143" s="1853"/>
      <c r="F143" s="1853"/>
      <c r="G143" s="1853"/>
      <c r="H143" s="1853"/>
      <c r="I143" s="1853"/>
      <c r="J143" s="1853"/>
      <c r="K143" s="1853"/>
      <c r="L143" s="382" t="s">
        <v>1135</v>
      </c>
      <c r="M143" s="382" t="s">
        <v>1136</v>
      </c>
      <c r="N143" s="382" t="s">
        <v>1135</v>
      </c>
      <c r="O143" s="382" t="s">
        <v>1136</v>
      </c>
      <c r="P143" s="382" t="s">
        <v>4</v>
      </c>
      <c r="Q143" s="382" t="s">
        <v>1135</v>
      </c>
      <c r="R143" s="382" t="s">
        <v>1136</v>
      </c>
      <c r="S143" s="382" t="s">
        <v>4</v>
      </c>
      <c r="T143" s="382" t="s">
        <v>1135</v>
      </c>
      <c r="U143" s="382" t="s">
        <v>1136</v>
      </c>
      <c r="V143" s="382" t="s">
        <v>4</v>
      </c>
      <c r="W143" s="382" t="s">
        <v>1135</v>
      </c>
      <c r="X143" s="382" t="s">
        <v>1136</v>
      </c>
      <c r="Y143" s="382" t="s">
        <v>4</v>
      </c>
      <c r="Z143" s="411" t="s">
        <v>1213</v>
      </c>
      <c r="AA143" s="411" t="s">
        <v>1214</v>
      </c>
      <c r="AB143" s="411" t="s">
        <v>4</v>
      </c>
      <c r="AC143" s="1850"/>
      <c r="AD143" s="1850"/>
      <c r="AE143" s="1850"/>
    </row>
    <row r="144" spans="1:31" ht="12.75">
      <c r="A144" s="383">
        <v>1</v>
      </c>
      <c r="B144" s="394" t="str">
        <f>B15</f>
        <v>Capreomycin</v>
      </c>
      <c r="C144" s="400">
        <v>1</v>
      </c>
      <c r="D144" s="401">
        <f>C$140*C144</f>
        <v>101</v>
      </c>
      <c r="E144" s="383" t="str">
        <f>E15</f>
        <v>1 g</v>
      </c>
      <c r="F144" s="383" t="str">
        <f>F15</f>
        <v>Box of 1 vial</v>
      </c>
      <c r="G144" s="394">
        <f>G15</f>
        <v>3.85</v>
      </c>
      <c r="H144" s="394">
        <f>H15</f>
        <v>1</v>
      </c>
      <c r="I144" s="410">
        <f t="shared" ref="I144:I153" si="124">G144/H144</f>
        <v>3.85</v>
      </c>
      <c r="J144" s="394">
        <f>J15</f>
        <v>1</v>
      </c>
      <c r="K144" s="391">
        <v>26</v>
      </c>
      <c r="L144" s="434">
        <v>4</v>
      </c>
      <c r="M144" s="391">
        <v>0</v>
      </c>
      <c r="N144" s="391">
        <f>J144*K144*L144</f>
        <v>104</v>
      </c>
      <c r="O144" s="391">
        <f>J144*K144*M144</f>
        <v>0</v>
      </c>
      <c r="P144" s="391">
        <f>SUM(N144:O144)</f>
        <v>104</v>
      </c>
      <c r="Q144" s="391">
        <f t="shared" ref="Q144:Q153" si="125">N144*D144</f>
        <v>10504</v>
      </c>
      <c r="R144" s="391">
        <f t="shared" ref="R144:R153" si="126">O144*D144</f>
        <v>0</v>
      </c>
      <c r="S144" s="391">
        <f>SUM(Q144:R144)</f>
        <v>10504</v>
      </c>
      <c r="T144" s="391">
        <f t="shared" ref="T144:T153" si="127">Q144*I144</f>
        <v>40440.400000000001</v>
      </c>
      <c r="U144" s="391">
        <f t="shared" ref="U144:U153" si="128">R144*I144</f>
        <v>0</v>
      </c>
      <c r="V144" s="391">
        <f>SUM(T144:U144)</f>
        <v>40440.400000000001</v>
      </c>
      <c r="W144" s="393">
        <f>T144/$C$140</f>
        <v>400.40000000000003</v>
      </c>
      <c r="X144" s="393">
        <f t="shared" ref="X144:X153" si="129">U144/$C$140</f>
        <v>0</v>
      </c>
      <c r="Y144" s="393">
        <f>SUM(W144:X144)</f>
        <v>400.40000000000003</v>
      </c>
      <c r="Z144" s="412">
        <v>0.95</v>
      </c>
      <c r="AA144" s="436">
        <f>Z144*80%</f>
        <v>0.76</v>
      </c>
      <c r="AB144" s="413">
        <f>Z144*AE$139+AA144*AE$140</f>
        <v>0.92149999999999999</v>
      </c>
      <c r="AC144" s="414">
        <f>S144*AB144</f>
        <v>9679.4359999999997</v>
      </c>
      <c r="AD144" s="414">
        <f>AC144*I144</f>
        <v>37265.828600000001</v>
      </c>
      <c r="AE144" s="415">
        <f>AD144/C$140</f>
        <v>368.96859999999998</v>
      </c>
    </row>
    <row r="145" spans="1:31" ht="12.75">
      <c r="A145" s="383">
        <v>2</v>
      </c>
      <c r="B145" s="394" t="str">
        <f>B18</f>
        <v>Moxifloxacin</v>
      </c>
      <c r="C145" s="400">
        <v>1</v>
      </c>
      <c r="D145" s="401">
        <f t="shared" ref="D145:D153" si="130">C$140*C145</f>
        <v>101</v>
      </c>
      <c r="E145" s="383" t="str">
        <f t="shared" ref="E145:H146" si="131">E18</f>
        <v>400 mg</v>
      </c>
      <c r="F145" s="383" t="str">
        <f t="shared" si="131"/>
        <v>Box of 100 tabs in blisters</v>
      </c>
      <c r="G145" s="394">
        <f t="shared" si="131"/>
        <v>29</v>
      </c>
      <c r="H145" s="394">
        <f t="shared" si="131"/>
        <v>100</v>
      </c>
      <c r="I145" s="410">
        <f t="shared" si="124"/>
        <v>0.28999999999999998</v>
      </c>
      <c r="J145" s="394">
        <f>J18</f>
        <v>1</v>
      </c>
      <c r="K145" s="391">
        <v>26</v>
      </c>
      <c r="L145" s="434">
        <v>4</v>
      </c>
      <c r="M145" s="434">
        <v>6</v>
      </c>
      <c r="N145" s="391">
        <f t="shared" ref="N145:N148" si="132">J145*K145*L145</f>
        <v>104</v>
      </c>
      <c r="O145" s="391">
        <f t="shared" ref="O145:O148" si="133">J145*K145*M145</f>
        <v>156</v>
      </c>
      <c r="P145" s="391">
        <f t="shared" ref="P145:P153" si="134">SUM(N145:O145)</f>
        <v>260</v>
      </c>
      <c r="Q145" s="391">
        <f t="shared" si="125"/>
        <v>10504</v>
      </c>
      <c r="R145" s="391">
        <f t="shared" si="126"/>
        <v>15756</v>
      </c>
      <c r="S145" s="391">
        <f t="shared" ref="S145:S153" si="135">SUM(Q145:R145)</f>
        <v>26260</v>
      </c>
      <c r="T145" s="391">
        <f t="shared" si="127"/>
        <v>3046.16</v>
      </c>
      <c r="U145" s="391">
        <f t="shared" si="128"/>
        <v>4569.24</v>
      </c>
      <c r="V145" s="391">
        <f t="shared" ref="V145:V153" si="136">SUM(T145:U145)</f>
        <v>7615.4</v>
      </c>
      <c r="W145" s="393">
        <f t="shared" ref="W145:W153" si="137">T145/$C$140</f>
        <v>30.16</v>
      </c>
      <c r="X145" s="393">
        <f t="shared" si="129"/>
        <v>45.239999999999995</v>
      </c>
      <c r="Y145" s="393">
        <f t="shared" ref="Y145:Y153" si="138">SUM(W145:X145)</f>
        <v>75.399999999999991</v>
      </c>
      <c r="Z145" s="412">
        <v>0.95</v>
      </c>
      <c r="AA145" s="412">
        <f t="shared" ref="AA145:AA151" si="139">Z145*80%*AE$141/(L145+M145)</f>
        <v>0.38</v>
      </c>
      <c r="AB145" s="413">
        <f t="shared" ref="AB145:AB153" si="140">Z145*AE$139+AA145*AE$140</f>
        <v>0.86450000000000005</v>
      </c>
      <c r="AC145" s="414">
        <f t="shared" ref="AC145:AC153" si="141">S145*AB145</f>
        <v>22701.77</v>
      </c>
      <c r="AD145" s="414">
        <f t="shared" ref="AD145:AD153" si="142">AC145*I145</f>
        <v>6583.5132999999996</v>
      </c>
      <c r="AE145" s="415">
        <f t="shared" ref="AE145:AE153" si="143">AD145/C$140</f>
        <v>65.183300000000003</v>
      </c>
    </row>
    <row r="146" spans="1:31" ht="12.75">
      <c r="A146" s="383">
        <v>3</v>
      </c>
      <c r="B146" s="394" t="str">
        <f>B19</f>
        <v>Prothionamide</v>
      </c>
      <c r="C146" s="400">
        <v>0.2</v>
      </c>
      <c r="D146" s="401">
        <f t="shared" si="130"/>
        <v>20.200000000000003</v>
      </c>
      <c r="E146" s="383" t="str">
        <f t="shared" si="131"/>
        <v>250 mg</v>
      </c>
      <c r="F146" s="383" t="str">
        <f t="shared" si="131"/>
        <v>Blister of 100 tabs</v>
      </c>
      <c r="G146" s="394">
        <f t="shared" si="131"/>
        <v>8.1999999999999993</v>
      </c>
      <c r="H146" s="394">
        <f t="shared" si="131"/>
        <v>100</v>
      </c>
      <c r="I146" s="410">
        <f t="shared" si="124"/>
        <v>8.199999999999999E-2</v>
      </c>
      <c r="J146" s="394">
        <f>J19</f>
        <v>3</v>
      </c>
      <c r="K146" s="391">
        <v>26</v>
      </c>
      <c r="L146" s="434">
        <v>4</v>
      </c>
      <c r="M146" s="391">
        <v>0</v>
      </c>
      <c r="N146" s="391">
        <f t="shared" si="132"/>
        <v>312</v>
      </c>
      <c r="O146" s="391">
        <f t="shared" si="133"/>
        <v>0</v>
      </c>
      <c r="P146" s="391">
        <f t="shared" si="134"/>
        <v>312</v>
      </c>
      <c r="Q146" s="391">
        <f t="shared" si="125"/>
        <v>6302.4000000000005</v>
      </c>
      <c r="R146" s="391">
        <f t="shared" si="126"/>
        <v>0</v>
      </c>
      <c r="S146" s="391">
        <f t="shared" si="135"/>
        <v>6302.4000000000005</v>
      </c>
      <c r="T146" s="391">
        <f t="shared" si="127"/>
        <v>516.79679999999996</v>
      </c>
      <c r="U146" s="391">
        <f t="shared" si="128"/>
        <v>0</v>
      </c>
      <c r="V146" s="391">
        <f t="shared" si="136"/>
        <v>516.79679999999996</v>
      </c>
      <c r="W146" s="393">
        <f t="shared" si="137"/>
        <v>5.1167999999999996</v>
      </c>
      <c r="X146" s="393">
        <f t="shared" si="129"/>
        <v>0</v>
      </c>
      <c r="Y146" s="393">
        <f t="shared" si="138"/>
        <v>5.1167999999999996</v>
      </c>
      <c r="Z146" s="412">
        <v>0.9</v>
      </c>
      <c r="AA146" s="436">
        <f>Z146*80%</f>
        <v>0.72000000000000008</v>
      </c>
      <c r="AB146" s="413">
        <f t="shared" si="140"/>
        <v>0.873</v>
      </c>
      <c r="AC146" s="414">
        <f t="shared" si="141"/>
        <v>5501.9952000000003</v>
      </c>
      <c r="AD146" s="414">
        <f t="shared" si="142"/>
        <v>451.16360639999999</v>
      </c>
      <c r="AE146" s="415">
        <f t="shared" si="143"/>
        <v>4.4669663999999996</v>
      </c>
    </row>
    <row r="147" spans="1:31" ht="12.75">
      <c r="A147" s="383">
        <v>4</v>
      </c>
      <c r="B147" s="394" t="str">
        <f>B29</f>
        <v>Clofazimine</v>
      </c>
      <c r="C147" s="400">
        <v>1</v>
      </c>
      <c r="D147" s="401">
        <f t="shared" si="130"/>
        <v>101</v>
      </c>
      <c r="E147" s="383" t="str">
        <f>E29</f>
        <v>100 mg</v>
      </c>
      <c r="F147" s="383" t="str">
        <f>F29</f>
        <v>HDPE Container of 100 caps</v>
      </c>
      <c r="G147" s="394">
        <f>G29</f>
        <v>98.24</v>
      </c>
      <c r="H147" s="394">
        <f>H29</f>
        <v>100</v>
      </c>
      <c r="I147" s="410">
        <f t="shared" si="124"/>
        <v>0.98239999999999994</v>
      </c>
      <c r="J147" s="435">
        <v>1</v>
      </c>
      <c r="K147" s="391">
        <v>26</v>
      </c>
      <c r="L147" s="434">
        <v>4</v>
      </c>
      <c r="M147" s="434">
        <v>6</v>
      </c>
      <c r="N147" s="407">
        <f>3*J147*K147*2+1*K147*(L147-2)</f>
        <v>208</v>
      </c>
      <c r="O147" s="391">
        <f t="shared" si="133"/>
        <v>156</v>
      </c>
      <c r="P147" s="391">
        <f t="shared" si="134"/>
        <v>364</v>
      </c>
      <c r="Q147" s="391">
        <f t="shared" si="125"/>
        <v>21008</v>
      </c>
      <c r="R147" s="391">
        <f t="shared" si="126"/>
        <v>15756</v>
      </c>
      <c r="S147" s="391">
        <f t="shared" si="135"/>
        <v>36764</v>
      </c>
      <c r="T147" s="391">
        <f t="shared" si="127"/>
        <v>20638.2592</v>
      </c>
      <c r="U147" s="391">
        <f t="shared" si="128"/>
        <v>15478.694399999998</v>
      </c>
      <c r="V147" s="391">
        <f t="shared" si="136"/>
        <v>36116.953600000001</v>
      </c>
      <c r="W147" s="393">
        <f t="shared" si="137"/>
        <v>204.33920000000001</v>
      </c>
      <c r="X147" s="393">
        <f t="shared" si="129"/>
        <v>153.25439999999998</v>
      </c>
      <c r="Y147" s="393">
        <f t="shared" si="138"/>
        <v>357.59359999999998</v>
      </c>
      <c r="Z147" s="412">
        <v>0.95</v>
      </c>
      <c r="AA147" s="412">
        <f t="shared" si="139"/>
        <v>0.38</v>
      </c>
      <c r="AB147" s="413">
        <f t="shared" si="140"/>
        <v>0.86450000000000005</v>
      </c>
      <c r="AC147" s="414">
        <f t="shared" si="141"/>
        <v>31782.478000000003</v>
      </c>
      <c r="AD147" s="414">
        <f t="shared" si="142"/>
        <v>31223.106387200001</v>
      </c>
      <c r="AE147" s="415">
        <f t="shared" si="143"/>
        <v>309.13966720000002</v>
      </c>
    </row>
    <row r="148" spans="1:31" ht="12.75">
      <c r="A148" s="383">
        <v>5</v>
      </c>
      <c r="B148" s="394" t="str">
        <f>B23</f>
        <v>Isoniazid (HD)</v>
      </c>
      <c r="C148" s="400">
        <v>1</v>
      </c>
      <c r="D148" s="401">
        <f t="shared" si="130"/>
        <v>101</v>
      </c>
      <c r="E148" s="383" t="str">
        <f>E23</f>
        <v>300 mg</v>
      </c>
      <c r="F148" s="383" t="str">
        <f>F23</f>
        <v>Box of 672 tabs (in blisters)</v>
      </c>
      <c r="G148" s="394">
        <f>G23</f>
        <v>13.52</v>
      </c>
      <c r="H148" s="394">
        <f>H23</f>
        <v>672</v>
      </c>
      <c r="I148" s="410">
        <f t="shared" si="124"/>
        <v>2.011904761904762E-2</v>
      </c>
      <c r="J148" s="394">
        <f>J23</f>
        <v>5</v>
      </c>
      <c r="K148" s="391">
        <v>26</v>
      </c>
      <c r="L148" s="434">
        <v>4</v>
      </c>
      <c r="M148" s="391">
        <v>0</v>
      </c>
      <c r="N148" s="391">
        <f t="shared" si="132"/>
        <v>520</v>
      </c>
      <c r="O148" s="391">
        <f t="shared" si="133"/>
        <v>0</v>
      </c>
      <c r="P148" s="391">
        <f t="shared" si="134"/>
        <v>520</v>
      </c>
      <c r="Q148" s="391">
        <f t="shared" si="125"/>
        <v>52520</v>
      </c>
      <c r="R148" s="391">
        <f t="shared" si="126"/>
        <v>0</v>
      </c>
      <c r="S148" s="391">
        <f t="shared" si="135"/>
        <v>52520</v>
      </c>
      <c r="T148" s="391">
        <f t="shared" si="127"/>
        <v>1056.652380952381</v>
      </c>
      <c r="U148" s="391">
        <f t="shared" si="128"/>
        <v>0</v>
      </c>
      <c r="V148" s="391">
        <f t="shared" si="136"/>
        <v>1056.652380952381</v>
      </c>
      <c r="W148" s="393">
        <f t="shared" si="137"/>
        <v>10.461904761904762</v>
      </c>
      <c r="X148" s="393">
        <f t="shared" si="129"/>
        <v>0</v>
      </c>
      <c r="Y148" s="393">
        <f t="shared" si="138"/>
        <v>10.461904761904762</v>
      </c>
      <c r="Z148" s="412">
        <v>0.95</v>
      </c>
      <c r="AA148" s="436">
        <f>Z148*80%</f>
        <v>0.76</v>
      </c>
      <c r="AB148" s="413">
        <f t="shared" si="140"/>
        <v>0.92149999999999999</v>
      </c>
      <c r="AC148" s="414">
        <f t="shared" si="141"/>
        <v>48397.18</v>
      </c>
      <c r="AD148" s="414">
        <f t="shared" si="142"/>
        <v>973.70516904761905</v>
      </c>
      <c r="AE148" s="415">
        <f t="shared" si="143"/>
        <v>9.6406452380952388</v>
      </c>
    </row>
    <row r="149" spans="1:31" ht="12.75">
      <c r="A149" s="383">
        <v>6</v>
      </c>
      <c r="B149" s="394" t="str">
        <f>B12</f>
        <v>Pyrazinamide</v>
      </c>
      <c r="C149" s="400">
        <v>1</v>
      </c>
      <c r="D149" s="401">
        <f t="shared" si="130"/>
        <v>101</v>
      </c>
      <c r="E149" s="383" t="str">
        <f>E12</f>
        <v>400 mg</v>
      </c>
      <c r="F149" s="383" t="str">
        <f>F12</f>
        <v>Box of 672 tabs (in blisters)</v>
      </c>
      <c r="G149" s="394">
        <f>G12</f>
        <v>14</v>
      </c>
      <c r="H149" s="394">
        <f>H12</f>
        <v>672</v>
      </c>
      <c r="I149" s="410">
        <f t="shared" si="124"/>
        <v>2.0833333333333332E-2</v>
      </c>
      <c r="J149" s="394">
        <f>J12</f>
        <v>4</v>
      </c>
      <c r="K149" s="391">
        <v>26</v>
      </c>
      <c r="L149" s="434">
        <v>4</v>
      </c>
      <c r="M149" s="434">
        <v>6</v>
      </c>
      <c r="N149" s="391">
        <f t="shared" ref="N149:N153" si="144">J149*K149*L149</f>
        <v>416</v>
      </c>
      <c r="O149" s="391">
        <f t="shared" ref="O149:O153" si="145">J149*K149*M149</f>
        <v>624</v>
      </c>
      <c r="P149" s="391">
        <f t="shared" si="134"/>
        <v>1040</v>
      </c>
      <c r="Q149" s="391">
        <f t="shared" si="125"/>
        <v>42016</v>
      </c>
      <c r="R149" s="391">
        <f t="shared" si="126"/>
        <v>63024</v>
      </c>
      <c r="S149" s="391">
        <f t="shared" si="135"/>
        <v>105040</v>
      </c>
      <c r="T149" s="391">
        <f t="shared" si="127"/>
        <v>875.33333333333326</v>
      </c>
      <c r="U149" s="391">
        <f t="shared" si="128"/>
        <v>1313</v>
      </c>
      <c r="V149" s="391">
        <f t="shared" si="136"/>
        <v>2188.333333333333</v>
      </c>
      <c r="W149" s="393">
        <f t="shared" si="137"/>
        <v>8.6666666666666661</v>
      </c>
      <c r="X149" s="393">
        <f t="shared" si="129"/>
        <v>13</v>
      </c>
      <c r="Y149" s="393">
        <f t="shared" si="138"/>
        <v>21.666666666666664</v>
      </c>
      <c r="Z149" s="412">
        <v>0.95</v>
      </c>
      <c r="AA149" s="412">
        <f t="shared" si="139"/>
        <v>0.38</v>
      </c>
      <c r="AB149" s="413">
        <f t="shared" si="140"/>
        <v>0.86450000000000005</v>
      </c>
      <c r="AC149" s="414">
        <f t="shared" si="141"/>
        <v>90807.08</v>
      </c>
      <c r="AD149" s="414">
        <f t="shared" si="142"/>
        <v>1891.8141666666666</v>
      </c>
      <c r="AE149" s="415">
        <f t="shared" si="143"/>
        <v>18.730833333333333</v>
      </c>
    </row>
    <row r="150" spans="1:31" ht="12.75">
      <c r="A150" s="383">
        <v>7</v>
      </c>
      <c r="B150" s="394" t="str">
        <f>B11</f>
        <v>Ethambutol</v>
      </c>
      <c r="C150" s="400">
        <v>1</v>
      </c>
      <c r="D150" s="401">
        <f t="shared" si="130"/>
        <v>101</v>
      </c>
      <c r="E150" s="383" t="str">
        <f>E11</f>
        <v>400 mg</v>
      </c>
      <c r="F150" s="383" t="str">
        <f>F11</f>
        <v>Box of 672 tabs (in blisters)</v>
      </c>
      <c r="G150" s="394">
        <f>G11</f>
        <v>24.1</v>
      </c>
      <c r="H150" s="394">
        <f>H11</f>
        <v>672</v>
      </c>
      <c r="I150" s="410">
        <f t="shared" si="124"/>
        <v>3.5863095238095243E-2</v>
      </c>
      <c r="J150" s="394">
        <f>J11</f>
        <v>3</v>
      </c>
      <c r="K150" s="391">
        <v>26</v>
      </c>
      <c r="L150" s="434">
        <v>4</v>
      </c>
      <c r="M150" s="434">
        <v>6</v>
      </c>
      <c r="N150" s="391">
        <f t="shared" si="144"/>
        <v>312</v>
      </c>
      <c r="O150" s="391">
        <f t="shared" si="145"/>
        <v>468</v>
      </c>
      <c r="P150" s="391">
        <f t="shared" si="134"/>
        <v>780</v>
      </c>
      <c r="Q150" s="391">
        <f t="shared" si="125"/>
        <v>31512</v>
      </c>
      <c r="R150" s="391">
        <f t="shared" si="126"/>
        <v>47268</v>
      </c>
      <c r="S150" s="391">
        <f t="shared" si="135"/>
        <v>78780</v>
      </c>
      <c r="T150" s="391">
        <f t="shared" si="127"/>
        <v>1130.1178571428572</v>
      </c>
      <c r="U150" s="391">
        <f t="shared" si="128"/>
        <v>1695.1767857142859</v>
      </c>
      <c r="V150" s="391">
        <f t="shared" si="136"/>
        <v>2825.2946428571431</v>
      </c>
      <c r="W150" s="393">
        <f t="shared" si="137"/>
        <v>11.189285714285715</v>
      </c>
      <c r="X150" s="393">
        <f t="shared" si="129"/>
        <v>16.783928571428572</v>
      </c>
      <c r="Y150" s="393">
        <f t="shared" si="138"/>
        <v>27.973214285714285</v>
      </c>
      <c r="Z150" s="412">
        <v>0.95</v>
      </c>
      <c r="AA150" s="412">
        <f t="shared" si="139"/>
        <v>0.38</v>
      </c>
      <c r="AB150" s="413">
        <f t="shared" si="140"/>
        <v>0.86450000000000005</v>
      </c>
      <c r="AC150" s="414">
        <f t="shared" si="141"/>
        <v>68105.31</v>
      </c>
      <c r="AD150" s="414">
        <f t="shared" si="142"/>
        <v>2442.46721875</v>
      </c>
      <c r="AE150" s="415">
        <f t="shared" si="143"/>
        <v>24.18284375</v>
      </c>
    </row>
    <row r="151" spans="1:31" ht="12.75">
      <c r="A151" s="1461">
        <v>8</v>
      </c>
      <c r="B151" s="1462" t="s">
        <v>1164</v>
      </c>
      <c r="C151" s="1463">
        <v>0.8</v>
      </c>
      <c r="D151" s="1464">
        <f t="shared" si="130"/>
        <v>80.800000000000011</v>
      </c>
      <c r="E151" s="1461" t="str">
        <f>E24</f>
        <v>600 mg</v>
      </c>
      <c r="F151" s="1461" t="str">
        <f>F24</f>
        <v>Box of 100 tabs in blisters</v>
      </c>
      <c r="G151" s="1475">
        <f>G24</f>
        <v>140</v>
      </c>
      <c r="H151" s="1475">
        <f t="shared" ref="H151:I151" si="146">H24</f>
        <v>100</v>
      </c>
      <c r="I151" s="1475">
        <f t="shared" si="146"/>
        <v>1.4</v>
      </c>
      <c r="J151" s="1475">
        <f>J24</f>
        <v>1</v>
      </c>
      <c r="K151" s="1469">
        <v>26</v>
      </c>
      <c r="L151" s="1476">
        <v>4</v>
      </c>
      <c r="M151" s="1476">
        <v>6</v>
      </c>
      <c r="N151" s="1469">
        <f t="shared" si="144"/>
        <v>104</v>
      </c>
      <c r="O151" s="1469">
        <f t="shared" si="145"/>
        <v>156</v>
      </c>
      <c r="P151" s="1469">
        <f t="shared" si="134"/>
        <v>260</v>
      </c>
      <c r="Q151" s="1469">
        <f t="shared" si="125"/>
        <v>8403.2000000000007</v>
      </c>
      <c r="R151" s="1469">
        <f t="shared" si="126"/>
        <v>12604.800000000001</v>
      </c>
      <c r="S151" s="1469">
        <f t="shared" si="135"/>
        <v>21008</v>
      </c>
      <c r="T151" s="1469">
        <f t="shared" si="127"/>
        <v>11764.48</v>
      </c>
      <c r="U151" s="1469">
        <f t="shared" si="128"/>
        <v>17646.72</v>
      </c>
      <c r="V151" s="1469">
        <f t="shared" si="136"/>
        <v>29411.200000000001</v>
      </c>
      <c r="W151" s="1470">
        <f t="shared" si="137"/>
        <v>116.47999999999999</v>
      </c>
      <c r="X151" s="1470">
        <f t="shared" si="129"/>
        <v>174.72</v>
      </c>
      <c r="Y151" s="1470">
        <f t="shared" si="138"/>
        <v>291.2</v>
      </c>
      <c r="Z151" s="1471">
        <v>0.95</v>
      </c>
      <c r="AA151" s="412">
        <f t="shared" si="139"/>
        <v>0.38</v>
      </c>
      <c r="AB151" s="413">
        <f t="shared" si="140"/>
        <v>0.86450000000000005</v>
      </c>
      <c r="AC151" s="414">
        <f t="shared" si="141"/>
        <v>18161.416000000001</v>
      </c>
      <c r="AD151" s="414">
        <f t="shared" si="142"/>
        <v>25425.982400000001</v>
      </c>
      <c r="AE151" s="415">
        <f t="shared" si="143"/>
        <v>251.7424</v>
      </c>
    </row>
    <row r="152" spans="1:31" ht="12.75">
      <c r="A152" s="383"/>
      <c r="B152" s="394" t="str">
        <f>B30</f>
        <v>Water for injection</v>
      </c>
      <c r="C152" s="400">
        <f>C144</f>
        <v>1</v>
      </c>
      <c r="D152" s="401">
        <f t="shared" si="130"/>
        <v>101</v>
      </c>
      <c r="E152" s="383" t="str">
        <f t="shared" ref="E152:H153" si="147">E30</f>
        <v>5 ml</v>
      </c>
      <c r="F152" s="383" t="str">
        <f t="shared" si="147"/>
        <v>Box of 100 vials</v>
      </c>
      <c r="G152" s="394">
        <f t="shared" si="147"/>
        <v>9.1999999999999993</v>
      </c>
      <c r="H152" s="394">
        <f t="shared" si="147"/>
        <v>50</v>
      </c>
      <c r="I152" s="410">
        <f t="shared" si="124"/>
        <v>0.184</v>
      </c>
      <c r="J152" s="394">
        <f>J144</f>
        <v>1</v>
      </c>
      <c r="K152" s="391">
        <v>26</v>
      </c>
      <c r="L152" s="434">
        <v>4</v>
      </c>
      <c r="M152" s="391">
        <f>M144</f>
        <v>0</v>
      </c>
      <c r="N152" s="391">
        <f t="shared" si="144"/>
        <v>104</v>
      </c>
      <c r="O152" s="391">
        <f t="shared" si="145"/>
        <v>0</v>
      </c>
      <c r="P152" s="391">
        <f t="shared" si="134"/>
        <v>104</v>
      </c>
      <c r="Q152" s="391">
        <f t="shared" si="125"/>
        <v>10504</v>
      </c>
      <c r="R152" s="391">
        <f t="shared" si="126"/>
        <v>0</v>
      </c>
      <c r="S152" s="391">
        <f t="shared" si="135"/>
        <v>10504</v>
      </c>
      <c r="T152" s="391">
        <f t="shared" si="127"/>
        <v>1932.7359999999999</v>
      </c>
      <c r="U152" s="391">
        <f t="shared" si="128"/>
        <v>0</v>
      </c>
      <c r="V152" s="391">
        <f t="shared" si="136"/>
        <v>1932.7359999999999</v>
      </c>
      <c r="W152" s="393">
        <f t="shared" si="137"/>
        <v>19.135999999999999</v>
      </c>
      <c r="X152" s="393">
        <f t="shared" si="129"/>
        <v>0</v>
      </c>
      <c r="Y152" s="393">
        <f t="shared" si="138"/>
        <v>19.135999999999999</v>
      </c>
      <c r="Z152" s="412">
        <f>Z144</f>
        <v>0.95</v>
      </c>
      <c r="AA152" s="412">
        <f>AA144</f>
        <v>0.76</v>
      </c>
      <c r="AB152" s="413">
        <f t="shared" si="140"/>
        <v>0.92149999999999999</v>
      </c>
      <c r="AC152" s="414">
        <f t="shared" si="141"/>
        <v>9679.4359999999997</v>
      </c>
      <c r="AD152" s="414">
        <f t="shared" si="142"/>
        <v>1781.016224</v>
      </c>
      <c r="AE152" s="415">
        <f t="shared" si="143"/>
        <v>17.633824000000001</v>
      </c>
    </row>
    <row r="153" spans="1:31" ht="12.75">
      <c r="A153" s="383"/>
      <c r="B153" s="394" t="str">
        <f>B31</f>
        <v xml:space="preserve">S&amp;N (auto-disable) </v>
      </c>
      <c r="C153" s="400">
        <f>C152</f>
        <v>1</v>
      </c>
      <c r="D153" s="401">
        <f t="shared" si="130"/>
        <v>101</v>
      </c>
      <c r="E153" s="383" t="str">
        <f t="shared" si="147"/>
        <v>5 ml / 21Gx</v>
      </c>
      <c r="F153" s="383" t="str">
        <f t="shared" si="147"/>
        <v>Box of 100</v>
      </c>
      <c r="G153" s="394">
        <f t="shared" si="147"/>
        <v>4.25</v>
      </c>
      <c r="H153" s="394">
        <f t="shared" si="147"/>
        <v>100</v>
      </c>
      <c r="I153" s="410">
        <f t="shared" si="124"/>
        <v>4.2500000000000003E-2</v>
      </c>
      <c r="J153" s="394">
        <f>J152</f>
        <v>1</v>
      </c>
      <c r="K153" s="391">
        <f>K144</f>
        <v>26</v>
      </c>
      <c r="L153" s="434">
        <v>4</v>
      </c>
      <c r="M153" s="391">
        <f>M144</f>
        <v>0</v>
      </c>
      <c r="N153" s="391">
        <f t="shared" si="144"/>
        <v>104</v>
      </c>
      <c r="O153" s="391">
        <f t="shared" si="145"/>
        <v>0</v>
      </c>
      <c r="P153" s="391">
        <f t="shared" si="134"/>
        <v>104</v>
      </c>
      <c r="Q153" s="391">
        <f t="shared" si="125"/>
        <v>10504</v>
      </c>
      <c r="R153" s="391">
        <f t="shared" si="126"/>
        <v>0</v>
      </c>
      <c r="S153" s="391">
        <f t="shared" si="135"/>
        <v>10504</v>
      </c>
      <c r="T153" s="391">
        <f t="shared" si="127"/>
        <v>446.42</v>
      </c>
      <c r="U153" s="391">
        <f t="shared" si="128"/>
        <v>0</v>
      </c>
      <c r="V153" s="391">
        <f t="shared" si="136"/>
        <v>446.42</v>
      </c>
      <c r="W153" s="393">
        <f t="shared" si="137"/>
        <v>4.42</v>
      </c>
      <c r="X153" s="393">
        <f t="shared" si="129"/>
        <v>0</v>
      </c>
      <c r="Y153" s="393">
        <f t="shared" si="138"/>
        <v>4.42</v>
      </c>
      <c r="Z153" s="412">
        <f>Z152</f>
        <v>0.95</v>
      </c>
      <c r="AA153" s="412">
        <f>AA152</f>
        <v>0.76</v>
      </c>
      <c r="AB153" s="413">
        <f t="shared" si="140"/>
        <v>0.92149999999999999</v>
      </c>
      <c r="AC153" s="414">
        <f t="shared" si="141"/>
        <v>9679.4359999999997</v>
      </c>
      <c r="AD153" s="414">
        <f t="shared" si="142"/>
        <v>411.37603000000001</v>
      </c>
      <c r="AE153" s="415">
        <f t="shared" si="143"/>
        <v>4.0730300000000002</v>
      </c>
    </row>
    <row r="154" spans="1:31" ht="15.75">
      <c r="A154" s="394"/>
      <c r="B154" s="394"/>
      <c r="C154" s="394"/>
      <c r="D154" s="394"/>
      <c r="E154" s="394"/>
      <c r="F154" s="394"/>
      <c r="G154" s="394"/>
      <c r="H154" s="394"/>
      <c r="I154" s="394"/>
      <c r="J154" s="391"/>
      <c r="K154" s="391"/>
      <c r="L154" s="391"/>
      <c r="M154" s="391"/>
      <c r="N154" s="391"/>
      <c r="O154" s="391"/>
      <c r="P154" s="391"/>
      <c r="Q154" s="391"/>
      <c r="R154" s="391"/>
      <c r="S154" s="391"/>
      <c r="T154" s="391"/>
      <c r="U154" s="391"/>
      <c r="V154" s="395">
        <f>SUM(V144:V153)</f>
        <v>122550.18675714286</v>
      </c>
      <c r="W154" s="391"/>
      <c r="X154" s="391"/>
      <c r="Y154" s="395">
        <f>SUM(Y144:Y153)</f>
        <v>1213.3681857142858</v>
      </c>
      <c r="Z154" s="416"/>
      <c r="AA154" s="416"/>
      <c r="AB154" s="416"/>
      <c r="AC154" s="416"/>
      <c r="AD154" s="417">
        <f>SUM(AD144:AD153)</f>
        <v>108449.97310206428</v>
      </c>
      <c r="AE154" s="417">
        <f>SUM(AE144:AE153)</f>
        <v>1073.7621099214284</v>
      </c>
    </row>
    <row r="155" spans="1:31" ht="12.75" thickBot="1"/>
    <row r="156" spans="1:31" ht="12.75">
      <c r="A156" s="370"/>
      <c r="B156" s="373" t="s">
        <v>1221</v>
      </c>
      <c r="C156" s="1851" t="s">
        <v>1222</v>
      </c>
      <c r="D156" s="1851"/>
      <c r="E156" s="1851"/>
      <c r="G156" s="1851" t="s">
        <v>1223</v>
      </c>
      <c r="H156" s="1851"/>
      <c r="I156" s="1851"/>
      <c r="K156" s="420" t="s">
        <v>1225</v>
      </c>
      <c r="L156" s="421" t="s">
        <v>1222</v>
      </c>
      <c r="M156" s="422" t="s">
        <v>1224</v>
      </c>
      <c r="S156" s="592"/>
      <c r="AC156" s="592"/>
    </row>
    <row r="157" spans="1:31" ht="12.75">
      <c r="A157" s="370"/>
      <c r="B157" s="370"/>
      <c r="C157" s="371" t="s">
        <v>1110</v>
      </c>
      <c r="D157" s="397" t="s">
        <v>4</v>
      </c>
      <c r="E157" s="397" t="s">
        <v>1154</v>
      </c>
      <c r="G157" s="371" t="s">
        <v>1110</v>
      </c>
      <c r="H157" s="397" t="s">
        <v>4</v>
      </c>
      <c r="I157" s="397" t="s">
        <v>1154</v>
      </c>
      <c r="K157" s="423" t="s">
        <v>1155</v>
      </c>
      <c r="L157" s="425">
        <f>E158/E$166</f>
        <v>0.88873089228581592</v>
      </c>
      <c r="M157" s="426">
        <f>I158/I$166</f>
        <v>0.88873089228581592</v>
      </c>
    </row>
    <row r="158" spans="1:31" ht="13.5" thickBot="1">
      <c r="A158" s="372" t="s">
        <v>41</v>
      </c>
      <c r="B158" s="373" t="s">
        <v>1111</v>
      </c>
      <c r="C158" s="374"/>
      <c r="D158" s="374">
        <f>V154</f>
        <v>122550.18675714286</v>
      </c>
      <c r="E158" s="375">
        <f>Y154</f>
        <v>1213.3681857142858</v>
      </c>
      <c r="G158" s="374"/>
      <c r="H158" s="374">
        <f>AD154</f>
        <v>108449.97310206428</v>
      </c>
      <c r="I158" s="375">
        <f>AE154</f>
        <v>1073.7621099214284</v>
      </c>
      <c r="K158" s="424" t="s">
        <v>1004</v>
      </c>
      <c r="L158" s="427">
        <f>E159/E$166</f>
        <v>0.11126910771418416</v>
      </c>
      <c r="M158" s="428">
        <f>I159/I$166</f>
        <v>0.11126910771418418</v>
      </c>
    </row>
    <row r="159" spans="1:31" ht="12.75">
      <c r="A159" s="372" t="s">
        <v>43</v>
      </c>
      <c r="B159" s="373" t="s">
        <v>1112</v>
      </c>
      <c r="C159" s="373"/>
      <c r="D159" s="374">
        <f>SUM(D160:D165)</f>
        <v>15343.283381994286</v>
      </c>
      <c r="E159" s="375">
        <f>SUM(E160:E165)</f>
        <v>151.9136968514286</v>
      </c>
      <c r="G159" s="373"/>
      <c r="H159" s="374">
        <f>SUM(H160:H165)</f>
        <v>13577.936632378449</v>
      </c>
      <c r="I159" s="375">
        <f>SUM(I160:I165)</f>
        <v>134.43501616216287</v>
      </c>
    </row>
    <row r="160" spans="1:31" ht="12.75">
      <c r="A160" s="376">
        <v>1</v>
      </c>
      <c r="B160" s="377" t="s">
        <v>1113</v>
      </c>
      <c r="C160" s="378">
        <v>4.2000000000000003E-2</v>
      </c>
      <c r="D160" s="399">
        <f>D$158*C160</f>
        <v>5147.1078438000004</v>
      </c>
      <c r="E160" s="379">
        <f>E$158*C160</f>
        <v>50.961463800000004</v>
      </c>
      <c r="G160" s="378">
        <f>C160</f>
        <v>4.2000000000000003E-2</v>
      </c>
      <c r="H160" s="399">
        <f>H$158*G160</f>
        <v>4554.8988702867</v>
      </c>
      <c r="I160" s="379">
        <f>I$158*G160</f>
        <v>45.0980086167</v>
      </c>
    </row>
    <row r="161" spans="1:31" ht="12.75">
      <c r="A161" s="376">
        <v>2</v>
      </c>
      <c r="B161" s="377" t="s">
        <v>1156</v>
      </c>
      <c r="C161" s="378">
        <v>0.02</v>
      </c>
      <c r="D161" s="399">
        <f t="shared" ref="D161:D165" si="148">D$158*C161</f>
        <v>2451.0037351428573</v>
      </c>
      <c r="E161" s="379">
        <f t="shared" ref="E161:E165" si="149">E$158*C161</f>
        <v>24.267363714285718</v>
      </c>
      <c r="G161" s="378">
        <f t="shared" ref="G161:G165" si="150">C161</f>
        <v>0.02</v>
      </c>
      <c r="H161" s="399">
        <f t="shared" ref="H161:H165" si="151">H$158*G161</f>
        <v>2168.9994620412858</v>
      </c>
      <c r="I161" s="379">
        <f t="shared" ref="I161:I165" si="152">I$158*G161</f>
        <v>21.475242198428568</v>
      </c>
      <c r="L161" s="366" t="s">
        <v>1227</v>
      </c>
    </row>
    <row r="162" spans="1:31" ht="12.75">
      <c r="A162" s="376">
        <v>3</v>
      </c>
      <c r="B162" s="377" t="s">
        <v>1114</v>
      </c>
      <c r="C162" s="378">
        <v>1.2E-2</v>
      </c>
      <c r="D162" s="399">
        <f t="shared" si="148"/>
        <v>1470.6022410857142</v>
      </c>
      <c r="E162" s="379">
        <f t="shared" si="149"/>
        <v>14.560418228571431</v>
      </c>
      <c r="G162" s="378">
        <f t="shared" si="150"/>
        <v>1.2E-2</v>
      </c>
      <c r="H162" s="399">
        <f t="shared" si="151"/>
        <v>1301.3996772247713</v>
      </c>
      <c r="I162" s="379">
        <f t="shared" si="152"/>
        <v>12.885145319057141</v>
      </c>
    </row>
    <row r="163" spans="1:31" ht="12.75">
      <c r="A163" s="376">
        <v>4</v>
      </c>
      <c r="B163" s="377" t="s">
        <v>1157</v>
      </c>
      <c r="C163" s="378">
        <v>1.1999999999999999E-3</v>
      </c>
      <c r="D163" s="399">
        <f t="shared" si="148"/>
        <v>147.06022410857142</v>
      </c>
      <c r="E163" s="379">
        <f t="shared" si="149"/>
        <v>1.4560418228571428</v>
      </c>
      <c r="G163" s="378">
        <f t="shared" si="150"/>
        <v>1.1999999999999999E-3</v>
      </c>
      <c r="H163" s="399">
        <f t="shared" si="151"/>
        <v>130.13996772247711</v>
      </c>
      <c r="I163" s="379">
        <f t="shared" si="152"/>
        <v>1.2885145319057141</v>
      </c>
    </row>
    <row r="164" spans="1:31" ht="12.75">
      <c r="A164" s="376">
        <v>5</v>
      </c>
      <c r="B164" s="377" t="s">
        <v>1115</v>
      </c>
      <c r="C164" s="378">
        <v>0.02</v>
      </c>
      <c r="D164" s="399">
        <f t="shared" si="148"/>
        <v>2451.0037351428573</v>
      </c>
      <c r="E164" s="379">
        <f t="shared" si="149"/>
        <v>24.267363714285718</v>
      </c>
      <c r="G164" s="378">
        <f t="shared" si="150"/>
        <v>0.02</v>
      </c>
      <c r="H164" s="399">
        <f t="shared" si="151"/>
        <v>2168.9994620412858</v>
      </c>
      <c r="I164" s="379">
        <f t="shared" si="152"/>
        <v>21.475242198428568</v>
      </c>
    </row>
    <row r="165" spans="1:31" ht="12.75">
      <c r="A165" s="376">
        <v>6</v>
      </c>
      <c r="B165" s="377" t="s">
        <v>1116</v>
      </c>
      <c r="C165" s="378">
        <v>0.03</v>
      </c>
      <c r="D165" s="399">
        <f t="shared" si="148"/>
        <v>3676.5056027142855</v>
      </c>
      <c r="E165" s="379">
        <f t="shared" si="149"/>
        <v>36.401045571428575</v>
      </c>
      <c r="G165" s="378">
        <f t="shared" si="150"/>
        <v>0.03</v>
      </c>
      <c r="H165" s="399">
        <f t="shared" si="151"/>
        <v>3253.4991930619281</v>
      </c>
      <c r="I165" s="379">
        <f t="shared" si="152"/>
        <v>32.212863297642855</v>
      </c>
    </row>
    <row r="166" spans="1:31" ht="13.5" thickBot="1">
      <c r="A166" s="372" t="s">
        <v>45</v>
      </c>
      <c r="B166" s="373" t="s">
        <v>1117</v>
      </c>
      <c r="C166" s="374"/>
      <c r="D166" s="374">
        <f>SUM(D158,D159)</f>
        <v>137893.47013913715</v>
      </c>
      <c r="E166" s="375">
        <f>SUM(E158,E159)</f>
        <v>1365.2818825657143</v>
      </c>
      <c r="G166" s="374"/>
      <c r="H166" s="374">
        <f>SUM(H158,H159)</f>
        <v>122027.90973444273</v>
      </c>
      <c r="I166" s="375">
        <f>SUM(I158,I159)</f>
        <v>1208.1971260835912</v>
      </c>
    </row>
    <row r="167" spans="1:31" ht="15.75" thickBot="1">
      <c r="A167" s="429" t="s">
        <v>47</v>
      </c>
      <c r="B167" s="429" t="s">
        <v>1118</v>
      </c>
      <c r="C167" s="430"/>
      <c r="D167" s="430"/>
      <c r="E167" s="432">
        <f>ROUND(E166,-1)</f>
        <v>1370</v>
      </c>
      <c r="F167" s="405"/>
      <c r="G167" s="430"/>
      <c r="H167" s="430"/>
      <c r="I167" s="433">
        <f>ROUND(I166,-1)</f>
        <v>1210</v>
      </c>
    </row>
    <row r="169" spans="1:31" ht="15.75">
      <c r="A169" s="467" t="s">
        <v>156</v>
      </c>
      <c r="B169" s="475" t="s">
        <v>1244</v>
      </c>
      <c r="C169" s="464"/>
      <c r="D169" s="464"/>
      <c r="E169" s="464"/>
      <c r="F169" s="466"/>
      <c r="G169" s="464"/>
      <c r="H169" s="464"/>
      <c r="I169" s="464"/>
      <c r="J169" s="464"/>
      <c r="K169" s="464"/>
      <c r="L169" s="464"/>
      <c r="M169" s="464"/>
      <c r="N169" s="464"/>
      <c r="O169" s="464"/>
      <c r="P169" s="464"/>
      <c r="Q169" s="464"/>
      <c r="R169" s="464"/>
      <c r="S169" s="464"/>
      <c r="T169" s="464"/>
      <c r="U169" s="464"/>
      <c r="V169" s="464"/>
      <c r="W169" s="464"/>
      <c r="X169" s="464"/>
      <c r="Y169" s="464"/>
      <c r="Z169" s="464"/>
      <c r="AA169" s="464"/>
      <c r="AB169" s="464"/>
      <c r="AC169" s="464"/>
      <c r="AD169" s="464"/>
      <c r="AE169" s="464"/>
    </row>
    <row r="170" spans="1:31">
      <c r="B170" s="366" t="s">
        <v>1231</v>
      </c>
    </row>
    <row r="171" spans="1:31" ht="12.75">
      <c r="Z171" s="373" t="s">
        <v>1215</v>
      </c>
      <c r="AC171" s="366" t="s">
        <v>1217</v>
      </c>
      <c r="AE171" s="418">
        <v>0.7</v>
      </c>
    </row>
    <row r="172" spans="1:31" ht="15.75">
      <c r="B172" s="369" t="s">
        <v>1109</v>
      </c>
      <c r="C172" s="476">
        <f>SUM(CALCULATIONS!I186:L187)</f>
        <v>499</v>
      </c>
      <c r="D172" s="431" t="s">
        <v>1859</v>
      </c>
      <c r="Z172" s="373" t="s">
        <v>1216</v>
      </c>
      <c r="AC172" s="366" t="s">
        <v>1218</v>
      </c>
      <c r="AE172" s="418">
        <f>1-AE171</f>
        <v>0.30000000000000004</v>
      </c>
    </row>
    <row r="173" spans="1:31" ht="12.75">
      <c r="AC173" s="366" t="s">
        <v>1219</v>
      </c>
      <c r="AE173" s="419">
        <v>10</v>
      </c>
    </row>
    <row r="174" spans="1:31" ht="14.45" customHeight="1">
      <c r="A174" s="1852" t="s">
        <v>243</v>
      </c>
      <c r="B174" s="1852" t="s">
        <v>1120</v>
      </c>
      <c r="C174" s="1852" t="s">
        <v>1121</v>
      </c>
      <c r="D174" s="1852" t="s">
        <v>1122</v>
      </c>
      <c r="E174" s="1852" t="s">
        <v>1123</v>
      </c>
      <c r="F174" s="1852" t="s">
        <v>1124</v>
      </c>
      <c r="G174" s="1852" t="s">
        <v>1125</v>
      </c>
      <c r="H174" s="1852" t="s">
        <v>1126</v>
      </c>
      <c r="I174" s="1852" t="s">
        <v>1127</v>
      </c>
      <c r="J174" s="1852" t="s">
        <v>1128</v>
      </c>
      <c r="K174" s="1852" t="s">
        <v>1129</v>
      </c>
      <c r="L174" s="1855" t="s">
        <v>1130</v>
      </c>
      <c r="M174" s="1857"/>
      <c r="N174" s="1855" t="s">
        <v>1131</v>
      </c>
      <c r="O174" s="1856"/>
      <c r="P174" s="1857"/>
      <c r="Q174" s="1855" t="s">
        <v>1132</v>
      </c>
      <c r="R174" s="1856"/>
      <c r="S174" s="1857"/>
      <c r="T174" s="1855" t="s">
        <v>1133</v>
      </c>
      <c r="U174" s="1856"/>
      <c r="V174" s="1857"/>
      <c r="W174" s="1855" t="s">
        <v>1134</v>
      </c>
      <c r="X174" s="1856"/>
      <c r="Y174" s="1857"/>
      <c r="Z174" s="1854" t="s">
        <v>1211</v>
      </c>
      <c r="AA174" s="1854"/>
      <c r="AB174" s="1854"/>
      <c r="AC174" s="1849" t="s">
        <v>1212</v>
      </c>
      <c r="AD174" s="1849" t="s">
        <v>1133</v>
      </c>
      <c r="AE174" s="1849" t="s">
        <v>1220</v>
      </c>
    </row>
    <row r="175" spans="1:31" ht="25.5">
      <c r="A175" s="1853"/>
      <c r="B175" s="1853"/>
      <c r="C175" s="1853"/>
      <c r="D175" s="1853"/>
      <c r="E175" s="1853"/>
      <c r="F175" s="1853"/>
      <c r="G175" s="1853"/>
      <c r="H175" s="1853"/>
      <c r="I175" s="1853"/>
      <c r="J175" s="1853"/>
      <c r="K175" s="1853"/>
      <c r="L175" s="382" t="s">
        <v>1135</v>
      </c>
      <c r="M175" s="382" t="s">
        <v>1136</v>
      </c>
      <c r="N175" s="382" t="s">
        <v>1135</v>
      </c>
      <c r="O175" s="382" t="s">
        <v>1136</v>
      </c>
      <c r="P175" s="382" t="s">
        <v>4</v>
      </c>
      <c r="Q175" s="382" t="s">
        <v>1135</v>
      </c>
      <c r="R175" s="382" t="s">
        <v>1136</v>
      </c>
      <c r="S175" s="382" t="s">
        <v>4</v>
      </c>
      <c r="T175" s="382" t="s">
        <v>1135</v>
      </c>
      <c r="U175" s="382" t="s">
        <v>1136</v>
      </c>
      <c r="V175" s="382" t="s">
        <v>4</v>
      </c>
      <c r="W175" s="382" t="s">
        <v>1135</v>
      </c>
      <c r="X175" s="382" t="s">
        <v>1136</v>
      </c>
      <c r="Y175" s="382" t="s">
        <v>4</v>
      </c>
      <c r="Z175" s="411" t="s">
        <v>1213</v>
      </c>
      <c r="AA175" s="411" t="s">
        <v>1214</v>
      </c>
      <c r="AB175" s="411" t="s">
        <v>4</v>
      </c>
      <c r="AC175" s="1850"/>
      <c r="AD175" s="1850"/>
      <c r="AE175" s="1850"/>
    </row>
    <row r="176" spans="1:31" ht="12.75">
      <c r="A176" s="383">
        <v>1</v>
      </c>
      <c r="B176" s="394" t="str">
        <f>B15</f>
        <v>Capreomycin</v>
      </c>
      <c r="C176" s="400">
        <v>0.55000000000000004</v>
      </c>
      <c r="D176" s="401">
        <f>C$172*C176</f>
        <v>274.45000000000005</v>
      </c>
      <c r="E176" s="383" t="str">
        <f>E15</f>
        <v>1 g</v>
      </c>
      <c r="F176" s="383" t="str">
        <f>F15</f>
        <v>Box of 1 vial</v>
      </c>
      <c r="G176" s="403">
        <f>G15</f>
        <v>3.85</v>
      </c>
      <c r="H176" s="394">
        <f>H15</f>
        <v>1</v>
      </c>
      <c r="I176" s="410">
        <f>G176/H176</f>
        <v>3.85</v>
      </c>
      <c r="J176" s="394">
        <f>J15</f>
        <v>1</v>
      </c>
      <c r="K176" s="391">
        <v>26</v>
      </c>
      <c r="L176" s="391">
        <f>ROUND(8*80%+12*20%,0)</f>
        <v>9</v>
      </c>
      <c r="M176" s="391">
        <v>0</v>
      </c>
      <c r="N176" s="391">
        <f>J176*K176*L176</f>
        <v>234</v>
      </c>
      <c r="O176" s="391">
        <f>J176*K176*M176</f>
        <v>0</v>
      </c>
      <c r="P176" s="391">
        <f>SUM(N176:O176)</f>
        <v>234</v>
      </c>
      <c r="Q176" s="391">
        <f t="shared" ref="Q176:Q180" si="153">N176*D176</f>
        <v>64221.30000000001</v>
      </c>
      <c r="R176" s="391">
        <f t="shared" ref="R176:R180" si="154">O176*D176</f>
        <v>0</v>
      </c>
      <c r="S176" s="391">
        <f>SUM(Q176:R176)</f>
        <v>64221.30000000001</v>
      </c>
      <c r="T176" s="391">
        <f t="shared" ref="T176:T180" si="155">Q176*I176</f>
        <v>247252.00500000003</v>
      </c>
      <c r="U176" s="391">
        <f t="shared" ref="U176:U180" si="156">R176*I176</f>
        <v>0</v>
      </c>
      <c r="V176" s="391">
        <f>SUM(T176:U176)</f>
        <v>247252.00500000003</v>
      </c>
      <c r="W176" s="393">
        <f>T176/$C$172</f>
        <v>495.49500000000006</v>
      </c>
      <c r="X176" s="393">
        <f t="shared" ref="X176:X191" si="157">U176/$C$172</f>
        <v>0</v>
      </c>
      <c r="Y176" s="393">
        <f>SUM(W176:X176)</f>
        <v>495.49500000000006</v>
      </c>
      <c r="Z176" s="412">
        <v>0.9</v>
      </c>
      <c r="AA176" s="413">
        <f>Z176*80%</f>
        <v>0.72000000000000008</v>
      </c>
      <c r="AB176" s="413">
        <f t="shared" ref="AB176:AB191" si="158">Z176*AE$171+AA176*AE$172</f>
        <v>0.84600000000000009</v>
      </c>
      <c r="AC176" s="414">
        <f>S176*AB176</f>
        <v>54331.219800000013</v>
      </c>
      <c r="AD176" s="414">
        <f>AC176*I176</f>
        <v>209175.19623000006</v>
      </c>
      <c r="AE176" s="415">
        <f>AD176/C$172</f>
        <v>419.18877000000015</v>
      </c>
    </row>
    <row r="177" spans="1:31" ht="12.75">
      <c r="A177" s="383">
        <v>2</v>
      </c>
      <c r="B177" s="394" t="str">
        <f>B14</f>
        <v>Kanamycin</v>
      </c>
      <c r="C177" s="400">
        <v>0.04</v>
      </c>
      <c r="D177" s="401">
        <f t="shared" ref="D177:D191" si="159">C$172*C177</f>
        <v>19.96</v>
      </c>
      <c r="E177" s="383" t="str">
        <f>E14</f>
        <v>1 g</v>
      </c>
      <c r="F177" s="383" t="str">
        <f>F14</f>
        <v>Box of 50 vials</v>
      </c>
      <c r="G177" s="403">
        <f>G14</f>
        <v>46</v>
      </c>
      <c r="H177" s="394">
        <f>H14</f>
        <v>50</v>
      </c>
      <c r="I177" s="410">
        <f t="shared" ref="I177:I180" si="160">G177/H177</f>
        <v>0.92</v>
      </c>
      <c r="J177" s="394">
        <f>J14</f>
        <v>1</v>
      </c>
      <c r="K177" s="391">
        <v>26</v>
      </c>
      <c r="L177" s="391">
        <f>ROUND(8*80%+12*20%,0)</f>
        <v>9</v>
      </c>
      <c r="M177" s="391">
        <v>0</v>
      </c>
      <c r="N177" s="391">
        <f t="shared" ref="N177:N180" si="161">J177*K177*L177</f>
        <v>234</v>
      </c>
      <c r="O177" s="391">
        <f t="shared" ref="O177:O180" si="162">J177*K177*M177</f>
        <v>0</v>
      </c>
      <c r="P177" s="391">
        <f t="shared" ref="P177:P180" si="163">SUM(N177:O177)</f>
        <v>234</v>
      </c>
      <c r="Q177" s="391">
        <f t="shared" si="153"/>
        <v>4670.6400000000003</v>
      </c>
      <c r="R177" s="391">
        <f t="shared" si="154"/>
        <v>0</v>
      </c>
      <c r="S177" s="391">
        <f t="shared" ref="S177:S180" si="164">SUM(Q177:R177)</f>
        <v>4670.6400000000003</v>
      </c>
      <c r="T177" s="391">
        <f t="shared" si="155"/>
        <v>4296.9888000000001</v>
      </c>
      <c r="U177" s="391">
        <f t="shared" si="156"/>
        <v>0</v>
      </c>
      <c r="V177" s="391">
        <f t="shared" ref="V177:V180" si="165">SUM(T177:U177)</f>
        <v>4296.9888000000001</v>
      </c>
      <c r="W177" s="393">
        <f t="shared" ref="W177:W191" si="166">T177/$C$172</f>
        <v>8.6112000000000002</v>
      </c>
      <c r="X177" s="393">
        <f t="shared" si="157"/>
        <v>0</v>
      </c>
      <c r="Y177" s="393">
        <f t="shared" ref="Y177:Y180" si="167">SUM(W177:X177)</f>
        <v>8.6112000000000002</v>
      </c>
      <c r="Z177" s="412">
        <f>Z176</f>
        <v>0.9</v>
      </c>
      <c r="AA177" s="413">
        <f>Z177*80%</f>
        <v>0.72000000000000008</v>
      </c>
      <c r="AB177" s="413">
        <f t="shared" si="158"/>
        <v>0.84600000000000009</v>
      </c>
      <c r="AC177" s="414">
        <f t="shared" ref="AC177:AC180" si="168">S177*AB177</f>
        <v>3951.3614400000006</v>
      </c>
      <c r="AD177" s="414">
        <f t="shared" ref="AD177:AD180" si="169">AC177*I177</f>
        <v>3635.2525248000006</v>
      </c>
      <c r="AE177" s="415">
        <f t="shared" ref="AE177:AE191" si="170">AD177/C$172</f>
        <v>7.2850752000000014</v>
      </c>
    </row>
    <row r="178" spans="1:31" ht="12.75">
      <c r="A178" s="383">
        <v>3</v>
      </c>
      <c r="B178" s="394" t="str">
        <f>B17</f>
        <v>Levofloxacin</v>
      </c>
      <c r="C178" s="400">
        <v>0.3</v>
      </c>
      <c r="D178" s="401">
        <f t="shared" si="159"/>
        <v>149.69999999999999</v>
      </c>
      <c r="E178" s="383" t="str">
        <f t="shared" ref="E178:H182" si="171">E17</f>
        <v>250 mg</v>
      </c>
      <c r="F178" s="383" t="str">
        <f t="shared" si="171"/>
        <v>Box of 100 tabs in blisters</v>
      </c>
      <c r="G178" s="403">
        <f t="shared" si="171"/>
        <v>3.78</v>
      </c>
      <c r="H178" s="394">
        <f t="shared" si="171"/>
        <v>100</v>
      </c>
      <c r="I178" s="410">
        <f t="shared" si="160"/>
        <v>3.78E-2</v>
      </c>
      <c r="J178" s="394">
        <f>J17</f>
        <v>4</v>
      </c>
      <c r="K178" s="391">
        <v>26</v>
      </c>
      <c r="L178" s="391">
        <v>12</v>
      </c>
      <c r="M178" s="391">
        <v>12</v>
      </c>
      <c r="N178" s="391">
        <f t="shared" si="161"/>
        <v>1248</v>
      </c>
      <c r="O178" s="391">
        <f t="shared" si="162"/>
        <v>1248</v>
      </c>
      <c r="P178" s="391">
        <f t="shared" si="163"/>
        <v>2496</v>
      </c>
      <c r="Q178" s="391">
        <f t="shared" si="153"/>
        <v>186825.59999999998</v>
      </c>
      <c r="R178" s="391">
        <f t="shared" si="154"/>
        <v>186825.59999999998</v>
      </c>
      <c r="S178" s="391">
        <f t="shared" si="164"/>
        <v>373651.19999999995</v>
      </c>
      <c r="T178" s="391">
        <f t="shared" si="155"/>
        <v>7062.0076799999988</v>
      </c>
      <c r="U178" s="391">
        <f t="shared" si="156"/>
        <v>7062.0076799999988</v>
      </c>
      <c r="V178" s="391">
        <f t="shared" si="165"/>
        <v>14124.015359999998</v>
      </c>
      <c r="W178" s="393">
        <f t="shared" si="166"/>
        <v>14.152319999999998</v>
      </c>
      <c r="X178" s="393">
        <f t="shared" si="157"/>
        <v>14.152319999999998</v>
      </c>
      <c r="Y178" s="393">
        <f t="shared" si="167"/>
        <v>28.304639999999996</v>
      </c>
      <c r="Z178" s="412">
        <v>0.9</v>
      </c>
      <c r="AA178" s="412">
        <f t="shared" ref="AA178:AA189" si="172">Z178*80%*AE$173/(L178+M178)</f>
        <v>0.30000000000000004</v>
      </c>
      <c r="AB178" s="413">
        <f t="shared" si="158"/>
        <v>0.72</v>
      </c>
      <c r="AC178" s="414">
        <f t="shared" si="168"/>
        <v>269028.86399999994</v>
      </c>
      <c r="AD178" s="414">
        <f t="shared" si="169"/>
        <v>10169.291059199997</v>
      </c>
      <c r="AE178" s="415">
        <f t="shared" si="170"/>
        <v>20.379340799999994</v>
      </c>
    </row>
    <row r="179" spans="1:31" ht="12.75">
      <c r="A179" s="383">
        <v>4</v>
      </c>
      <c r="B179" s="394" t="str">
        <f>B18</f>
        <v>Moxifloxacin</v>
      </c>
      <c r="C179" s="400">
        <v>0.4</v>
      </c>
      <c r="D179" s="401">
        <f t="shared" si="159"/>
        <v>199.60000000000002</v>
      </c>
      <c r="E179" s="383" t="str">
        <f t="shared" si="171"/>
        <v>400 mg</v>
      </c>
      <c r="F179" s="383" t="str">
        <f t="shared" si="171"/>
        <v>Box of 100 tabs in blisters</v>
      </c>
      <c r="G179" s="403">
        <f t="shared" si="171"/>
        <v>29</v>
      </c>
      <c r="H179" s="394">
        <f t="shared" si="171"/>
        <v>100</v>
      </c>
      <c r="I179" s="410">
        <f t="shared" si="160"/>
        <v>0.28999999999999998</v>
      </c>
      <c r="J179" s="394">
        <f>J18</f>
        <v>1</v>
      </c>
      <c r="K179" s="391">
        <v>26</v>
      </c>
      <c r="L179" s="391">
        <v>12</v>
      </c>
      <c r="M179" s="391">
        <v>12</v>
      </c>
      <c r="N179" s="391">
        <f t="shared" si="161"/>
        <v>312</v>
      </c>
      <c r="O179" s="391">
        <f t="shared" si="162"/>
        <v>312</v>
      </c>
      <c r="P179" s="391">
        <f t="shared" si="163"/>
        <v>624</v>
      </c>
      <c r="Q179" s="391">
        <f t="shared" si="153"/>
        <v>62275.200000000004</v>
      </c>
      <c r="R179" s="391">
        <f t="shared" si="154"/>
        <v>62275.200000000004</v>
      </c>
      <c r="S179" s="391">
        <f t="shared" si="164"/>
        <v>124550.40000000001</v>
      </c>
      <c r="T179" s="391">
        <f t="shared" si="155"/>
        <v>18059.808000000001</v>
      </c>
      <c r="U179" s="391">
        <f t="shared" si="156"/>
        <v>18059.808000000001</v>
      </c>
      <c r="V179" s="391">
        <f t="shared" si="165"/>
        <v>36119.616000000002</v>
      </c>
      <c r="W179" s="393">
        <f t="shared" si="166"/>
        <v>36.192</v>
      </c>
      <c r="X179" s="393">
        <f t="shared" si="157"/>
        <v>36.192</v>
      </c>
      <c r="Y179" s="393">
        <f t="shared" si="167"/>
        <v>72.384</v>
      </c>
      <c r="Z179" s="412">
        <f>Z178</f>
        <v>0.9</v>
      </c>
      <c r="AA179" s="412">
        <f t="shared" si="172"/>
        <v>0.30000000000000004</v>
      </c>
      <c r="AB179" s="413">
        <f t="shared" si="158"/>
        <v>0.72</v>
      </c>
      <c r="AC179" s="414">
        <f t="shared" si="168"/>
        <v>89676.288</v>
      </c>
      <c r="AD179" s="414">
        <f t="shared" si="169"/>
        <v>26006.123519999997</v>
      </c>
      <c r="AE179" s="415">
        <f t="shared" si="170"/>
        <v>52.116479999999996</v>
      </c>
    </row>
    <row r="180" spans="1:31" ht="12.75">
      <c r="A180" s="383">
        <v>5</v>
      </c>
      <c r="B180" s="394" t="str">
        <f>B19</f>
        <v>Prothionamide</v>
      </c>
      <c r="C180" s="400">
        <v>0.2</v>
      </c>
      <c r="D180" s="401">
        <f t="shared" si="159"/>
        <v>99.800000000000011</v>
      </c>
      <c r="E180" s="383" t="str">
        <f t="shared" si="171"/>
        <v>250 mg</v>
      </c>
      <c r="F180" s="383" t="str">
        <f t="shared" si="171"/>
        <v>Blister of 100 tabs</v>
      </c>
      <c r="G180" s="403">
        <f t="shared" si="171"/>
        <v>8.1999999999999993</v>
      </c>
      <c r="H180" s="394">
        <f t="shared" si="171"/>
        <v>100</v>
      </c>
      <c r="I180" s="410">
        <f t="shared" si="160"/>
        <v>8.199999999999999E-2</v>
      </c>
      <c r="J180" s="394">
        <f>J19</f>
        <v>3</v>
      </c>
      <c r="K180" s="391">
        <v>26</v>
      </c>
      <c r="L180" s="391">
        <v>12</v>
      </c>
      <c r="M180" s="391">
        <v>12</v>
      </c>
      <c r="N180" s="391">
        <f t="shared" si="161"/>
        <v>936</v>
      </c>
      <c r="O180" s="391">
        <f t="shared" si="162"/>
        <v>936</v>
      </c>
      <c r="P180" s="391">
        <f t="shared" si="163"/>
        <v>1872</v>
      </c>
      <c r="Q180" s="391">
        <f t="shared" si="153"/>
        <v>93412.800000000017</v>
      </c>
      <c r="R180" s="391">
        <f t="shared" si="154"/>
        <v>93412.800000000017</v>
      </c>
      <c r="S180" s="391">
        <f t="shared" si="164"/>
        <v>186825.60000000003</v>
      </c>
      <c r="T180" s="391">
        <f t="shared" si="155"/>
        <v>7659.8496000000005</v>
      </c>
      <c r="U180" s="391">
        <f t="shared" si="156"/>
        <v>7659.8496000000005</v>
      </c>
      <c r="V180" s="391">
        <f t="shared" si="165"/>
        <v>15319.699200000001</v>
      </c>
      <c r="W180" s="393">
        <f t="shared" si="166"/>
        <v>15.3504</v>
      </c>
      <c r="X180" s="393">
        <f t="shared" si="157"/>
        <v>15.3504</v>
      </c>
      <c r="Y180" s="393">
        <f t="shared" si="167"/>
        <v>30.700800000000001</v>
      </c>
      <c r="Z180" s="412">
        <v>0.8</v>
      </c>
      <c r="AA180" s="412">
        <f t="shared" si="172"/>
        <v>0.26666666666666672</v>
      </c>
      <c r="AB180" s="413">
        <f t="shared" si="158"/>
        <v>0.64</v>
      </c>
      <c r="AC180" s="414">
        <f t="shared" si="168"/>
        <v>119568.38400000002</v>
      </c>
      <c r="AD180" s="414">
        <f t="shared" si="169"/>
        <v>9804.6074879999996</v>
      </c>
      <c r="AE180" s="415">
        <f t="shared" si="170"/>
        <v>19.648512</v>
      </c>
    </row>
    <row r="181" spans="1:31" ht="12.75">
      <c r="A181" s="383">
        <v>6</v>
      </c>
      <c r="B181" s="394" t="str">
        <f>B20</f>
        <v>Cycloserine</v>
      </c>
      <c r="C181" s="400">
        <v>0.75</v>
      </c>
      <c r="D181" s="401">
        <f t="shared" si="159"/>
        <v>374.25</v>
      </c>
      <c r="E181" s="383" t="str">
        <f t="shared" si="171"/>
        <v>250 mg</v>
      </c>
      <c r="F181" s="383" t="str">
        <f t="shared" si="171"/>
        <v>Blister of 100 capsules</v>
      </c>
      <c r="G181" s="403">
        <f t="shared" si="171"/>
        <v>42.5</v>
      </c>
      <c r="H181" s="394">
        <f t="shared" si="171"/>
        <v>100</v>
      </c>
      <c r="I181" s="410">
        <f t="shared" ref="I181:I191" si="173">G181/H181</f>
        <v>0.42499999999999999</v>
      </c>
      <c r="J181" s="394">
        <f>J20</f>
        <v>3</v>
      </c>
      <c r="K181" s="391">
        <v>26</v>
      </c>
      <c r="L181" s="391">
        <v>12</v>
      </c>
      <c r="M181" s="391">
        <v>12</v>
      </c>
      <c r="N181" s="391">
        <f t="shared" ref="N181:N191" si="174">J181*K181*L181</f>
        <v>936</v>
      </c>
      <c r="O181" s="391">
        <f t="shared" ref="O181:O191" si="175">J181*K181*M181</f>
        <v>936</v>
      </c>
      <c r="P181" s="391">
        <f t="shared" ref="P181:P191" si="176">SUM(N181:O181)</f>
        <v>1872</v>
      </c>
      <c r="Q181" s="391">
        <f t="shared" ref="Q181:Q191" si="177">N181*D181</f>
        <v>350298</v>
      </c>
      <c r="R181" s="391">
        <f t="shared" ref="R181:R191" si="178">O181*D181</f>
        <v>350298</v>
      </c>
      <c r="S181" s="391">
        <f t="shared" ref="S181:S191" si="179">SUM(Q181:R181)</f>
        <v>700596</v>
      </c>
      <c r="T181" s="391">
        <f t="shared" ref="T181:T191" si="180">Q181*I181</f>
        <v>148876.65</v>
      </c>
      <c r="U181" s="391">
        <f t="shared" ref="U181:U191" si="181">R181*I181</f>
        <v>148876.65</v>
      </c>
      <c r="V181" s="391">
        <f t="shared" ref="V181:V191" si="182">SUM(T181:U181)</f>
        <v>297753.3</v>
      </c>
      <c r="W181" s="393">
        <f t="shared" si="166"/>
        <v>298.34999999999997</v>
      </c>
      <c r="X181" s="393">
        <f t="shared" si="157"/>
        <v>298.34999999999997</v>
      </c>
      <c r="Y181" s="393">
        <f t="shared" ref="Y181:Y191" si="183">SUM(W181:X181)</f>
        <v>596.69999999999993</v>
      </c>
      <c r="Z181" s="412">
        <v>0.85</v>
      </c>
      <c r="AA181" s="412">
        <f t="shared" si="172"/>
        <v>0.28333333333333338</v>
      </c>
      <c r="AB181" s="413">
        <f t="shared" si="158"/>
        <v>0.68</v>
      </c>
      <c r="AC181" s="414">
        <f t="shared" ref="AC181:AC191" si="184">S181*AB181</f>
        <v>476405.28</v>
      </c>
      <c r="AD181" s="414">
        <f t="shared" ref="AD181:AD191" si="185">AC181*I181</f>
        <v>202472.24400000001</v>
      </c>
      <c r="AE181" s="415">
        <f t="shared" si="170"/>
        <v>405.75600000000003</v>
      </c>
    </row>
    <row r="182" spans="1:31" ht="12.75">
      <c r="A182" s="383">
        <v>7</v>
      </c>
      <c r="B182" s="394" t="str">
        <f>B21</f>
        <v>PASER</v>
      </c>
      <c r="C182" s="400">
        <v>0.04</v>
      </c>
      <c r="D182" s="401">
        <f t="shared" si="159"/>
        <v>19.96</v>
      </c>
      <c r="E182" s="383" t="str">
        <f t="shared" si="171"/>
        <v>4 g</v>
      </c>
      <c r="F182" s="383" t="str">
        <f t="shared" si="171"/>
        <v>Box of 30 sachets</v>
      </c>
      <c r="G182" s="403">
        <f t="shared" si="171"/>
        <v>40</v>
      </c>
      <c r="H182" s="394">
        <f t="shared" si="171"/>
        <v>30</v>
      </c>
      <c r="I182" s="410">
        <f t="shared" si="173"/>
        <v>1.3333333333333333</v>
      </c>
      <c r="J182" s="394">
        <f>J21</f>
        <v>2</v>
      </c>
      <c r="K182" s="391">
        <v>26</v>
      </c>
      <c r="L182" s="391">
        <v>12</v>
      </c>
      <c r="M182" s="391">
        <v>12</v>
      </c>
      <c r="N182" s="391">
        <f t="shared" si="174"/>
        <v>624</v>
      </c>
      <c r="O182" s="391">
        <f t="shared" si="175"/>
        <v>624</v>
      </c>
      <c r="P182" s="391">
        <f t="shared" si="176"/>
        <v>1248</v>
      </c>
      <c r="Q182" s="391">
        <f t="shared" si="177"/>
        <v>12455.04</v>
      </c>
      <c r="R182" s="391">
        <f t="shared" si="178"/>
        <v>12455.04</v>
      </c>
      <c r="S182" s="391">
        <f t="shared" si="179"/>
        <v>24910.080000000002</v>
      </c>
      <c r="T182" s="391">
        <f t="shared" si="180"/>
        <v>16606.72</v>
      </c>
      <c r="U182" s="391">
        <f t="shared" si="181"/>
        <v>16606.72</v>
      </c>
      <c r="V182" s="391">
        <f t="shared" si="182"/>
        <v>33213.440000000002</v>
      </c>
      <c r="W182" s="393">
        <f t="shared" si="166"/>
        <v>33.28</v>
      </c>
      <c r="X182" s="393">
        <f t="shared" si="157"/>
        <v>33.28</v>
      </c>
      <c r="Y182" s="393">
        <f t="shared" si="183"/>
        <v>66.56</v>
      </c>
      <c r="Z182" s="412">
        <v>0.85</v>
      </c>
      <c r="AA182" s="412">
        <f t="shared" si="172"/>
        <v>0.28333333333333338</v>
      </c>
      <c r="AB182" s="413">
        <f t="shared" si="158"/>
        <v>0.68</v>
      </c>
      <c r="AC182" s="414">
        <f t="shared" si="184"/>
        <v>16938.854400000004</v>
      </c>
      <c r="AD182" s="414">
        <f t="shared" si="185"/>
        <v>22585.139200000005</v>
      </c>
      <c r="AE182" s="415">
        <f t="shared" si="170"/>
        <v>45.26080000000001</v>
      </c>
    </row>
    <row r="183" spans="1:31" ht="12.75">
      <c r="A183" s="383">
        <v>8</v>
      </c>
      <c r="B183" s="394" t="str">
        <f>B25</f>
        <v>Bedaquiline</v>
      </c>
      <c r="C183" s="400">
        <v>0.8</v>
      </c>
      <c r="D183" s="401">
        <f t="shared" si="159"/>
        <v>399.20000000000005</v>
      </c>
      <c r="E183" s="383" t="str">
        <f t="shared" ref="E183:H184" si="186">E25</f>
        <v>100 mg</v>
      </c>
      <c r="F183" s="383" t="str">
        <f t="shared" si="186"/>
        <v>HDPE Container of 188 tabs</v>
      </c>
      <c r="G183" s="403">
        <f t="shared" si="186"/>
        <v>900</v>
      </c>
      <c r="H183" s="394">
        <f t="shared" si="186"/>
        <v>188</v>
      </c>
      <c r="I183" s="410">
        <f t="shared" si="173"/>
        <v>4.7872340425531918</v>
      </c>
      <c r="J183" s="439">
        <f>J25</f>
        <v>1.2051282051282051</v>
      </c>
      <c r="K183" s="391">
        <v>26</v>
      </c>
      <c r="L183" s="391">
        <v>6</v>
      </c>
      <c r="M183" s="391">
        <v>0</v>
      </c>
      <c r="N183" s="391">
        <f t="shared" si="174"/>
        <v>188</v>
      </c>
      <c r="O183" s="391">
        <f t="shared" si="175"/>
        <v>0</v>
      </c>
      <c r="P183" s="391">
        <f t="shared" si="176"/>
        <v>188</v>
      </c>
      <c r="Q183" s="391">
        <f t="shared" si="177"/>
        <v>75049.600000000006</v>
      </c>
      <c r="R183" s="391">
        <f t="shared" si="178"/>
        <v>0</v>
      </c>
      <c r="S183" s="391">
        <f t="shared" si="179"/>
        <v>75049.600000000006</v>
      </c>
      <c r="T183" s="391">
        <f t="shared" si="180"/>
        <v>359280.00000000006</v>
      </c>
      <c r="U183" s="391">
        <f t="shared" si="181"/>
        <v>0</v>
      </c>
      <c r="V183" s="391">
        <f t="shared" si="182"/>
        <v>359280.00000000006</v>
      </c>
      <c r="W183" s="393">
        <f t="shared" si="166"/>
        <v>720.00000000000011</v>
      </c>
      <c r="X183" s="393">
        <f t="shared" si="157"/>
        <v>0</v>
      </c>
      <c r="Y183" s="393">
        <f t="shared" si="183"/>
        <v>720.00000000000011</v>
      </c>
      <c r="Z183" s="412">
        <v>0.95</v>
      </c>
      <c r="AA183" s="413">
        <f>Z183*90%</f>
        <v>0.85499999999999998</v>
      </c>
      <c r="AB183" s="413">
        <f t="shared" si="158"/>
        <v>0.92149999999999999</v>
      </c>
      <c r="AC183" s="414">
        <f t="shared" si="184"/>
        <v>69158.20640000001</v>
      </c>
      <c r="AD183" s="414">
        <f t="shared" si="185"/>
        <v>331076.52000000008</v>
      </c>
      <c r="AE183" s="415">
        <f t="shared" si="170"/>
        <v>663.48000000000013</v>
      </c>
    </row>
    <row r="184" spans="1:31" ht="12.75">
      <c r="A184" s="383">
        <v>9</v>
      </c>
      <c r="B184" s="1462" t="s">
        <v>2066</v>
      </c>
      <c r="C184" s="1463">
        <v>0.45</v>
      </c>
      <c r="D184" s="1464">
        <f t="shared" si="159"/>
        <v>224.55</v>
      </c>
      <c r="E184" s="383" t="str">
        <f t="shared" si="186"/>
        <v>50mg</v>
      </c>
      <c r="F184" s="383" t="str">
        <f t="shared" si="186"/>
        <v>Box(es) of 672 (in blister)</v>
      </c>
      <c r="G184" s="403">
        <f t="shared" si="186"/>
        <v>1700</v>
      </c>
      <c r="H184" s="394">
        <f t="shared" si="186"/>
        <v>672</v>
      </c>
      <c r="I184" s="410">
        <f t="shared" si="173"/>
        <v>2.5297619047619047</v>
      </c>
      <c r="J184" s="439">
        <f>J26</f>
        <v>2</v>
      </c>
      <c r="K184" s="1469">
        <v>26</v>
      </c>
      <c r="L184" s="1469">
        <v>6</v>
      </c>
      <c r="M184" s="1469">
        <v>0</v>
      </c>
      <c r="N184" s="1469">
        <f t="shared" si="174"/>
        <v>312</v>
      </c>
      <c r="O184" s="1469">
        <f t="shared" si="175"/>
        <v>0</v>
      </c>
      <c r="P184" s="1469">
        <f t="shared" si="176"/>
        <v>312</v>
      </c>
      <c r="Q184" s="1469">
        <f t="shared" si="177"/>
        <v>70059.600000000006</v>
      </c>
      <c r="R184" s="1469">
        <f t="shared" si="178"/>
        <v>0</v>
      </c>
      <c r="S184" s="1469">
        <f t="shared" si="179"/>
        <v>70059.600000000006</v>
      </c>
      <c r="T184" s="1469">
        <f t="shared" si="180"/>
        <v>177234.10714285716</v>
      </c>
      <c r="U184" s="1469">
        <f t="shared" si="181"/>
        <v>0</v>
      </c>
      <c r="V184" s="1469">
        <f t="shared" si="182"/>
        <v>177234.10714285716</v>
      </c>
      <c r="W184" s="1470">
        <f t="shared" si="166"/>
        <v>355.17857142857144</v>
      </c>
      <c r="X184" s="1470">
        <f t="shared" si="157"/>
        <v>0</v>
      </c>
      <c r="Y184" s="1470">
        <f t="shared" si="183"/>
        <v>355.17857142857144</v>
      </c>
      <c r="Z184" s="1471">
        <v>0.95</v>
      </c>
      <c r="AA184" s="1472">
        <f>Z184*90%</f>
        <v>0.85499999999999998</v>
      </c>
      <c r="AB184" s="1472">
        <f t="shared" si="158"/>
        <v>0.92149999999999999</v>
      </c>
      <c r="AC184" s="1473">
        <f t="shared" si="184"/>
        <v>64559.921400000007</v>
      </c>
      <c r="AD184" s="1473">
        <f t="shared" si="185"/>
        <v>163321.22973214288</v>
      </c>
      <c r="AE184" s="1474">
        <f t="shared" si="170"/>
        <v>327.29705357142859</v>
      </c>
    </row>
    <row r="185" spans="1:31" ht="12.75">
      <c r="A185" s="383">
        <v>10</v>
      </c>
      <c r="B185" s="394" t="str">
        <f>B24</f>
        <v>Linezolid</v>
      </c>
      <c r="C185" s="400">
        <v>0.9</v>
      </c>
      <c r="D185" s="401">
        <f t="shared" si="159"/>
        <v>449.1</v>
      </c>
      <c r="E185" s="383" t="str">
        <f>E24</f>
        <v>600 mg</v>
      </c>
      <c r="F185" s="383" t="str">
        <f>F24</f>
        <v>Box of 100 tabs in blisters</v>
      </c>
      <c r="G185" s="403">
        <f>G24</f>
        <v>140</v>
      </c>
      <c r="H185" s="394">
        <f>H24</f>
        <v>100</v>
      </c>
      <c r="I185" s="410">
        <f t="shared" si="173"/>
        <v>1.4</v>
      </c>
      <c r="J185" s="394">
        <f>J24</f>
        <v>1</v>
      </c>
      <c r="K185" s="391">
        <v>26</v>
      </c>
      <c r="L185" s="391">
        <v>12</v>
      </c>
      <c r="M185" s="391">
        <v>0</v>
      </c>
      <c r="N185" s="391">
        <f t="shared" si="174"/>
        <v>312</v>
      </c>
      <c r="O185" s="391">
        <f t="shared" si="175"/>
        <v>0</v>
      </c>
      <c r="P185" s="391">
        <f t="shared" si="176"/>
        <v>312</v>
      </c>
      <c r="Q185" s="391">
        <f t="shared" si="177"/>
        <v>140119.20000000001</v>
      </c>
      <c r="R185" s="391">
        <f t="shared" si="178"/>
        <v>0</v>
      </c>
      <c r="S185" s="391">
        <f t="shared" si="179"/>
        <v>140119.20000000001</v>
      </c>
      <c r="T185" s="391">
        <f t="shared" si="180"/>
        <v>196166.88</v>
      </c>
      <c r="U185" s="391">
        <f t="shared" si="181"/>
        <v>0</v>
      </c>
      <c r="V185" s="391">
        <f t="shared" si="182"/>
        <v>196166.88</v>
      </c>
      <c r="W185" s="393">
        <f t="shared" si="166"/>
        <v>393.12</v>
      </c>
      <c r="X185" s="393">
        <f t="shared" si="157"/>
        <v>0</v>
      </c>
      <c r="Y185" s="393">
        <f t="shared" si="183"/>
        <v>393.12</v>
      </c>
      <c r="Z185" s="412">
        <v>0.95</v>
      </c>
      <c r="AA185" s="412">
        <f>Z185*90%*AE$173/(L185+M185)</f>
        <v>0.71250000000000002</v>
      </c>
      <c r="AB185" s="413">
        <f t="shared" si="158"/>
        <v>0.87874999999999992</v>
      </c>
      <c r="AC185" s="414">
        <f t="shared" si="184"/>
        <v>123129.747</v>
      </c>
      <c r="AD185" s="414">
        <f t="shared" si="185"/>
        <v>172381.6458</v>
      </c>
      <c r="AE185" s="415">
        <f t="shared" si="170"/>
        <v>345.45420000000001</v>
      </c>
    </row>
    <row r="186" spans="1:31" ht="12.75">
      <c r="A186" s="383">
        <v>11</v>
      </c>
      <c r="B186" s="394" t="str">
        <f>B27</f>
        <v>Imipenem / Cilastatin</v>
      </c>
      <c r="C186" s="400">
        <v>0.04</v>
      </c>
      <c r="D186" s="401">
        <f t="shared" si="159"/>
        <v>19.96</v>
      </c>
      <c r="E186" s="383" t="str">
        <f>E27</f>
        <v>500 mg / 500 mg</v>
      </c>
      <c r="F186" s="383" t="str">
        <f>F27</f>
        <v>1 vial</v>
      </c>
      <c r="G186" s="403">
        <f>G27</f>
        <v>36</v>
      </c>
      <c r="H186" s="394">
        <f>H27</f>
        <v>1</v>
      </c>
      <c r="I186" s="410">
        <f t="shared" ref="I186:I187" si="187">G186/H186</f>
        <v>36</v>
      </c>
      <c r="J186" s="394">
        <f>J27</f>
        <v>2</v>
      </c>
      <c r="K186" s="391">
        <v>26</v>
      </c>
      <c r="L186" s="391">
        <v>12</v>
      </c>
      <c r="M186" s="391">
        <v>0</v>
      </c>
      <c r="N186" s="391">
        <f t="shared" ref="N186" si="188">J186*K186*L186</f>
        <v>624</v>
      </c>
      <c r="O186" s="391">
        <f t="shared" ref="O186:O187" si="189">J186*K186*M186</f>
        <v>0</v>
      </c>
      <c r="P186" s="391">
        <f t="shared" ref="P186:P187" si="190">SUM(N186:O186)</f>
        <v>624</v>
      </c>
      <c r="Q186" s="391">
        <f t="shared" ref="Q186:Q187" si="191">N186*D186</f>
        <v>12455.04</v>
      </c>
      <c r="R186" s="391">
        <f t="shared" ref="R186:R187" si="192">O186*D186</f>
        <v>0</v>
      </c>
      <c r="S186" s="391">
        <f t="shared" ref="S186:S187" si="193">SUM(Q186:R186)</f>
        <v>12455.04</v>
      </c>
      <c r="T186" s="391">
        <f t="shared" ref="T186:T187" si="194">Q186*I186</f>
        <v>448381.44000000006</v>
      </c>
      <c r="U186" s="391">
        <f t="shared" ref="U186:U187" si="195">R186*I186</f>
        <v>0</v>
      </c>
      <c r="V186" s="391">
        <f t="shared" ref="V186:V187" si="196">SUM(T186:U186)</f>
        <v>448381.44000000006</v>
      </c>
      <c r="W186" s="393">
        <f t="shared" si="166"/>
        <v>898.56000000000017</v>
      </c>
      <c r="X186" s="393">
        <f t="shared" si="157"/>
        <v>0</v>
      </c>
      <c r="Y186" s="393">
        <f t="shared" ref="Y186:Y187" si="197">SUM(W186:X186)</f>
        <v>898.56000000000017</v>
      </c>
      <c r="Z186" s="412">
        <v>0.85</v>
      </c>
      <c r="AA186" s="412">
        <f t="shared" si="172"/>
        <v>0.56666666666666676</v>
      </c>
      <c r="AB186" s="413">
        <f t="shared" si="158"/>
        <v>0.76500000000000001</v>
      </c>
      <c r="AC186" s="414">
        <f t="shared" ref="AC186:AC187" si="198">S186*AB186</f>
        <v>9528.1056000000008</v>
      </c>
      <c r="AD186" s="414">
        <f t="shared" ref="AD186:AD187" si="199">AC186*I186</f>
        <v>343011.80160000001</v>
      </c>
      <c r="AE186" s="415">
        <f t="shared" si="170"/>
        <v>687.39840000000004</v>
      </c>
    </row>
    <row r="187" spans="1:31" ht="12.75">
      <c r="A187" s="383">
        <v>12</v>
      </c>
      <c r="B187" s="394" t="str">
        <f>B29</f>
        <v>Clofazimine</v>
      </c>
      <c r="C187" s="400">
        <v>0.8</v>
      </c>
      <c r="D187" s="401">
        <f t="shared" si="159"/>
        <v>399.20000000000005</v>
      </c>
      <c r="E187" s="383" t="str">
        <f>E29</f>
        <v>100 mg</v>
      </c>
      <c r="F187" s="383" t="str">
        <f>F29</f>
        <v>HDPE Container of 100 caps</v>
      </c>
      <c r="G187" s="403">
        <f>G29</f>
        <v>98.24</v>
      </c>
      <c r="H187" s="394">
        <f>H29</f>
        <v>100</v>
      </c>
      <c r="I187" s="410">
        <f t="shared" si="187"/>
        <v>0.98239999999999994</v>
      </c>
      <c r="J187" s="394">
        <v>1</v>
      </c>
      <c r="K187" s="391">
        <v>26</v>
      </c>
      <c r="L187" s="391">
        <v>12</v>
      </c>
      <c r="M187" s="391">
        <v>12</v>
      </c>
      <c r="N187" s="407">
        <f>3*J187*K187*2+1*K187*(L187-2)</f>
        <v>416</v>
      </c>
      <c r="O187" s="391">
        <f t="shared" si="189"/>
        <v>312</v>
      </c>
      <c r="P187" s="391">
        <f t="shared" si="190"/>
        <v>728</v>
      </c>
      <c r="Q187" s="391">
        <f t="shared" si="191"/>
        <v>166067.20000000001</v>
      </c>
      <c r="R187" s="391">
        <f t="shared" si="192"/>
        <v>124550.40000000001</v>
      </c>
      <c r="S187" s="391">
        <f t="shared" si="193"/>
        <v>290617.60000000003</v>
      </c>
      <c r="T187" s="391">
        <f t="shared" si="194"/>
        <v>163144.41727999999</v>
      </c>
      <c r="U187" s="391">
        <f t="shared" si="195"/>
        <v>122358.31296</v>
      </c>
      <c r="V187" s="391">
        <f t="shared" si="196"/>
        <v>285502.73024</v>
      </c>
      <c r="W187" s="393">
        <f t="shared" si="166"/>
        <v>326.94272000000001</v>
      </c>
      <c r="X187" s="393">
        <f t="shared" si="157"/>
        <v>245.20703999999998</v>
      </c>
      <c r="Y187" s="393">
        <f t="shared" si="197"/>
        <v>572.14976000000001</v>
      </c>
      <c r="Z187" s="412">
        <v>0.9</v>
      </c>
      <c r="AA187" s="412">
        <f t="shared" si="172"/>
        <v>0.30000000000000004</v>
      </c>
      <c r="AB187" s="413">
        <f t="shared" si="158"/>
        <v>0.72</v>
      </c>
      <c r="AC187" s="414">
        <f t="shared" si="198"/>
        <v>209244.67200000002</v>
      </c>
      <c r="AD187" s="414">
        <f t="shared" si="199"/>
        <v>205561.9657728</v>
      </c>
      <c r="AE187" s="415">
        <f t="shared" si="170"/>
        <v>411.94782720000001</v>
      </c>
    </row>
    <row r="188" spans="1:31" ht="12.75">
      <c r="A188" s="383">
        <v>13</v>
      </c>
      <c r="B188" s="394" t="str">
        <f>B12</f>
        <v>Pyrazinamide</v>
      </c>
      <c r="C188" s="400">
        <v>0.6</v>
      </c>
      <c r="D188" s="401">
        <f t="shared" si="159"/>
        <v>299.39999999999998</v>
      </c>
      <c r="E188" s="383" t="str">
        <f t="shared" ref="E188:H189" si="200">E116</f>
        <v>400 mg</v>
      </c>
      <c r="F188" s="383" t="str">
        <f t="shared" si="200"/>
        <v>Box of 672 tabs (in blisters)</v>
      </c>
      <c r="G188" s="403">
        <f t="shared" si="200"/>
        <v>14</v>
      </c>
      <c r="H188" s="394">
        <f t="shared" si="200"/>
        <v>672</v>
      </c>
      <c r="I188" s="410">
        <f t="shared" si="173"/>
        <v>2.0833333333333332E-2</v>
      </c>
      <c r="J188" s="394">
        <f>J116</f>
        <v>4</v>
      </c>
      <c r="K188" s="391">
        <v>26</v>
      </c>
      <c r="L188" s="391">
        <v>12</v>
      </c>
      <c r="M188" s="391">
        <v>12</v>
      </c>
      <c r="N188" s="391">
        <f t="shared" si="174"/>
        <v>1248</v>
      </c>
      <c r="O188" s="391">
        <f t="shared" si="175"/>
        <v>1248</v>
      </c>
      <c r="P188" s="391">
        <f t="shared" si="176"/>
        <v>2496</v>
      </c>
      <c r="Q188" s="391">
        <f t="shared" si="177"/>
        <v>373651.19999999995</v>
      </c>
      <c r="R188" s="391">
        <f t="shared" si="178"/>
        <v>373651.19999999995</v>
      </c>
      <c r="S188" s="391">
        <f t="shared" si="179"/>
        <v>747302.39999999991</v>
      </c>
      <c r="T188" s="391">
        <f t="shared" si="180"/>
        <v>7784.3999999999987</v>
      </c>
      <c r="U188" s="391">
        <f t="shared" si="181"/>
        <v>7784.3999999999987</v>
      </c>
      <c r="V188" s="391">
        <f t="shared" si="182"/>
        <v>15568.799999999997</v>
      </c>
      <c r="W188" s="393">
        <f t="shared" si="166"/>
        <v>15.599999999999998</v>
      </c>
      <c r="X188" s="393">
        <f t="shared" si="157"/>
        <v>15.599999999999998</v>
      </c>
      <c r="Y188" s="393">
        <f t="shared" si="183"/>
        <v>31.199999999999996</v>
      </c>
      <c r="Z188" s="412">
        <v>0.9</v>
      </c>
      <c r="AA188" s="412">
        <f t="shared" si="172"/>
        <v>0.30000000000000004</v>
      </c>
      <c r="AB188" s="413">
        <f t="shared" si="158"/>
        <v>0.72</v>
      </c>
      <c r="AC188" s="414">
        <f t="shared" si="184"/>
        <v>538057.72799999989</v>
      </c>
      <c r="AD188" s="414">
        <f t="shared" si="185"/>
        <v>11209.535999999996</v>
      </c>
      <c r="AE188" s="415">
        <f t="shared" si="170"/>
        <v>22.463999999999992</v>
      </c>
    </row>
    <row r="189" spans="1:31" ht="12.75">
      <c r="A189" s="383">
        <v>14</v>
      </c>
      <c r="B189" s="394" t="str">
        <f>B11</f>
        <v>Ethambutol</v>
      </c>
      <c r="C189" s="400">
        <v>0.1</v>
      </c>
      <c r="D189" s="401">
        <f t="shared" si="159"/>
        <v>49.900000000000006</v>
      </c>
      <c r="E189" s="383" t="str">
        <f t="shared" si="200"/>
        <v>400 mg</v>
      </c>
      <c r="F189" s="383" t="str">
        <f t="shared" si="200"/>
        <v>Box of 672 tabs (in blisters)</v>
      </c>
      <c r="G189" s="403">
        <f t="shared" si="200"/>
        <v>24.1</v>
      </c>
      <c r="H189" s="394">
        <f t="shared" si="200"/>
        <v>672</v>
      </c>
      <c r="I189" s="410">
        <f t="shared" si="173"/>
        <v>3.5863095238095243E-2</v>
      </c>
      <c r="J189" s="394">
        <f>J117</f>
        <v>3</v>
      </c>
      <c r="K189" s="391">
        <v>26</v>
      </c>
      <c r="L189" s="391">
        <v>12</v>
      </c>
      <c r="M189" s="391">
        <v>12</v>
      </c>
      <c r="N189" s="391">
        <f t="shared" si="174"/>
        <v>936</v>
      </c>
      <c r="O189" s="391">
        <f t="shared" si="175"/>
        <v>936</v>
      </c>
      <c r="P189" s="391">
        <f t="shared" si="176"/>
        <v>1872</v>
      </c>
      <c r="Q189" s="391">
        <f t="shared" si="177"/>
        <v>46706.400000000009</v>
      </c>
      <c r="R189" s="391">
        <f t="shared" si="178"/>
        <v>46706.400000000009</v>
      </c>
      <c r="S189" s="391">
        <f t="shared" si="179"/>
        <v>93412.800000000017</v>
      </c>
      <c r="T189" s="391">
        <f t="shared" si="180"/>
        <v>1675.0360714285719</v>
      </c>
      <c r="U189" s="391">
        <f t="shared" si="181"/>
        <v>1675.0360714285719</v>
      </c>
      <c r="V189" s="391">
        <f t="shared" si="182"/>
        <v>3350.0721428571437</v>
      </c>
      <c r="W189" s="393">
        <f t="shared" si="166"/>
        <v>3.3567857142857149</v>
      </c>
      <c r="X189" s="393">
        <f t="shared" si="157"/>
        <v>3.3567857142857149</v>
      </c>
      <c r="Y189" s="393">
        <f t="shared" si="183"/>
        <v>6.7135714285714299</v>
      </c>
      <c r="Z189" s="412">
        <v>0.9</v>
      </c>
      <c r="AA189" s="412">
        <f t="shared" si="172"/>
        <v>0.30000000000000004</v>
      </c>
      <c r="AB189" s="413">
        <f t="shared" si="158"/>
        <v>0.72</v>
      </c>
      <c r="AC189" s="414">
        <f t="shared" si="184"/>
        <v>67257.216000000015</v>
      </c>
      <c r="AD189" s="414">
        <f t="shared" si="185"/>
        <v>2412.0519428571438</v>
      </c>
      <c r="AE189" s="415">
        <f t="shared" si="170"/>
        <v>4.8337714285714304</v>
      </c>
    </row>
    <row r="190" spans="1:31" ht="12.75">
      <c r="A190" s="383">
        <v>15</v>
      </c>
      <c r="B190" s="394" t="str">
        <f>B30</f>
        <v>Water for injection</v>
      </c>
      <c r="C190" s="400">
        <v>0.59</v>
      </c>
      <c r="D190" s="401">
        <f t="shared" si="159"/>
        <v>294.40999999999997</v>
      </c>
      <c r="E190" s="383" t="str">
        <f t="shared" ref="E190:H191" si="201">E30</f>
        <v>5 ml</v>
      </c>
      <c r="F190" s="383" t="str">
        <f t="shared" si="201"/>
        <v>Box of 100 vials</v>
      </c>
      <c r="G190" s="403">
        <f t="shared" si="201"/>
        <v>9.1999999999999993</v>
      </c>
      <c r="H190" s="394">
        <f t="shared" si="201"/>
        <v>50</v>
      </c>
      <c r="I190" s="410">
        <f t="shared" si="173"/>
        <v>0.184</v>
      </c>
      <c r="J190" s="394">
        <f>J176</f>
        <v>1</v>
      </c>
      <c r="K190" s="391">
        <v>26</v>
      </c>
      <c r="L190" s="391">
        <f>L176</f>
        <v>9</v>
      </c>
      <c r="M190" s="391">
        <f>M176</f>
        <v>0</v>
      </c>
      <c r="N190" s="391">
        <f t="shared" si="174"/>
        <v>234</v>
      </c>
      <c r="O190" s="391">
        <f t="shared" si="175"/>
        <v>0</v>
      </c>
      <c r="P190" s="391">
        <f t="shared" si="176"/>
        <v>234</v>
      </c>
      <c r="Q190" s="391">
        <f t="shared" si="177"/>
        <v>68891.939999999988</v>
      </c>
      <c r="R190" s="391">
        <f t="shared" si="178"/>
        <v>0</v>
      </c>
      <c r="S190" s="391">
        <f t="shared" si="179"/>
        <v>68891.939999999988</v>
      </c>
      <c r="T190" s="391">
        <f t="shared" si="180"/>
        <v>12676.116959999998</v>
      </c>
      <c r="U190" s="391">
        <f t="shared" si="181"/>
        <v>0</v>
      </c>
      <c r="V190" s="391">
        <f t="shared" si="182"/>
        <v>12676.116959999998</v>
      </c>
      <c r="W190" s="393">
        <f t="shared" si="166"/>
        <v>25.403039999999994</v>
      </c>
      <c r="X190" s="393">
        <f t="shared" si="157"/>
        <v>0</v>
      </c>
      <c r="Y190" s="393">
        <f t="shared" si="183"/>
        <v>25.403039999999994</v>
      </c>
      <c r="Z190" s="412">
        <f>Z176</f>
        <v>0.9</v>
      </c>
      <c r="AA190" s="412">
        <f t="shared" ref="AA190:AA191" si="202">Z190*80%*AE$106/(L190+M190)</f>
        <v>0.56000000000000005</v>
      </c>
      <c r="AB190" s="413">
        <f t="shared" si="158"/>
        <v>0.79800000000000004</v>
      </c>
      <c r="AC190" s="414">
        <f t="shared" si="184"/>
        <v>54975.768119999993</v>
      </c>
      <c r="AD190" s="414">
        <f t="shared" si="185"/>
        <v>10115.541334079999</v>
      </c>
      <c r="AE190" s="415">
        <f t="shared" si="170"/>
        <v>20.271625919999998</v>
      </c>
    </row>
    <row r="191" spans="1:31" ht="12.75">
      <c r="B191" s="394" t="str">
        <f>B31</f>
        <v xml:space="preserve">S&amp;N (auto-disable) </v>
      </c>
      <c r="C191" s="400">
        <v>0.59</v>
      </c>
      <c r="D191" s="401">
        <f t="shared" si="159"/>
        <v>294.40999999999997</v>
      </c>
      <c r="E191" s="383" t="str">
        <f t="shared" si="201"/>
        <v>5 ml / 21Gx</v>
      </c>
      <c r="F191" s="383" t="str">
        <f t="shared" si="201"/>
        <v>Box of 100</v>
      </c>
      <c r="G191" s="403">
        <f t="shared" si="201"/>
        <v>4.25</v>
      </c>
      <c r="H191" s="394">
        <f t="shared" si="201"/>
        <v>100</v>
      </c>
      <c r="I191" s="410">
        <f t="shared" si="173"/>
        <v>4.2500000000000003E-2</v>
      </c>
      <c r="J191" s="394">
        <f>J190</f>
        <v>1</v>
      </c>
      <c r="K191" s="391">
        <v>26</v>
      </c>
      <c r="L191" s="391">
        <f>L190</f>
        <v>9</v>
      </c>
      <c r="M191" s="391">
        <f>M190</f>
        <v>0</v>
      </c>
      <c r="N191" s="391">
        <f t="shared" si="174"/>
        <v>234</v>
      </c>
      <c r="O191" s="391">
        <f t="shared" si="175"/>
        <v>0</v>
      </c>
      <c r="P191" s="391">
        <f t="shared" si="176"/>
        <v>234</v>
      </c>
      <c r="Q191" s="391">
        <f t="shared" si="177"/>
        <v>68891.939999999988</v>
      </c>
      <c r="R191" s="391">
        <f t="shared" si="178"/>
        <v>0</v>
      </c>
      <c r="S191" s="391">
        <f t="shared" si="179"/>
        <v>68891.939999999988</v>
      </c>
      <c r="T191" s="391">
        <f t="shared" si="180"/>
        <v>2927.9074499999997</v>
      </c>
      <c r="U191" s="391">
        <f t="shared" si="181"/>
        <v>0</v>
      </c>
      <c r="V191" s="391">
        <f t="shared" si="182"/>
        <v>2927.9074499999997</v>
      </c>
      <c r="W191" s="393">
        <f t="shared" si="166"/>
        <v>5.8675499999999996</v>
      </c>
      <c r="X191" s="393">
        <f t="shared" si="157"/>
        <v>0</v>
      </c>
      <c r="Y191" s="393">
        <f t="shared" si="183"/>
        <v>5.8675499999999996</v>
      </c>
      <c r="Z191" s="412">
        <f>Z190</f>
        <v>0.9</v>
      </c>
      <c r="AA191" s="412">
        <f t="shared" si="202"/>
        <v>0.56000000000000005</v>
      </c>
      <c r="AB191" s="413">
        <f t="shared" si="158"/>
        <v>0.79800000000000004</v>
      </c>
      <c r="AC191" s="414">
        <f t="shared" si="184"/>
        <v>54975.768119999993</v>
      </c>
      <c r="AD191" s="414">
        <f t="shared" si="185"/>
        <v>2336.4701451000001</v>
      </c>
      <c r="AE191" s="415">
        <f t="shared" si="170"/>
        <v>4.6823049000000001</v>
      </c>
    </row>
    <row r="192" spans="1:31" ht="15.75">
      <c r="A192" s="394"/>
      <c r="B192" s="394"/>
      <c r="C192" s="394"/>
      <c r="D192" s="394"/>
      <c r="E192" s="394"/>
      <c r="F192" s="394"/>
      <c r="G192" s="403"/>
      <c r="H192" s="403"/>
      <c r="I192" s="403"/>
      <c r="J192" s="403"/>
      <c r="K192" s="391"/>
      <c r="L192" s="391"/>
      <c r="M192" s="391"/>
      <c r="N192" s="391"/>
      <c r="O192" s="391"/>
      <c r="P192" s="391"/>
      <c r="Q192" s="391"/>
      <c r="R192" s="391"/>
      <c r="S192" s="391"/>
      <c r="T192" s="391"/>
      <c r="U192" s="391"/>
      <c r="V192" s="395">
        <f>SUM(V176:V191)</f>
        <v>2149167.1182957133</v>
      </c>
      <c r="W192" s="391"/>
      <c r="X192" s="391"/>
      <c r="Y192" s="395">
        <f>SUM(Y176:Y191)</f>
        <v>4306.9481328571428</v>
      </c>
      <c r="Z192" s="416"/>
      <c r="AA192" s="416"/>
      <c r="AB192" s="416"/>
      <c r="AC192" s="416"/>
      <c r="AD192" s="417">
        <f>SUM(AD176:AD191)</f>
        <v>1725274.61634898</v>
      </c>
      <c r="AE192" s="417">
        <f>SUM(AE176:AE191)</f>
        <v>3457.4641610200006</v>
      </c>
    </row>
    <row r="193" spans="1:31" ht="12.75" thickBot="1">
      <c r="B193" s="443" t="s">
        <v>1232</v>
      </c>
      <c r="G193" s="442"/>
      <c r="H193" s="442"/>
      <c r="I193" s="442"/>
      <c r="J193" s="442"/>
    </row>
    <row r="194" spans="1:31" ht="12.75">
      <c r="A194" s="370"/>
      <c r="B194" s="373" t="s">
        <v>1221</v>
      </c>
      <c r="C194" s="1851" t="s">
        <v>1222</v>
      </c>
      <c r="D194" s="1851"/>
      <c r="E194" s="1851"/>
      <c r="G194" s="1851" t="s">
        <v>1223</v>
      </c>
      <c r="H194" s="1851"/>
      <c r="I194" s="1851"/>
      <c r="K194" s="420" t="s">
        <v>1225</v>
      </c>
      <c r="L194" s="421" t="s">
        <v>1222</v>
      </c>
      <c r="M194" s="422" t="s">
        <v>1224</v>
      </c>
      <c r="S194" s="592"/>
      <c r="AC194" s="592"/>
    </row>
    <row r="195" spans="1:31" ht="12.75">
      <c r="A195" s="370"/>
      <c r="B195" s="370"/>
      <c r="C195" s="371" t="s">
        <v>1110</v>
      </c>
      <c r="D195" s="397" t="s">
        <v>4</v>
      </c>
      <c r="E195" s="397" t="s">
        <v>1154</v>
      </c>
      <c r="G195" s="371" t="s">
        <v>1110</v>
      </c>
      <c r="H195" s="397" t="s">
        <v>4</v>
      </c>
      <c r="I195" s="397" t="s">
        <v>1154</v>
      </c>
      <c r="K195" s="423" t="s">
        <v>1155</v>
      </c>
      <c r="L195" s="425">
        <f>E196/E$204</f>
        <v>0.88873089228581581</v>
      </c>
      <c r="M195" s="426">
        <f>I196/I$204</f>
        <v>0.88873089228581581</v>
      </c>
    </row>
    <row r="196" spans="1:31" ht="13.5" thickBot="1">
      <c r="A196" s="372" t="s">
        <v>41</v>
      </c>
      <c r="B196" s="373" t="s">
        <v>1111</v>
      </c>
      <c r="C196" s="374"/>
      <c r="D196" s="374">
        <f>V192</f>
        <v>2149167.1182957133</v>
      </c>
      <c r="E196" s="375">
        <f>Y192</f>
        <v>4306.9481328571428</v>
      </c>
      <c r="G196" s="374"/>
      <c r="H196" s="374">
        <f>AD192</f>
        <v>1725274.61634898</v>
      </c>
      <c r="I196" s="375">
        <f>AE192</f>
        <v>3457.4641610200006</v>
      </c>
      <c r="K196" s="424" t="s">
        <v>1004</v>
      </c>
      <c r="L196" s="427">
        <f>E197/E$204</f>
        <v>0.11126910771418413</v>
      </c>
      <c r="M196" s="428">
        <f>I197/I$204</f>
        <v>0.11126910771418416</v>
      </c>
    </row>
    <row r="197" spans="1:31" ht="12.75">
      <c r="A197" s="372" t="s">
        <v>43</v>
      </c>
      <c r="B197" s="373" t="s">
        <v>1112</v>
      </c>
      <c r="C197" s="373"/>
      <c r="D197" s="374">
        <f>SUM(D198:D203)</f>
        <v>269075.72321062331</v>
      </c>
      <c r="E197" s="375">
        <f>SUM(E198:E203)</f>
        <v>539.22990623371425</v>
      </c>
      <c r="G197" s="373"/>
      <c r="H197" s="374">
        <f>SUM(H198:H203)</f>
        <v>216004.38196689231</v>
      </c>
      <c r="I197" s="375">
        <f>SUM(I198:I203)</f>
        <v>432.87451295970413</v>
      </c>
    </row>
    <row r="198" spans="1:31" ht="12.75">
      <c r="A198" s="376">
        <v>1</v>
      </c>
      <c r="B198" s="377" t="s">
        <v>1113</v>
      </c>
      <c r="C198" s="378">
        <v>4.2000000000000003E-2</v>
      </c>
      <c r="D198" s="399">
        <f>D$196*C198</f>
        <v>90265.018968419972</v>
      </c>
      <c r="E198" s="379">
        <f>E$196*C198</f>
        <v>180.89182158</v>
      </c>
      <c r="G198" s="378">
        <f>C198</f>
        <v>4.2000000000000003E-2</v>
      </c>
      <c r="H198" s="399">
        <f>H$196*G198</f>
        <v>72461.533886657169</v>
      </c>
      <c r="I198" s="379">
        <f>I$196*G198</f>
        <v>145.21349476284004</v>
      </c>
    </row>
    <row r="199" spans="1:31" ht="12.75">
      <c r="A199" s="376">
        <v>2</v>
      </c>
      <c r="B199" s="377" t="s">
        <v>1156</v>
      </c>
      <c r="C199" s="378">
        <v>0.02</v>
      </c>
      <c r="D199" s="399">
        <f t="shared" ref="D199:D203" si="203">D$196*C199</f>
        <v>42983.342365914265</v>
      </c>
      <c r="E199" s="379">
        <f t="shared" ref="E199:E203" si="204">E$196*C199</f>
        <v>86.138962657142855</v>
      </c>
      <c r="G199" s="378">
        <f t="shared" ref="G199:G203" si="205">C199</f>
        <v>0.02</v>
      </c>
      <c r="H199" s="399">
        <f t="shared" ref="H199:H203" si="206">H$196*G199</f>
        <v>34505.492326979598</v>
      </c>
      <c r="I199" s="379">
        <f t="shared" ref="I199:I203" si="207">I$196*G199</f>
        <v>69.149283220400008</v>
      </c>
    </row>
    <row r="200" spans="1:31" ht="12.75">
      <c r="A200" s="376">
        <v>3</v>
      </c>
      <c r="B200" s="377" t="s">
        <v>1114</v>
      </c>
      <c r="C200" s="378">
        <v>1.2E-2</v>
      </c>
      <c r="D200" s="399">
        <f t="shared" si="203"/>
        <v>25790.005419548561</v>
      </c>
      <c r="E200" s="379">
        <f t="shared" si="204"/>
        <v>51.683377594285716</v>
      </c>
      <c r="G200" s="378">
        <f t="shared" si="205"/>
        <v>1.2E-2</v>
      </c>
      <c r="H200" s="399">
        <f t="shared" si="206"/>
        <v>20703.295396187761</v>
      </c>
      <c r="I200" s="379">
        <f t="shared" si="207"/>
        <v>41.489569932240009</v>
      </c>
    </row>
    <row r="201" spans="1:31" ht="12.75">
      <c r="A201" s="376">
        <v>4</v>
      </c>
      <c r="B201" s="377" t="s">
        <v>1157</v>
      </c>
      <c r="C201" s="378">
        <v>1.1999999999999999E-3</v>
      </c>
      <c r="D201" s="399">
        <f t="shared" si="203"/>
        <v>2579.0005419548556</v>
      </c>
      <c r="E201" s="379">
        <f t="shared" si="204"/>
        <v>5.1683377594285709</v>
      </c>
      <c r="G201" s="378">
        <f t="shared" si="205"/>
        <v>1.1999999999999999E-3</v>
      </c>
      <c r="H201" s="399">
        <f t="shared" si="206"/>
        <v>2070.3295396187759</v>
      </c>
      <c r="I201" s="379">
        <f t="shared" si="207"/>
        <v>4.148956993224</v>
      </c>
    </row>
    <row r="202" spans="1:31" ht="12.75">
      <c r="A202" s="376">
        <v>5</v>
      </c>
      <c r="B202" s="377" t="s">
        <v>1115</v>
      </c>
      <c r="C202" s="378">
        <v>0.02</v>
      </c>
      <c r="D202" s="399">
        <f t="shared" si="203"/>
        <v>42983.342365914265</v>
      </c>
      <c r="E202" s="379">
        <f t="shared" si="204"/>
        <v>86.138962657142855</v>
      </c>
      <c r="G202" s="378">
        <f t="shared" si="205"/>
        <v>0.02</v>
      </c>
      <c r="H202" s="399">
        <f t="shared" si="206"/>
        <v>34505.492326979598</v>
      </c>
      <c r="I202" s="379">
        <f t="shared" si="207"/>
        <v>69.149283220400008</v>
      </c>
    </row>
    <row r="203" spans="1:31" ht="12.75">
      <c r="A203" s="376">
        <v>6</v>
      </c>
      <c r="B203" s="377" t="s">
        <v>1116</v>
      </c>
      <c r="C203" s="378">
        <v>0.03</v>
      </c>
      <c r="D203" s="399">
        <f t="shared" si="203"/>
        <v>64475.0135488714</v>
      </c>
      <c r="E203" s="379">
        <f t="shared" si="204"/>
        <v>129.20844398571427</v>
      </c>
      <c r="G203" s="378">
        <f t="shared" si="205"/>
        <v>0.03</v>
      </c>
      <c r="H203" s="399">
        <f t="shared" si="206"/>
        <v>51758.238490469397</v>
      </c>
      <c r="I203" s="379">
        <f t="shared" si="207"/>
        <v>103.72392483060001</v>
      </c>
    </row>
    <row r="204" spans="1:31" ht="13.5" thickBot="1">
      <c r="A204" s="372" t="s">
        <v>45</v>
      </c>
      <c r="B204" s="373" t="s">
        <v>1117</v>
      </c>
      <c r="C204" s="374"/>
      <c r="D204" s="374">
        <f>SUM(D196,D197)</f>
        <v>2418242.8415063368</v>
      </c>
      <c r="E204" s="375">
        <f>SUM(E196,E197)</f>
        <v>4846.1780390908571</v>
      </c>
      <c r="G204" s="374"/>
      <c r="H204" s="374">
        <f>SUM(H196,H197)</f>
        <v>1941278.9983158724</v>
      </c>
      <c r="I204" s="375">
        <f>SUM(I196,I197)</f>
        <v>3890.3386739797047</v>
      </c>
    </row>
    <row r="205" spans="1:31" ht="15.75" thickBot="1">
      <c r="A205" s="429" t="s">
        <v>47</v>
      </c>
      <c r="B205" s="429" t="s">
        <v>1118</v>
      </c>
      <c r="C205" s="430"/>
      <c r="D205" s="430"/>
      <c r="E205" s="432">
        <f>ROUND(E204,-1)</f>
        <v>4850</v>
      </c>
      <c r="F205" s="405"/>
      <c r="G205" s="430"/>
      <c r="H205" s="430"/>
      <c r="I205" s="433">
        <f>ROUND(I204,-1)</f>
        <v>3890</v>
      </c>
    </row>
    <row r="208" spans="1:31" ht="14.45" customHeight="1">
      <c r="A208" s="467" t="s">
        <v>223</v>
      </c>
      <c r="B208" s="465" t="s">
        <v>1860</v>
      </c>
      <c r="C208" s="464"/>
      <c r="D208" s="464"/>
      <c r="E208" s="464"/>
      <c r="F208" s="466"/>
      <c r="G208" s="464"/>
      <c r="H208" s="464"/>
      <c r="I208" s="464"/>
      <c r="J208" s="464"/>
      <c r="K208" s="464"/>
      <c r="L208" s="464"/>
      <c r="M208" s="464"/>
      <c r="N208" s="464"/>
      <c r="O208" s="464"/>
      <c r="P208" s="464"/>
      <c r="Q208" s="464"/>
      <c r="R208" s="464"/>
      <c r="S208" s="464"/>
      <c r="T208" s="464"/>
      <c r="U208" s="464"/>
      <c r="V208" s="464"/>
      <c r="W208" s="464"/>
      <c r="X208" s="464"/>
      <c r="Y208" s="464"/>
      <c r="Z208" s="464"/>
      <c r="AA208" s="464"/>
      <c r="AB208" s="464"/>
      <c r="AC208" s="464"/>
      <c r="AD208" s="464"/>
      <c r="AE208" s="464"/>
    </row>
    <row r="210" spans="1:12" s="370" customFormat="1" ht="25.9" customHeight="1">
      <c r="A210" s="1861"/>
      <c r="B210" s="1859" t="s">
        <v>1234</v>
      </c>
      <c r="C210" s="1867" t="s">
        <v>1122</v>
      </c>
      <c r="D210" s="1865" t="s">
        <v>1222</v>
      </c>
      <c r="E210" s="1866"/>
      <c r="F210" s="1865" t="s">
        <v>1223</v>
      </c>
      <c r="G210" s="1866"/>
      <c r="H210" s="1863" t="s">
        <v>1238</v>
      </c>
      <c r="I210" s="1863" t="s">
        <v>1121</v>
      </c>
      <c r="J210" s="1863" t="s">
        <v>1241</v>
      </c>
      <c r="K210" s="1863" t="s">
        <v>1242</v>
      </c>
    </row>
    <row r="211" spans="1:12" s="370" customFormat="1" ht="12.75">
      <c r="A211" s="1862"/>
      <c r="B211" s="1860"/>
      <c r="C211" s="1868"/>
      <c r="D211" s="451" t="s">
        <v>4</v>
      </c>
      <c r="E211" s="452" t="s">
        <v>1237</v>
      </c>
      <c r="F211" s="451" t="s">
        <v>4</v>
      </c>
      <c r="G211" s="452" t="s">
        <v>1237</v>
      </c>
      <c r="H211" s="1864"/>
      <c r="I211" s="1864"/>
      <c r="J211" s="1864"/>
      <c r="K211" s="1864"/>
    </row>
    <row r="212" spans="1:12" s="370" customFormat="1" ht="12.75">
      <c r="A212" s="444">
        <v>1</v>
      </c>
      <c r="B212" s="446" t="s">
        <v>274</v>
      </c>
      <c r="C212" s="449">
        <f>C36</f>
        <v>8734</v>
      </c>
      <c r="D212" s="449">
        <f>D57</f>
        <v>347965.70307546674</v>
      </c>
      <c r="E212" s="448">
        <f>E58</f>
        <v>39.799999999999997</v>
      </c>
      <c r="F212" s="449">
        <f>H57</f>
        <v>310733.37284639181</v>
      </c>
      <c r="G212" s="448">
        <f>I58</f>
        <v>35.6</v>
      </c>
      <c r="H212" s="453">
        <f t="shared" ref="H212" si="208">G212/E212</f>
        <v>0.89447236180904532</v>
      </c>
      <c r="I212" s="453">
        <f>C212/C$217</f>
        <v>0.8250519554128094</v>
      </c>
      <c r="J212" s="453">
        <f>D212/D$217</f>
        <v>6.5672660951083359E-2</v>
      </c>
      <c r="K212" s="453">
        <f>F212/F$217</f>
        <v>7.3867638917769193E-2</v>
      </c>
      <c r="L212" s="463"/>
    </row>
    <row r="213" spans="1:12" s="370" customFormat="1" ht="12.75">
      <c r="A213" s="459">
        <v>2</v>
      </c>
      <c r="B213" s="460" t="s">
        <v>1169</v>
      </c>
      <c r="C213" s="461">
        <f>C62</f>
        <v>347</v>
      </c>
      <c r="D213" s="461">
        <f>D92</f>
        <v>121918.94831698401</v>
      </c>
      <c r="E213" s="461">
        <f>E93</f>
        <v>351</v>
      </c>
      <c r="F213" s="461">
        <f>H92</f>
        <v>100164.31863502774</v>
      </c>
      <c r="G213" s="461">
        <f>I93</f>
        <v>289</v>
      </c>
      <c r="H213" s="462">
        <f t="shared" ref="H213" si="209">G213/E213</f>
        <v>0.8233618233618234</v>
      </c>
      <c r="I213" s="453">
        <f t="shared" ref="I213:I218" si="210">C213/C$217</f>
        <v>3.2779142263366708E-2</v>
      </c>
      <c r="J213" s="453">
        <f t="shared" ref="J213:J218" si="211">D213/D$217</f>
        <v>2.3010146360882715E-2</v>
      </c>
      <c r="K213" s="453">
        <f t="shared" ref="K213:K218" si="212">F213/F$217</f>
        <v>2.3811094552223033E-2</v>
      </c>
      <c r="L213" s="463"/>
    </row>
    <row r="214" spans="1:12" s="370" customFormat="1" ht="12.75">
      <c r="A214" s="444">
        <v>3</v>
      </c>
      <c r="B214" s="445" t="s">
        <v>1235</v>
      </c>
      <c r="C214" s="449">
        <f>C105</f>
        <v>905</v>
      </c>
      <c r="D214" s="449">
        <f>D134</f>
        <v>2272465.470070838</v>
      </c>
      <c r="E214" s="449">
        <f>E135</f>
        <v>2510</v>
      </c>
      <c r="F214" s="449">
        <f>H134</f>
        <v>1732419.2671428984</v>
      </c>
      <c r="G214" s="449">
        <f>I135</f>
        <v>1910</v>
      </c>
      <c r="H214" s="453">
        <f>G214/E214</f>
        <v>0.76095617529880477</v>
      </c>
      <c r="I214" s="453">
        <f t="shared" si="210"/>
        <v>8.5490270168146615E-2</v>
      </c>
      <c r="J214" s="453">
        <f t="shared" si="211"/>
        <v>0.42888955152755248</v>
      </c>
      <c r="K214" s="453">
        <f t="shared" si="212"/>
        <v>0.4118312742119225</v>
      </c>
      <c r="L214" s="463"/>
    </row>
    <row r="215" spans="1:12" s="370" customFormat="1" ht="12.75">
      <c r="A215" s="444">
        <v>4</v>
      </c>
      <c r="B215" s="445" t="s">
        <v>1236</v>
      </c>
      <c r="C215" s="449">
        <f>C140</f>
        <v>101</v>
      </c>
      <c r="D215" s="449">
        <f>D166</f>
        <v>137893.47013913715</v>
      </c>
      <c r="E215" s="449">
        <f>E167</f>
        <v>1370</v>
      </c>
      <c r="F215" s="449">
        <f>H166</f>
        <v>122027.90973444273</v>
      </c>
      <c r="G215" s="449">
        <f>I167</f>
        <v>1210</v>
      </c>
      <c r="H215" s="453">
        <f t="shared" ref="H215:H218" si="213">G215/E215</f>
        <v>0.88321167883211682</v>
      </c>
      <c r="I215" s="453">
        <f t="shared" si="210"/>
        <v>9.5409030795390141E-3</v>
      </c>
      <c r="J215" s="453">
        <f t="shared" si="211"/>
        <v>2.60250680793442E-2</v>
      </c>
      <c r="K215" s="453">
        <f t="shared" si="212"/>
        <v>2.9008514571783356E-2</v>
      </c>
      <c r="L215" s="463"/>
    </row>
    <row r="216" spans="1:12" s="370" customFormat="1" ht="12.75">
      <c r="A216" s="444">
        <v>5</v>
      </c>
      <c r="B216" s="446" t="s">
        <v>1233</v>
      </c>
      <c r="C216" s="449">
        <f>C172</f>
        <v>499</v>
      </c>
      <c r="D216" s="449">
        <f>D204</f>
        <v>2418242.8415063368</v>
      </c>
      <c r="E216" s="449">
        <f>E205</f>
        <v>4850</v>
      </c>
      <c r="F216" s="449">
        <f>H204</f>
        <v>1941278.9983158724</v>
      </c>
      <c r="G216" s="449">
        <f>I205</f>
        <v>3890</v>
      </c>
      <c r="H216" s="453">
        <f t="shared" si="213"/>
        <v>0.80206185567010313</v>
      </c>
      <c r="I216" s="453">
        <f t="shared" si="210"/>
        <v>4.7137729076138293E-2</v>
      </c>
      <c r="J216" s="453">
        <f t="shared" si="211"/>
        <v>0.45640257308113741</v>
      </c>
      <c r="K216" s="453">
        <f t="shared" si="212"/>
        <v>0.46148147774630199</v>
      </c>
      <c r="L216" s="463"/>
    </row>
    <row r="217" spans="1:12" s="370" customFormat="1" ht="12.75">
      <c r="A217" s="447"/>
      <c r="B217" s="447" t="s">
        <v>13</v>
      </c>
      <c r="C217" s="450">
        <f>SUM(C212:C216)</f>
        <v>10586</v>
      </c>
      <c r="D217" s="450">
        <f>SUM(D212:D216)</f>
        <v>5298486.4331087619</v>
      </c>
      <c r="E217" s="450">
        <f>ROUND(D217/$C217,-1)</f>
        <v>500</v>
      </c>
      <c r="F217" s="450">
        <f>SUM(F212:F216)</f>
        <v>4206623.8666746328</v>
      </c>
      <c r="G217" s="450">
        <f>ROUND(F217/$C217,-1)</f>
        <v>400</v>
      </c>
      <c r="H217" s="454">
        <f t="shared" si="213"/>
        <v>0.8</v>
      </c>
      <c r="I217" s="454">
        <f t="shared" si="210"/>
        <v>1</v>
      </c>
      <c r="J217" s="454">
        <f t="shared" si="211"/>
        <v>1</v>
      </c>
      <c r="K217" s="454">
        <f t="shared" si="212"/>
        <v>1</v>
      </c>
      <c r="L217" s="463"/>
    </row>
    <row r="218" spans="1:12" s="370" customFormat="1" ht="12.75">
      <c r="A218" s="444">
        <v>6</v>
      </c>
      <c r="B218" s="446" t="s">
        <v>1239</v>
      </c>
      <c r="C218" s="449">
        <f>SUM(C214:C216)</f>
        <v>1505</v>
      </c>
      <c r="D218" s="449">
        <f>SUM(D214:D216)</f>
        <v>4828601.7817163114</v>
      </c>
      <c r="E218" s="449">
        <f>ROUND(D218/$C218,-1)</f>
        <v>3210</v>
      </c>
      <c r="F218" s="449">
        <f>SUM(F214:F216)</f>
        <v>3795726.1751932139</v>
      </c>
      <c r="G218" s="449">
        <f>ROUND(F218/$C218,-1)</f>
        <v>2520</v>
      </c>
      <c r="H218" s="453">
        <f t="shared" si="213"/>
        <v>0.78504672897196259</v>
      </c>
      <c r="I218" s="453">
        <f t="shared" si="210"/>
        <v>0.14216890232382393</v>
      </c>
      <c r="J218" s="453">
        <f t="shared" si="211"/>
        <v>0.91131719268803402</v>
      </c>
      <c r="K218" s="453">
        <f t="shared" si="212"/>
        <v>0.90232126653000788</v>
      </c>
      <c r="L218" s="463"/>
    </row>
    <row r="220" spans="1:12">
      <c r="B220" s="380" t="s">
        <v>1119</v>
      </c>
    </row>
    <row r="221" spans="1:12">
      <c r="B221" s="405" t="s">
        <v>2070</v>
      </c>
    </row>
    <row r="222" spans="1:12">
      <c r="B222" s="366" t="s">
        <v>1245</v>
      </c>
    </row>
    <row r="223" spans="1:12">
      <c r="B223" s="366" t="s">
        <v>2071</v>
      </c>
    </row>
  </sheetData>
  <mergeCells count="130">
    <mergeCell ref="K210:K211"/>
    <mergeCell ref="C47:E47"/>
    <mergeCell ref="G47:I47"/>
    <mergeCell ref="C82:E82"/>
    <mergeCell ref="I210:I211"/>
    <mergeCell ref="J210:J211"/>
    <mergeCell ref="AD64:AD65"/>
    <mergeCell ref="AE64:AE65"/>
    <mergeCell ref="Z38:AB38"/>
    <mergeCell ref="AC38:AC39"/>
    <mergeCell ref="AD38:AD39"/>
    <mergeCell ref="AE38:AE39"/>
    <mergeCell ref="Q64:S64"/>
    <mergeCell ref="T64:V64"/>
    <mergeCell ref="W64:Y64"/>
    <mergeCell ref="Z64:AB64"/>
    <mergeCell ref="AC64:AC65"/>
    <mergeCell ref="J64:J65"/>
    <mergeCell ref="K64:K65"/>
    <mergeCell ref="L64:M64"/>
    <mergeCell ref="H210:H211"/>
    <mergeCell ref="F210:G210"/>
    <mergeCell ref="D210:E210"/>
    <mergeCell ref="C210:C211"/>
    <mergeCell ref="B210:B211"/>
    <mergeCell ref="A210:A211"/>
    <mergeCell ref="Z174:AB174"/>
    <mergeCell ref="AC174:AC175"/>
    <mergeCell ref="AD174:AD175"/>
    <mergeCell ref="AE174:AE175"/>
    <mergeCell ref="C194:E194"/>
    <mergeCell ref="G194:I194"/>
    <mergeCell ref="B38:B39"/>
    <mergeCell ref="C38:C39"/>
    <mergeCell ref="D38:D39"/>
    <mergeCell ref="E38:E39"/>
    <mergeCell ref="F38:F39"/>
    <mergeCell ref="Q38:S38"/>
    <mergeCell ref="T38:V38"/>
    <mergeCell ref="W38:Y38"/>
    <mergeCell ref="A107:A108"/>
    <mergeCell ref="B107:B108"/>
    <mergeCell ref="C107:C108"/>
    <mergeCell ref="D107:D108"/>
    <mergeCell ref="E107:E108"/>
    <mergeCell ref="F107:F108"/>
    <mergeCell ref="G38:G39"/>
    <mergeCell ref="H38:H39"/>
    <mergeCell ref="F7:F8"/>
    <mergeCell ref="G107:G108"/>
    <mergeCell ref="H107:H108"/>
    <mergeCell ref="I107:I108"/>
    <mergeCell ref="J107:J108"/>
    <mergeCell ref="G82:I82"/>
    <mergeCell ref="A7:A8"/>
    <mergeCell ref="B7:B8"/>
    <mergeCell ref="C7:C8"/>
    <mergeCell ref="D7:D8"/>
    <mergeCell ref="E7:E8"/>
    <mergeCell ref="G7:G8"/>
    <mergeCell ref="H7:H8"/>
    <mergeCell ref="I7:I8"/>
    <mergeCell ref="J7:J8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N38:P38"/>
    <mergeCell ref="N64:P64"/>
    <mergeCell ref="A174:A175"/>
    <mergeCell ref="B174:B175"/>
    <mergeCell ref="C174:C175"/>
    <mergeCell ref="D174:D175"/>
    <mergeCell ref="E174:E175"/>
    <mergeCell ref="N174:P174"/>
    <mergeCell ref="I38:I39"/>
    <mergeCell ref="J38:J39"/>
    <mergeCell ref="K38:K39"/>
    <mergeCell ref="L38:M38"/>
    <mergeCell ref="A38:A39"/>
    <mergeCell ref="AD142:AD143"/>
    <mergeCell ref="Q174:S174"/>
    <mergeCell ref="T174:V174"/>
    <mergeCell ref="W174:Y174"/>
    <mergeCell ref="B95:E95"/>
    <mergeCell ref="F142:F143"/>
    <mergeCell ref="G142:G143"/>
    <mergeCell ref="H142:H143"/>
    <mergeCell ref="I142:I143"/>
    <mergeCell ref="G174:G175"/>
    <mergeCell ref="H174:H175"/>
    <mergeCell ref="I174:I175"/>
    <mergeCell ref="J174:J175"/>
    <mergeCell ref="K174:K175"/>
    <mergeCell ref="L174:M174"/>
    <mergeCell ref="F174:F175"/>
    <mergeCell ref="C156:E156"/>
    <mergeCell ref="G156:I156"/>
    <mergeCell ref="N107:P107"/>
    <mergeCell ref="K107:K108"/>
    <mergeCell ref="L107:M107"/>
    <mergeCell ref="AE142:AE143"/>
    <mergeCell ref="AE107:AE108"/>
    <mergeCell ref="C124:E124"/>
    <mergeCell ref="G124:I124"/>
    <mergeCell ref="A142:A143"/>
    <mergeCell ref="B142:B143"/>
    <mergeCell ref="C142:C143"/>
    <mergeCell ref="D142:D143"/>
    <mergeCell ref="E142:E143"/>
    <mergeCell ref="Z107:AB107"/>
    <mergeCell ref="Q107:S107"/>
    <mergeCell ref="T107:V107"/>
    <mergeCell ref="W107:Y107"/>
    <mergeCell ref="N142:P142"/>
    <mergeCell ref="Q142:S142"/>
    <mergeCell ref="T142:V142"/>
    <mergeCell ref="AC107:AC108"/>
    <mergeCell ref="AD107:AD108"/>
    <mergeCell ref="J142:J143"/>
    <mergeCell ref="K142:K143"/>
    <mergeCell ref="L142:M142"/>
    <mergeCell ref="W142:Y142"/>
    <mergeCell ref="Z142:AB142"/>
    <mergeCell ref="AC142:AC14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showGridLines="0" workbookViewId="0">
      <selection activeCell="O2" sqref="O2:O25"/>
    </sheetView>
  </sheetViews>
  <sheetFormatPr defaultRowHeight="15"/>
  <cols>
    <col min="1" max="1" width="30.85546875" style="1459" bestFit="1" customWidth="1"/>
    <col min="2" max="2" width="36.5703125" style="1459" hidden="1" customWidth="1"/>
    <col min="3" max="3" width="30.7109375" style="1459" bestFit="1" customWidth="1"/>
    <col min="4" max="4" width="32.5703125" style="1459" bestFit="1" customWidth="1"/>
    <col min="5" max="5" width="10.7109375" style="1459" bestFit="1" customWidth="1"/>
    <col min="6" max="6" width="11.28515625" style="1459" bestFit="1" customWidth="1"/>
    <col min="7" max="8" width="0" style="1459" hidden="1" customWidth="1"/>
    <col min="9" max="9" width="5.28515625" style="1459" customWidth="1"/>
    <col min="10" max="10" width="18.5703125" style="1459" customWidth="1"/>
    <col min="11" max="11" width="11" style="1459" hidden="1" customWidth="1"/>
    <col min="12" max="12" width="12.5703125" style="1459" hidden="1" customWidth="1"/>
    <col min="13" max="13" width="18.140625" style="1459" customWidth="1"/>
    <col min="14" max="14" width="22.140625" style="1459" customWidth="1"/>
    <col min="15" max="15" width="8.85546875" style="1459" customWidth="1"/>
    <col min="16" max="16" width="12.28515625" style="1459" customWidth="1"/>
    <col min="17" max="17" width="10.28515625" style="1459" customWidth="1"/>
    <col min="18" max="18" width="11" style="1459" customWidth="1"/>
    <col min="19" max="16384" width="9.140625" style="1459"/>
  </cols>
  <sheetData>
    <row r="1" spans="1:18" s="1455" customFormat="1">
      <c r="A1" s="1452" t="s">
        <v>1937</v>
      </c>
      <c r="B1" s="1452" t="s">
        <v>1938</v>
      </c>
      <c r="C1" s="1453" t="s">
        <v>1939</v>
      </c>
      <c r="D1" s="1453" t="s">
        <v>1940</v>
      </c>
      <c r="E1" s="1454" t="s">
        <v>1941</v>
      </c>
      <c r="F1" s="1454" t="s">
        <v>1942</v>
      </c>
    </row>
    <row r="2" spans="1:18" ht="26.25">
      <c r="A2" s="1456" t="s">
        <v>1943</v>
      </c>
      <c r="B2" s="1456" t="s">
        <v>1944</v>
      </c>
      <c r="C2" s="1457">
        <v>0</v>
      </c>
      <c r="D2" s="1457">
        <v>1</v>
      </c>
      <c r="E2" s="1458">
        <v>21.5</v>
      </c>
      <c r="F2" s="1458">
        <v>22.91</v>
      </c>
      <c r="I2" s="1852" t="s">
        <v>243</v>
      </c>
      <c r="J2" s="1852" t="s">
        <v>1120</v>
      </c>
      <c r="K2" s="1852"/>
      <c r="L2" s="1852"/>
      <c r="M2" s="1852" t="s">
        <v>1123</v>
      </c>
      <c r="N2" s="1852" t="s">
        <v>1124</v>
      </c>
      <c r="O2" s="1869" t="s">
        <v>1182</v>
      </c>
      <c r="P2" s="1852" t="s">
        <v>1126</v>
      </c>
      <c r="Q2" s="1852" t="s">
        <v>1183</v>
      </c>
      <c r="R2" s="1852" t="s">
        <v>1193</v>
      </c>
    </row>
    <row r="3" spans="1:18" ht="26.25">
      <c r="A3" s="1456" t="s">
        <v>1945</v>
      </c>
      <c r="B3" s="1456" t="s">
        <v>1946</v>
      </c>
      <c r="C3" s="1457">
        <v>28</v>
      </c>
      <c r="D3" s="1457">
        <v>672</v>
      </c>
      <c r="E3" s="1458">
        <v>40.06</v>
      </c>
      <c r="F3" s="1458">
        <v>45.92</v>
      </c>
      <c r="I3" s="1853"/>
      <c r="J3" s="1853"/>
      <c r="K3" s="1853"/>
      <c r="L3" s="1853"/>
      <c r="M3" s="1853"/>
      <c r="N3" s="1853"/>
      <c r="O3" s="1870"/>
      <c r="P3" s="1853"/>
      <c r="Q3" s="1853"/>
      <c r="R3" s="1853"/>
    </row>
    <row r="4" spans="1:18" ht="26.25">
      <c r="A4" s="1456" t="s">
        <v>1947</v>
      </c>
      <c r="B4" s="1456" t="s">
        <v>1948</v>
      </c>
      <c r="C4" s="1457">
        <v>28</v>
      </c>
      <c r="D4" s="1457">
        <v>672</v>
      </c>
      <c r="E4" s="1458">
        <v>33</v>
      </c>
      <c r="F4" s="1458">
        <v>36.97</v>
      </c>
      <c r="I4" s="383">
        <v>1</v>
      </c>
      <c r="J4" s="394" t="s">
        <v>1186</v>
      </c>
      <c r="K4" s="400"/>
      <c r="L4" s="401"/>
      <c r="M4" s="383" t="s">
        <v>1172</v>
      </c>
      <c r="N4" s="402" t="s">
        <v>1173</v>
      </c>
      <c r="O4" s="1460">
        <f>F3</f>
        <v>45.92</v>
      </c>
      <c r="P4" s="401">
        <v>672</v>
      </c>
      <c r="Q4" s="404">
        <f t="shared" ref="Q4:Q9" si="0">O4/P4</f>
        <v>6.8333333333333329E-2</v>
      </c>
      <c r="R4" s="392">
        <v>4</v>
      </c>
    </row>
    <row r="5" spans="1:18" ht="26.25">
      <c r="A5" s="1456" t="s">
        <v>1949</v>
      </c>
      <c r="B5" s="1456" t="s">
        <v>1950</v>
      </c>
      <c r="C5" s="1457">
        <v>28</v>
      </c>
      <c r="D5" s="1457">
        <v>672</v>
      </c>
      <c r="E5" s="1458">
        <v>19.78</v>
      </c>
      <c r="F5" s="1458">
        <v>22.01</v>
      </c>
      <c r="I5" s="383">
        <v>2</v>
      </c>
      <c r="J5" s="394" t="s">
        <v>1187</v>
      </c>
      <c r="K5" s="400"/>
      <c r="L5" s="401"/>
      <c r="M5" s="383" t="s">
        <v>1174</v>
      </c>
      <c r="N5" s="402" t="s">
        <v>1173</v>
      </c>
      <c r="O5" s="1460">
        <f>F5</f>
        <v>22.01</v>
      </c>
      <c r="P5" s="401">
        <v>672</v>
      </c>
      <c r="Q5" s="404">
        <f t="shared" si="0"/>
        <v>3.2752976190476193E-2</v>
      </c>
      <c r="R5" s="392">
        <v>4</v>
      </c>
    </row>
    <row r="6" spans="1:18">
      <c r="A6" s="1456" t="s">
        <v>1951</v>
      </c>
      <c r="B6" s="1456" t="s">
        <v>1952</v>
      </c>
      <c r="C6" s="1457">
        <v>28</v>
      </c>
      <c r="D6" s="1457">
        <v>672</v>
      </c>
      <c r="E6" s="1458">
        <v>19.5</v>
      </c>
      <c r="F6" s="1458">
        <v>24.1</v>
      </c>
      <c r="I6" s="383">
        <v>3</v>
      </c>
      <c r="J6" s="394" t="s">
        <v>1152</v>
      </c>
      <c r="K6" s="400"/>
      <c r="L6" s="401"/>
      <c r="M6" s="383" t="s">
        <v>1153</v>
      </c>
      <c r="N6" s="402" t="s">
        <v>1173</v>
      </c>
      <c r="O6" s="1460">
        <f>F6</f>
        <v>24.1</v>
      </c>
      <c r="P6" s="401">
        <v>672</v>
      </c>
      <c r="Q6" s="404">
        <f>O6/P6</f>
        <v>3.5863095238095243E-2</v>
      </c>
      <c r="R6" s="392">
        <v>3</v>
      </c>
    </row>
    <row r="7" spans="1:18">
      <c r="A7" s="1456" t="s">
        <v>1953</v>
      </c>
      <c r="B7" s="1456" t="s">
        <v>1954</v>
      </c>
      <c r="C7" s="1457">
        <v>28</v>
      </c>
      <c r="D7" s="1457">
        <v>672</v>
      </c>
      <c r="E7" s="1458">
        <v>12.91</v>
      </c>
      <c r="F7" s="1458">
        <v>13.52</v>
      </c>
      <c r="I7" s="383">
        <v>4</v>
      </c>
      <c r="J7" s="394" t="s">
        <v>1149</v>
      </c>
      <c r="K7" s="400"/>
      <c r="L7" s="401"/>
      <c r="M7" s="383" t="s">
        <v>1153</v>
      </c>
      <c r="N7" s="402" t="s">
        <v>1173</v>
      </c>
      <c r="O7" s="1460">
        <f>F8</f>
        <v>14</v>
      </c>
      <c r="P7" s="401">
        <v>672</v>
      </c>
      <c r="Q7" s="404">
        <f t="shared" si="0"/>
        <v>2.0833333333333332E-2</v>
      </c>
      <c r="R7" s="392">
        <v>4</v>
      </c>
    </row>
    <row r="8" spans="1:18">
      <c r="A8" s="1456" t="s">
        <v>1955</v>
      </c>
      <c r="B8" s="1456" t="s">
        <v>1956</v>
      </c>
      <c r="C8" s="1457">
        <v>28</v>
      </c>
      <c r="D8" s="1457">
        <v>672</v>
      </c>
      <c r="E8" s="1458">
        <v>13.94</v>
      </c>
      <c r="F8" s="1458">
        <v>14</v>
      </c>
      <c r="I8" s="383">
        <v>5</v>
      </c>
      <c r="J8" s="394" t="s">
        <v>1175</v>
      </c>
      <c r="K8" s="400"/>
      <c r="L8" s="401"/>
      <c r="M8" s="383" t="s">
        <v>1138</v>
      </c>
      <c r="N8" s="402" t="s">
        <v>1142</v>
      </c>
      <c r="O8" s="1460">
        <f>F25</f>
        <v>64</v>
      </c>
      <c r="P8" s="401">
        <v>672</v>
      </c>
      <c r="Q8" s="404">
        <f t="shared" si="0"/>
        <v>9.5238095238095233E-2</v>
      </c>
      <c r="R8" s="392">
        <v>1</v>
      </c>
    </row>
    <row r="9" spans="1:18" ht="26.25">
      <c r="A9" s="1456" t="s">
        <v>1957</v>
      </c>
      <c r="B9" s="1456" t="s">
        <v>1958</v>
      </c>
      <c r="C9" s="1457">
        <v>1</v>
      </c>
      <c r="D9" s="1457">
        <v>100</v>
      </c>
      <c r="E9" s="1458">
        <v>4.25</v>
      </c>
      <c r="F9" s="1458">
        <v>5</v>
      </c>
      <c r="I9" s="383">
        <v>6</v>
      </c>
      <c r="J9" s="384" t="s">
        <v>1184</v>
      </c>
      <c r="K9" s="385"/>
      <c r="L9" s="386"/>
      <c r="M9" s="387" t="s">
        <v>1138</v>
      </c>
      <c r="N9" s="388" t="s">
        <v>1188</v>
      </c>
      <c r="O9" s="1460">
        <f>F11</f>
        <v>46</v>
      </c>
      <c r="P9" s="386">
        <v>50</v>
      </c>
      <c r="Q9" s="390">
        <f t="shared" si="0"/>
        <v>0.92</v>
      </c>
      <c r="R9" s="392">
        <v>1</v>
      </c>
    </row>
    <row r="10" spans="1:18">
      <c r="A10" s="1456" t="s">
        <v>1959</v>
      </c>
      <c r="B10" s="1456" t="s">
        <v>1960</v>
      </c>
      <c r="C10" s="1457">
        <v>1</v>
      </c>
      <c r="D10" s="1457">
        <v>30</v>
      </c>
      <c r="E10" s="1458">
        <v>40</v>
      </c>
      <c r="F10" s="1458">
        <v>40</v>
      </c>
      <c r="I10" s="383">
        <v>7</v>
      </c>
      <c r="J10" s="384" t="s">
        <v>1137</v>
      </c>
      <c r="K10" s="385"/>
      <c r="L10" s="386"/>
      <c r="M10" s="387" t="s">
        <v>1138</v>
      </c>
      <c r="N10" s="388" t="s">
        <v>1139</v>
      </c>
      <c r="O10" s="1460">
        <f>F13</f>
        <v>3.85</v>
      </c>
      <c r="P10" s="386">
        <v>1</v>
      </c>
      <c r="Q10" s="390">
        <f>O10/P10</f>
        <v>3.85</v>
      </c>
      <c r="R10" s="392">
        <v>1</v>
      </c>
    </row>
    <row r="11" spans="1:18">
      <c r="A11" s="1456" t="s">
        <v>1961</v>
      </c>
      <c r="B11" s="1456" t="s">
        <v>1962</v>
      </c>
      <c r="C11" s="1457">
        <v>0</v>
      </c>
      <c r="D11" s="1457">
        <v>50</v>
      </c>
      <c r="E11" s="1458">
        <v>34</v>
      </c>
      <c r="F11" s="1458">
        <v>46</v>
      </c>
      <c r="I11" s="383">
        <v>8</v>
      </c>
      <c r="J11" s="384" t="s">
        <v>1140</v>
      </c>
      <c r="K11" s="385"/>
      <c r="L11" s="386"/>
      <c r="M11" s="387" t="s">
        <v>1141</v>
      </c>
      <c r="N11" s="388" t="s">
        <v>1139</v>
      </c>
      <c r="O11" s="1460">
        <f>F30</f>
        <v>7.05</v>
      </c>
      <c r="P11" s="386">
        <v>1</v>
      </c>
      <c r="Q11" s="390">
        <f t="shared" ref="Q11:Q18" si="1">O11/P11</f>
        <v>7.05</v>
      </c>
      <c r="R11" s="392">
        <v>2</v>
      </c>
    </row>
    <row r="12" spans="1:18">
      <c r="A12" s="1456" t="s">
        <v>1963</v>
      </c>
      <c r="B12" s="1456" t="s">
        <v>1964</v>
      </c>
      <c r="C12" s="1457">
        <v>10</v>
      </c>
      <c r="D12" s="1457">
        <v>100</v>
      </c>
      <c r="E12" s="1458">
        <v>19.25</v>
      </c>
      <c r="F12" s="1458">
        <v>26.8</v>
      </c>
      <c r="I12" s="383">
        <v>9</v>
      </c>
      <c r="J12" s="384" t="s">
        <v>1143</v>
      </c>
      <c r="K12" s="385"/>
      <c r="L12" s="386"/>
      <c r="M12" s="387" t="s">
        <v>1144</v>
      </c>
      <c r="N12" s="388" t="s">
        <v>1189</v>
      </c>
      <c r="O12" s="1460">
        <f>F16</f>
        <v>3.78</v>
      </c>
      <c r="P12" s="386">
        <v>100</v>
      </c>
      <c r="Q12" s="390">
        <f t="shared" si="1"/>
        <v>3.78E-2</v>
      </c>
      <c r="R12" s="392">
        <v>4</v>
      </c>
    </row>
    <row r="13" spans="1:18">
      <c r="A13" s="1456" t="s">
        <v>1965</v>
      </c>
      <c r="B13" s="1456" t="s">
        <v>1966</v>
      </c>
      <c r="C13" s="1457">
        <v>1</v>
      </c>
      <c r="D13" s="1457">
        <v>1</v>
      </c>
      <c r="E13" s="1458">
        <v>3.31</v>
      </c>
      <c r="F13" s="1458">
        <v>3.85</v>
      </c>
      <c r="I13" s="383">
        <v>10</v>
      </c>
      <c r="J13" s="394" t="s">
        <v>1161</v>
      </c>
      <c r="K13" s="400"/>
      <c r="L13" s="401"/>
      <c r="M13" s="383" t="s">
        <v>1153</v>
      </c>
      <c r="N13" s="388" t="s">
        <v>1189</v>
      </c>
      <c r="O13" s="1460">
        <f>F37</f>
        <v>29</v>
      </c>
      <c r="P13" s="401">
        <v>100</v>
      </c>
      <c r="Q13" s="404">
        <f>O13/P13</f>
        <v>0.28999999999999998</v>
      </c>
      <c r="R13" s="392">
        <v>1</v>
      </c>
    </row>
    <row r="14" spans="1:18" ht="26.25">
      <c r="A14" s="1456" t="s">
        <v>1967</v>
      </c>
      <c r="B14" s="1456" t="s">
        <v>1968</v>
      </c>
      <c r="C14" s="1457">
        <v>100</v>
      </c>
      <c r="D14" s="1457">
        <v>100</v>
      </c>
      <c r="E14" s="1458">
        <v>9.1999999999999993</v>
      </c>
      <c r="F14" s="1458">
        <v>9.1999999999999993</v>
      </c>
      <c r="I14" s="383">
        <v>11</v>
      </c>
      <c r="J14" s="384" t="s">
        <v>1146</v>
      </c>
      <c r="K14" s="385"/>
      <c r="L14" s="386"/>
      <c r="M14" s="387" t="s">
        <v>1144</v>
      </c>
      <c r="N14" s="388" t="s">
        <v>1145</v>
      </c>
      <c r="O14" s="1460">
        <v>8.1999999999999993</v>
      </c>
      <c r="P14" s="386">
        <v>100</v>
      </c>
      <c r="Q14" s="390">
        <f t="shared" si="1"/>
        <v>8.199999999999999E-2</v>
      </c>
      <c r="R14" s="392">
        <v>3</v>
      </c>
    </row>
    <row r="15" spans="1:18">
      <c r="A15" s="1456" t="s">
        <v>1969</v>
      </c>
      <c r="B15" s="1456" t="s">
        <v>1954</v>
      </c>
      <c r="C15" s="1457">
        <v>10</v>
      </c>
      <c r="D15" s="1457">
        <v>100</v>
      </c>
      <c r="E15" s="1458">
        <v>1.0900000000000001</v>
      </c>
      <c r="F15" s="1458">
        <v>1.29</v>
      </c>
      <c r="I15" s="383">
        <v>12</v>
      </c>
      <c r="J15" s="384" t="s">
        <v>1147</v>
      </c>
      <c r="K15" s="385"/>
      <c r="L15" s="386"/>
      <c r="M15" s="387" t="s">
        <v>1144</v>
      </c>
      <c r="N15" s="388" t="s">
        <v>1148</v>
      </c>
      <c r="O15" s="1460">
        <f>F63</f>
        <v>42.5</v>
      </c>
      <c r="P15" s="386">
        <v>100</v>
      </c>
      <c r="Q15" s="390">
        <f t="shared" si="1"/>
        <v>0.42499999999999999</v>
      </c>
      <c r="R15" s="392">
        <v>3</v>
      </c>
    </row>
    <row r="16" spans="1:18" ht="26.25">
      <c r="A16" s="1456" t="s">
        <v>1970</v>
      </c>
      <c r="B16" s="1456" t="s">
        <v>1971</v>
      </c>
      <c r="C16" s="1457">
        <v>10</v>
      </c>
      <c r="D16" s="1457">
        <v>100</v>
      </c>
      <c r="E16" s="1458">
        <v>2.71</v>
      </c>
      <c r="F16" s="1458">
        <v>3.78</v>
      </c>
      <c r="I16" s="383">
        <v>13</v>
      </c>
      <c r="J16" s="394" t="s">
        <v>1158</v>
      </c>
      <c r="K16" s="400"/>
      <c r="L16" s="401"/>
      <c r="M16" s="383" t="s">
        <v>1159</v>
      </c>
      <c r="N16" s="402" t="s">
        <v>1160</v>
      </c>
      <c r="O16" s="1460">
        <f>F10</f>
        <v>40</v>
      </c>
      <c r="P16" s="401">
        <v>30</v>
      </c>
      <c r="Q16" s="404">
        <f t="shared" si="1"/>
        <v>1.3333333333333333</v>
      </c>
      <c r="R16" s="392">
        <v>2</v>
      </c>
    </row>
    <row r="17" spans="1:18" ht="26.25">
      <c r="A17" s="1456" t="s">
        <v>1972</v>
      </c>
      <c r="B17" s="1456" t="s">
        <v>1971</v>
      </c>
      <c r="C17" s="1457">
        <v>10</v>
      </c>
      <c r="D17" s="1457">
        <v>100</v>
      </c>
      <c r="E17" s="1458">
        <v>4.72</v>
      </c>
      <c r="F17" s="1458">
        <v>6.34</v>
      </c>
      <c r="I17" s="383">
        <v>14</v>
      </c>
      <c r="J17" s="384" t="s">
        <v>1150</v>
      </c>
      <c r="K17" s="385"/>
      <c r="L17" s="386"/>
      <c r="M17" s="387" t="s">
        <v>1151</v>
      </c>
      <c r="N17" s="388" t="s">
        <v>1189</v>
      </c>
      <c r="O17" s="1460">
        <f>F42</f>
        <v>14.85</v>
      </c>
      <c r="P17" s="386">
        <v>100</v>
      </c>
      <c r="Q17" s="390">
        <f t="shared" si="1"/>
        <v>0.14849999999999999</v>
      </c>
      <c r="R17" s="392">
        <v>4</v>
      </c>
    </row>
    <row r="18" spans="1:18" ht="26.25">
      <c r="A18" s="1456" t="s">
        <v>1973</v>
      </c>
      <c r="B18" s="1456" t="s">
        <v>1974</v>
      </c>
      <c r="C18" s="1457">
        <v>10</v>
      </c>
      <c r="D18" s="1457">
        <v>100</v>
      </c>
      <c r="E18" s="1458">
        <v>7.93</v>
      </c>
      <c r="F18" s="1458">
        <v>9.67</v>
      </c>
      <c r="I18" s="383">
        <v>15</v>
      </c>
      <c r="J18" s="384" t="s">
        <v>1185</v>
      </c>
      <c r="K18" s="385"/>
      <c r="L18" s="386"/>
      <c r="M18" s="387" t="s">
        <v>1190</v>
      </c>
      <c r="N18" s="402" t="s">
        <v>1173</v>
      </c>
      <c r="O18" s="1460">
        <f>F7</f>
        <v>13.52</v>
      </c>
      <c r="P18" s="386">
        <v>672</v>
      </c>
      <c r="Q18" s="390">
        <f t="shared" si="1"/>
        <v>2.011904761904762E-2</v>
      </c>
      <c r="R18" s="392">
        <v>5</v>
      </c>
    </row>
    <row r="19" spans="1:18" ht="26.25">
      <c r="A19" s="1456" t="s">
        <v>1975</v>
      </c>
      <c r="B19" s="1456" t="s">
        <v>1976</v>
      </c>
      <c r="C19" s="1457">
        <v>28</v>
      </c>
      <c r="D19" s="1457">
        <v>672</v>
      </c>
      <c r="E19" s="1458">
        <v>13</v>
      </c>
      <c r="F19" s="1458">
        <v>15.8</v>
      </c>
      <c r="I19" s="383">
        <v>16</v>
      </c>
      <c r="J19" s="394" t="s">
        <v>1164</v>
      </c>
      <c r="K19" s="400"/>
      <c r="L19" s="401"/>
      <c r="M19" s="383" t="s">
        <v>1165</v>
      </c>
      <c r="N19" s="388" t="s">
        <v>1191</v>
      </c>
      <c r="O19" s="1460">
        <f>F73</f>
        <v>140</v>
      </c>
      <c r="P19" s="401">
        <v>20</v>
      </c>
      <c r="Q19" s="404">
        <f>O19/P19</f>
        <v>7</v>
      </c>
      <c r="R19" s="392">
        <v>1</v>
      </c>
    </row>
    <row r="20" spans="1:18">
      <c r="A20" s="1456" t="s">
        <v>1977</v>
      </c>
      <c r="B20" s="1456" t="s">
        <v>1978</v>
      </c>
      <c r="C20" s="1457">
        <v>100</v>
      </c>
      <c r="D20" s="1457">
        <v>100</v>
      </c>
      <c r="E20" s="1458">
        <v>98.24</v>
      </c>
      <c r="F20" s="1458">
        <v>98.24</v>
      </c>
      <c r="I20" s="383">
        <v>17</v>
      </c>
      <c r="J20" s="394" t="s">
        <v>1176</v>
      </c>
      <c r="K20" s="400"/>
      <c r="L20" s="401"/>
      <c r="M20" s="383" t="s">
        <v>1167</v>
      </c>
      <c r="N20" s="402" t="s">
        <v>1177</v>
      </c>
      <c r="O20" s="1460">
        <v>900</v>
      </c>
      <c r="P20" s="401">
        <v>188</v>
      </c>
      <c r="Q20" s="404">
        <f t="shared" ref="Q20:Q25" si="2">O20/P20</f>
        <v>4.7872340425531918</v>
      </c>
      <c r="R20" s="440">
        <f>(4*14+2*3*22)/6/26</f>
        <v>1.2051282051282051</v>
      </c>
    </row>
    <row r="21" spans="1:18" ht="26.25">
      <c r="A21" s="1456" t="s">
        <v>1979</v>
      </c>
      <c r="B21" s="1456" t="s">
        <v>1980</v>
      </c>
      <c r="C21" s="1457">
        <v>10</v>
      </c>
      <c r="D21" s="1457">
        <v>10</v>
      </c>
      <c r="E21" s="1458">
        <v>23.36</v>
      </c>
      <c r="F21" s="1458">
        <v>23.36</v>
      </c>
      <c r="I21" s="383">
        <v>18</v>
      </c>
      <c r="J21" s="394" t="s">
        <v>1179</v>
      </c>
      <c r="K21" s="400"/>
      <c r="L21" s="401"/>
      <c r="M21" s="383" t="s">
        <v>1180</v>
      </c>
      <c r="N21" s="402" t="s">
        <v>1181</v>
      </c>
      <c r="O21" s="1460">
        <f>F49</f>
        <v>36</v>
      </c>
      <c r="P21" s="401">
        <v>1</v>
      </c>
      <c r="Q21" s="404">
        <f t="shared" si="2"/>
        <v>36</v>
      </c>
      <c r="R21" s="408">
        <v>2</v>
      </c>
    </row>
    <row r="22" spans="1:18">
      <c r="A22" s="1456" t="s">
        <v>1981</v>
      </c>
      <c r="B22" s="1456" t="s">
        <v>1982</v>
      </c>
      <c r="C22" s="1457">
        <v>1</v>
      </c>
      <c r="D22" s="1457">
        <v>25</v>
      </c>
      <c r="E22" s="1458">
        <v>33</v>
      </c>
      <c r="F22" s="1458">
        <v>33</v>
      </c>
      <c r="I22" s="383">
        <v>19</v>
      </c>
      <c r="J22" s="394" t="s">
        <v>1162</v>
      </c>
      <c r="K22" s="400"/>
      <c r="L22" s="401"/>
      <c r="M22" s="383" t="s">
        <v>1163</v>
      </c>
      <c r="N22" s="388" t="s">
        <v>1192</v>
      </c>
      <c r="O22" s="1460">
        <f>F33</f>
        <v>1.69</v>
      </c>
      <c r="P22" s="401">
        <v>12</v>
      </c>
      <c r="Q22" s="404">
        <f t="shared" si="2"/>
        <v>0.14083333333333334</v>
      </c>
      <c r="R22" s="392">
        <v>3</v>
      </c>
    </row>
    <row r="23" spans="1:18">
      <c r="A23" s="1456" t="s">
        <v>1983</v>
      </c>
      <c r="B23" s="1456" t="s">
        <v>1956</v>
      </c>
      <c r="C23" s="1457">
        <v>28</v>
      </c>
      <c r="D23" s="1457">
        <v>672</v>
      </c>
      <c r="E23" s="1458">
        <v>12.91</v>
      </c>
      <c r="F23" s="1458">
        <v>22</v>
      </c>
      <c r="I23" s="383">
        <v>20</v>
      </c>
      <c r="J23" s="394" t="s">
        <v>1166</v>
      </c>
      <c r="K23" s="400"/>
      <c r="L23" s="401"/>
      <c r="M23" s="383" t="s">
        <v>1167</v>
      </c>
      <c r="N23" s="402" t="s">
        <v>1168</v>
      </c>
      <c r="O23" s="1460">
        <f>F20</f>
        <v>98.24</v>
      </c>
      <c r="P23" s="401">
        <v>100</v>
      </c>
      <c r="Q23" s="404">
        <f t="shared" si="2"/>
        <v>0.98239999999999994</v>
      </c>
      <c r="R23" s="441" t="s">
        <v>1199</v>
      </c>
    </row>
    <row r="24" spans="1:18">
      <c r="A24" s="1456" t="s">
        <v>1984</v>
      </c>
      <c r="B24" s="1456" t="s">
        <v>1985</v>
      </c>
      <c r="C24" s="1457">
        <v>10</v>
      </c>
      <c r="D24" s="1457">
        <v>50</v>
      </c>
      <c r="E24" s="1458">
        <v>83.3</v>
      </c>
      <c r="F24" s="1458">
        <v>90</v>
      </c>
      <c r="I24" s="383">
        <v>21</v>
      </c>
      <c r="J24" s="394" t="s">
        <v>1194</v>
      </c>
      <c r="K24" s="400"/>
      <c r="L24" s="401"/>
      <c r="M24" s="383" t="s">
        <v>1195</v>
      </c>
      <c r="N24" s="388" t="s">
        <v>1142</v>
      </c>
      <c r="O24" s="1460">
        <f>F14</f>
        <v>9.1999999999999993</v>
      </c>
      <c r="P24" s="401">
        <v>50</v>
      </c>
      <c r="Q24" s="404">
        <f t="shared" si="2"/>
        <v>0.184</v>
      </c>
      <c r="R24" s="391"/>
    </row>
    <row r="25" spans="1:18">
      <c r="A25" s="1456" t="s">
        <v>1986</v>
      </c>
      <c r="B25" s="1456" t="s">
        <v>1987</v>
      </c>
      <c r="C25" s="1457">
        <v>1</v>
      </c>
      <c r="D25" s="1457">
        <v>100</v>
      </c>
      <c r="E25" s="1458">
        <v>64</v>
      </c>
      <c r="F25" s="1458">
        <v>64</v>
      </c>
      <c r="I25" s="383">
        <v>22</v>
      </c>
      <c r="J25" s="394" t="s">
        <v>1196</v>
      </c>
      <c r="K25" s="400"/>
      <c r="L25" s="401"/>
      <c r="M25" s="383" t="s">
        <v>1197</v>
      </c>
      <c r="N25" s="402" t="s">
        <v>1198</v>
      </c>
      <c r="O25" s="1460">
        <v>4.25</v>
      </c>
      <c r="P25" s="401">
        <v>100</v>
      </c>
      <c r="Q25" s="404">
        <f t="shared" si="2"/>
        <v>4.2500000000000003E-2</v>
      </c>
      <c r="R25" s="391"/>
    </row>
    <row r="26" spans="1:18">
      <c r="A26" s="1456" t="s">
        <v>1988</v>
      </c>
      <c r="B26" s="1456" t="s">
        <v>1952</v>
      </c>
      <c r="C26" s="1457">
        <v>10</v>
      </c>
      <c r="D26" s="1457">
        <v>100</v>
      </c>
      <c r="E26" s="1458">
        <v>3.69</v>
      </c>
      <c r="F26" s="1458">
        <v>3.75</v>
      </c>
    </row>
    <row r="27" spans="1:18" ht="26.25">
      <c r="A27" s="1456" t="s">
        <v>1989</v>
      </c>
      <c r="B27" s="1456" t="s">
        <v>1958</v>
      </c>
      <c r="C27" s="1457">
        <v>1</v>
      </c>
      <c r="D27" s="1457">
        <v>100</v>
      </c>
      <c r="E27" s="1458">
        <v>4.25</v>
      </c>
      <c r="F27" s="1458">
        <v>5</v>
      </c>
    </row>
    <row r="28" spans="1:18" ht="26.25">
      <c r="A28" s="1456" t="s">
        <v>1990</v>
      </c>
      <c r="B28" s="1456" t="s">
        <v>1991</v>
      </c>
      <c r="C28" s="1457">
        <v>10</v>
      </c>
      <c r="D28" s="1457">
        <v>100</v>
      </c>
      <c r="E28" s="1458">
        <v>8.1999999999999993</v>
      </c>
      <c r="F28" s="1458">
        <v>15.53</v>
      </c>
    </row>
    <row r="29" spans="1:18">
      <c r="A29" s="1456" t="s">
        <v>1992</v>
      </c>
      <c r="B29" s="1456" t="s">
        <v>1982</v>
      </c>
      <c r="C29" s="1457">
        <v>1</v>
      </c>
      <c r="D29" s="1457">
        <v>30</v>
      </c>
      <c r="E29" s="1458">
        <v>37.200000000000003</v>
      </c>
      <c r="F29" s="1458">
        <v>37.200000000000003</v>
      </c>
    </row>
    <row r="30" spans="1:18">
      <c r="A30" s="1456" t="s">
        <v>1993</v>
      </c>
      <c r="B30" s="1456" t="s">
        <v>1994</v>
      </c>
      <c r="C30" s="1457">
        <v>0</v>
      </c>
      <c r="D30" s="1457">
        <v>10</v>
      </c>
      <c r="E30" s="1458">
        <v>6.9</v>
      </c>
      <c r="F30" s="1458">
        <v>7.05</v>
      </c>
    </row>
    <row r="31" spans="1:18">
      <c r="A31" s="1456" t="s">
        <v>1995</v>
      </c>
      <c r="B31" s="1456" t="s">
        <v>1996</v>
      </c>
      <c r="C31" s="1457">
        <v>10</v>
      </c>
      <c r="D31" s="1457">
        <v>10</v>
      </c>
      <c r="E31" s="1458">
        <v>13.39</v>
      </c>
      <c r="F31" s="1458">
        <v>13.79</v>
      </c>
    </row>
    <row r="32" spans="1:18" ht="26.25">
      <c r="A32" s="1456" t="s">
        <v>1997</v>
      </c>
      <c r="B32" s="1456" t="s">
        <v>1998</v>
      </c>
      <c r="C32" s="1457">
        <v>15</v>
      </c>
      <c r="D32" s="1457">
        <v>15</v>
      </c>
      <c r="E32" s="1458">
        <v>1.75</v>
      </c>
      <c r="F32" s="1458">
        <v>1.75</v>
      </c>
    </row>
    <row r="33" spans="1:6" ht="26.25">
      <c r="A33" s="1456" t="s">
        <v>1999</v>
      </c>
      <c r="B33" s="1456" t="s">
        <v>1998</v>
      </c>
      <c r="C33" s="1457">
        <v>12</v>
      </c>
      <c r="D33" s="1457">
        <v>12</v>
      </c>
      <c r="E33" s="1458">
        <v>1.69</v>
      </c>
      <c r="F33" s="1458">
        <v>1.69</v>
      </c>
    </row>
    <row r="34" spans="1:6" ht="26.25">
      <c r="A34" s="1456" t="s">
        <v>2000</v>
      </c>
      <c r="B34" s="1456" t="s">
        <v>2001</v>
      </c>
      <c r="C34" s="1457">
        <v>1</v>
      </c>
      <c r="D34" s="1457">
        <v>100</v>
      </c>
      <c r="E34" s="1458">
        <v>4.25</v>
      </c>
      <c r="F34" s="1458">
        <v>5</v>
      </c>
    </row>
    <row r="35" spans="1:6" ht="26.25">
      <c r="A35" s="1456" t="s">
        <v>2002</v>
      </c>
      <c r="B35" s="1456" t="s">
        <v>1998</v>
      </c>
      <c r="C35" s="1457">
        <v>100</v>
      </c>
      <c r="D35" s="1457">
        <v>100</v>
      </c>
      <c r="E35" s="1458">
        <v>10.210000000000001</v>
      </c>
      <c r="F35" s="1458">
        <v>13.28</v>
      </c>
    </row>
    <row r="36" spans="1:6" ht="26.25">
      <c r="A36" s="1456" t="s">
        <v>2003</v>
      </c>
      <c r="B36" s="1456" t="s">
        <v>1998</v>
      </c>
      <c r="C36" s="1457">
        <v>100</v>
      </c>
      <c r="D36" s="1457">
        <v>100</v>
      </c>
      <c r="E36" s="1458">
        <v>11.8</v>
      </c>
      <c r="F36" s="1458">
        <v>21.3</v>
      </c>
    </row>
    <row r="37" spans="1:6" ht="26.25">
      <c r="A37" s="1456" t="s">
        <v>2004</v>
      </c>
      <c r="B37" s="1456" t="s">
        <v>2005</v>
      </c>
      <c r="C37" s="1457">
        <v>10</v>
      </c>
      <c r="D37" s="1457">
        <v>100</v>
      </c>
      <c r="E37" s="1458">
        <v>20.79</v>
      </c>
      <c r="F37" s="1458">
        <v>29</v>
      </c>
    </row>
    <row r="38" spans="1:6" ht="26.25">
      <c r="A38" s="1456" t="s">
        <v>2006</v>
      </c>
      <c r="B38" s="1456" t="s">
        <v>1998</v>
      </c>
      <c r="C38" s="1457">
        <v>20</v>
      </c>
      <c r="D38" s="1457">
        <v>20</v>
      </c>
      <c r="E38" s="1458">
        <v>1.99</v>
      </c>
      <c r="F38" s="1458">
        <v>1.99</v>
      </c>
    </row>
    <row r="39" spans="1:6" ht="26.25">
      <c r="A39" s="1456" t="s">
        <v>2007</v>
      </c>
      <c r="B39" s="1456" t="s">
        <v>1998</v>
      </c>
      <c r="C39" s="1457">
        <v>1</v>
      </c>
      <c r="D39" s="1457">
        <v>14</v>
      </c>
      <c r="E39" s="1458">
        <v>1.63</v>
      </c>
      <c r="F39" s="1458">
        <v>1.63</v>
      </c>
    </row>
    <row r="40" spans="1:6" ht="26.25">
      <c r="A40" s="1456" t="s">
        <v>2008</v>
      </c>
      <c r="B40" s="1456" t="s">
        <v>2009</v>
      </c>
      <c r="C40" s="1457">
        <v>188</v>
      </c>
      <c r="D40" s="1457">
        <v>188</v>
      </c>
      <c r="E40" s="1458">
        <v>0</v>
      </c>
      <c r="F40" s="1458">
        <v>0</v>
      </c>
    </row>
    <row r="41" spans="1:6">
      <c r="A41" s="1456" t="s">
        <v>2010</v>
      </c>
      <c r="B41" s="1456" t="s">
        <v>2011</v>
      </c>
      <c r="C41" s="1457">
        <v>10</v>
      </c>
      <c r="D41" s="1457">
        <v>100</v>
      </c>
      <c r="E41" s="1458">
        <v>19.2</v>
      </c>
      <c r="F41" s="1458">
        <v>19.2</v>
      </c>
    </row>
    <row r="42" spans="1:6">
      <c r="A42" s="1456" t="s">
        <v>2012</v>
      </c>
      <c r="B42" s="1456" t="s">
        <v>2011</v>
      </c>
      <c r="C42" s="1457">
        <v>10</v>
      </c>
      <c r="D42" s="1457">
        <v>100</v>
      </c>
      <c r="E42" s="1458">
        <v>5.44</v>
      </c>
      <c r="F42" s="1458">
        <v>14.85</v>
      </c>
    </row>
    <row r="43" spans="1:6">
      <c r="A43" s="1456" t="s">
        <v>2013</v>
      </c>
      <c r="B43" s="1456" t="s">
        <v>2014</v>
      </c>
      <c r="C43" s="1457">
        <v>1</v>
      </c>
      <c r="D43" s="1457">
        <v>100</v>
      </c>
      <c r="E43" s="1458">
        <v>4.25</v>
      </c>
      <c r="F43" s="1458">
        <v>5</v>
      </c>
    </row>
    <row r="44" spans="1:6">
      <c r="A44" s="1456" t="s">
        <v>2015</v>
      </c>
      <c r="B44" s="1456" t="s">
        <v>2014</v>
      </c>
      <c r="C44" s="1457">
        <v>1</v>
      </c>
      <c r="D44" s="1457">
        <v>100</v>
      </c>
      <c r="E44" s="1458">
        <v>4.25</v>
      </c>
      <c r="F44" s="1458">
        <v>5</v>
      </c>
    </row>
    <row r="45" spans="1:6">
      <c r="A45" s="1456" t="s">
        <v>2016</v>
      </c>
      <c r="B45" s="1456" t="s">
        <v>2017</v>
      </c>
      <c r="C45" s="1457">
        <v>1</v>
      </c>
      <c r="D45" s="1457">
        <v>25</v>
      </c>
      <c r="E45" s="1458">
        <v>0.5</v>
      </c>
      <c r="F45" s="1458">
        <v>0.55000000000000004</v>
      </c>
    </row>
    <row r="46" spans="1:6" ht="26.25">
      <c r="A46" s="1456" t="s">
        <v>2018</v>
      </c>
      <c r="B46" s="1456" t="s">
        <v>2019</v>
      </c>
      <c r="C46" s="1457">
        <v>50</v>
      </c>
      <c r="D46" s="1457">
        <v>50</v>
      </c>
      <c r="E46" s="1458">
        <v>4.0999999999999996</v>
      </c>
      <c r="F46" s="1458">
        <v>4.0999999999999996</v>
      </c>
    </row>
    <row r="47" spans="1:6">
      <c r="A47" s="1456" t="s">
        <v>2020</v>
      </c>
      <c r="B47" s="1456" t="s">
        <v>2021</v>
      </c>
      <c r="C47" s="1457">
        <v>100</v>
      </c>
      <c r="D47" s="1457">
        <v>100</v>
      </c>
      <c r="E47" s="1458">
        <v>94.43</v>
      </c>
      <c r="F47" s="1458">
        <v>94.43</v>
      </c>
    </row>
    <row r="48" spans="1:6" ht="26.25">
      <c r="A48" s="1456" t="s">
        <v>2022</v>
      </c>
      <c r="B48" s="1456" t="s">
        <v>2023</v>
      </c>
      <c r="C48" s="1457">
        <v>1</v>
      </c>
      <c r="D48" s="1457">
        <v>1</v>
      </c>
      <c r="E48" s="1458">
        <v>1.21</v>
      </c>
      <c r="F48" s="1458">
        <v>1.21</v>
      </c>
    </row>
    <row r="49" spans="1:6" ht="26.25">
      <c r="A49" s="1456" t="s">
        <v>2024</v>
      </c>
      <c r="B49" s="1456" t="s">
        <v>2025</v>
      </c>
      <c r="C49" s="1457">
        <v>10</v>
      </c>
      <c r="D49" s="1457">
        <v>10</v>
      </c>
      <c r="E49" s="1458">
        <v>31</v>
      </c>
      <c r="F49" s="1458">
        <v>36</v>
      </c>
    </row>
    <row r="50" spans="1:6" ht="26.25">
      <c r="A50" s="1456" t="s">
        <v>2026</v>
      </c>
      <c r="B50" s="1456" t="s">
        <v>1971</v>
      </c>
      <c r="C50" s="1457">
        <v>10</v>
      </c>
      <c r="D50" s="1457">
        <v>100</v>
      </c>
      <c r="E50" s="1458">
        <v>10.199999999999999</v>
      </c>
      <c r="F50" s="1458">
        <v>20.5</v>
      </c>
    </row>
    <row r="51" spans="1:6" ht="26.25">
      <c r="A51" s="1456" t="s">
        <v>2027</v>
      </c>
      <c r="B51" s="1456" t="s">
        <v>2028</v>
      </c>
      <c r="C51" s="1457">
        <v>28</v>
      </c>
      <c r="D51" s="1457">
        <v>84</v>
      </c>
      <c r="E51" s="1458">
        <v>3.4</v>
      </c>
      <c r="F51" s="1458">
        <v>3.4</v>
      </c>
    </row>
    <row r="52" spans="1:6" ht="26.25">
      <c r="A52" s="1456" t="s">
        <v>2029</v>
      </c>
      <c r="B52" s="1456" t="s">
        <v>2030</v>
      </c>
      <c r="C52" s="1457">
        <v>28</v>
      </c>
      <c r="D52" s="1457">
        <v>84</v>
      </c>
      <c r="E52" s="1458">
        <v>2.8</v>
      </c>
      <c r="F52" s="1458">
        <v>2.8</v>
      </c>
    </row>
    <row r="53" spans="1:6">
      <c r="A53" s="1456" t="s">
        <v>2031</v>
      </c>
      <c r="B53" s="1456" t="s">
        <v>2032</v>
      </c>
      <c r="C53" s="1457">
        <v>8</v>
      </c>
      <c r="D53" s="1457">
        <v>672</v>
      </c>
      <c r="E53" s="1458">
        <v>1700</v>
      </c>
      <c r="F53" s="1458">
        <v>1700</v>
      </c>
    </row>
    <row r="54" spans="1:6" ht="26.25">
      <c r="A54" s="1456" t="s">
        <v>2033</v>
      </c>
      <c r="B54" s="1456" t="s">
        <v>1974</v>
      </c>
      <c r="C54" s="1457">
        <v>10</v>
      </c>
      <c r="D54" s="1457">
        <v>100</v>
      </c>
      <c r="E54" s="1458">
        <v>8.14</v>
      </c>
      <c r="F54" s="1458">
        <v>8.14</v>
      </c>
    </row>
    <row r="55" spans="1:6">
      <c r="A55" s="1456" t="s">
        <v>2034</v>
      </c>
      <c r="B55" s="1456" t="s">
        <v>1962</v>
      </c>
      <c r="C55" s="1457">
        <v>0</v>
      </c>
      <c r="D55" s="1457">
        <v>50</v>
      </c>
      <c r="E55" s="1458">
        <v>42.5</v>
      </c>
      <c r="F55" s="1458">
        <v>42.5</v>
      </c>
    </row>
    <row r="56" spans="1:6" ht="26.25">
      <c r="A56" s="1456" t="s">
        <v>2035</v>
      </c>
      <c r="B56" s="1456" t="s">
        <v>1976</v>
      </c>
      <c r="C56" s="1457">
        <v>0</v>
      </c>
      <c r="D56" s="1457">
        <v>120</v>
      </c>
      <c r="E56" s="1458">
        <v>6.25</v>
      </c>
      <c r="F56" s="1458">
        <v>6.25</v>
      </c>
    </row>
    <row r="57" spans="1:6">
      <c r="A57" s="1456" t="s">
        <v>2036</v>
      </c>
      <c r="B57" s="1456" t="s">
        <v>2037</v>
      </c>
      <c r="C57" s="1457">
        <v>1</v>
      </c>
      <c r="D57" s="1457">
        <v>1</v>
      </c>
      <c r="E57" s="1458">
        <v>3.7</v>
      </c>
      <c r="F57" s="1458">
        <v>3.7</v>
      </c>
    </row>
    <row r="58" spans="1:6">
      <c r="A58" s="1456" t="s">
        <v>2038</v>
      </c>
      <c r="B58" s="1456" t="s">
        <v>2039</v>
      </c>
      <c r="C58" s="1457">
        <v>8</v>
      </c>
      <c r="D58" s="1457">
        <v>24</v>
      </c>
      <c r="E58" s="1458">
        <v>15</v>
      </c>
      <c r="F58" s="1458">
        <v>15</v>
      </c>
    </row>
    <row r="59" spans="1:6">
      <c r="A59" s="1456" t="s">
        <v>2040</v>
      </c>
      <c r="B59" s="1456" t="s">
        <v>2041</v>
      </c>
      <c r="C59" s="1457">
        <v>25</v>
      </c>
      <c r="D59" s="1457">
        <v>50</v>
      </c>
      <c r="E59" s="1458">
        <v>0.7</v>
      </c>
      <c r="F59" s="1458">
        <v>0.7</v>
      </c>
    </row>
    <row r="60" spans="1:6">
      <c r="A60" s="1456" t="s">
        <v>2042</v>
      </c>
      <c r="B60" s="1456" t="s">
        <v>2043</v>
      </c>
      <c r="C60" s="1457">
        <v>250</v>
      </c>
      <c r="D60" s="1457">
        <v>250</v>
      </c>
      <c r="E60" s="1458">
        <v>8.25</v>
      </c>
      <c r="F60" s="1458">
        <v>8.25</v>
      </c>
    </row>
    <row r="61" spans="1:6">
      <c r="A61" s="1456" t="s">
        <v>2044</v>
      </c>
      <c r="B61" s="1456" t="s">
        <v>1987</v>
      </c>
      <c r="C61" s="1457">
        <v>10</v>
      </c>
      <c r="D61" s="1457">
        <v>10</v>
      </c>
      <c r="E61" s="1458">
        <v>5.22</v>
      </c>
      <c r="F61" s="1458">
        <v>5.62</v>
      </c>
    </row>
    <row r="62" spans="1:6">
      <c r="A62" s="1456" t="s">
        <v>2045</v>
      </c>
      <c r="B62" s="1456" t="s">
        <v>2014</v>
      </c>
      <c r="C62" s="1457">
        <v>1</v>
      </c>
      <c r="D62" s="1457">
        <v>100</v>
      </c>
      <c r="E62" s="1458">
        <v>4.25</v>
      </c>
      <c r="F62" s="1458">
        <v>5</v>
      </c>
    </row>
    <row r="63" spans="1:6">
      <c r="A63" s="1456" t="s">
        <v>2046</v>
      </c>
      <c r="B63" s="1456" t="s">
        <v>2047</v>
      </c>
      <c r="C63" s="1457">
        <v>10</v>
      </c>
      <c r="D63" s="1457">
        <v>100</v>
      </c>
      <c r="E63" s="1458">
        <v>42.5</v>
      </c>
      <c r="F63" s="1458">
        <v>42.5</v>
      </c>
    </row>
    <row r="64" spans="1:6" ht="26.25">
      <c r="A64" s="1456" t="s">
        <v>2048</v>
      </c>
      <c r="B64" s="1456" t="s">
        <v>2049</v>
      </c>
      <c r="C64" s="1457">
        <v>10</v>
      </c>
      <c r="D64" s="1457">
        <v>100</v>
      </c>
      <c r="E64" s="1458">
        <v>85</v>
      </c>
      <c r="F64" s="1458">
        <v>85</v>
      </c>
    </row>
    <row r="65" spans="1:6" ht="26.25">
      <c r="A65" s="1456" t="s">
        <v>2050</v>
      </c>
      <c r="B65" s="1456" t="s">
        <v>2051</v>
      </c>
      <c r="C65" s="1457">
        <v>10</v>
      </c>
      <c r="D65" s="1457">
        <v>100</v>
      </c>
      <c r="E65" s="1458">
        <v>85</v>
      </c>
      <c r="F65" s="1458">
        <v>85</v>
      </c>
    </row>
    <row r="66" spans="1:6" ht="26.25">
      <c r="A66" s="1456" t="s">
        <v>2052</v>
      </c>
      <c r="B66" s="1456" t="s">
        <v>2053</v>
      </c>
      <c r="C66" s="1457">
        <v>10</v>
      </c>
      <c r="D66" s="1457">
        <v>100</v>
      </c>
      <c r="E66" s="1458">
        <v>21.25</v>
      </c>
      <c r="F66" s="1458">
        <v>21.25</v>
      </c>
    </row>
    <row r="67" spans="1:6">
      <c r="A67" s="1456" t="s">
        <v>2054</v>
      </c>
      <c r="B67" s="1456" t="s">
        <v>2055</v>
      </c>
      <c r="C67" s="1457">
        <v>10</v>
      </c>
      <c r="D67" s="1457">
        <v>100</v>
      </c>
      <c r="E67" s="1458">
        <v>1.36</v>
      </c>
      <c r="F67" s="1458">
        <v>1.36</v>
      </c>
    </row>
    <row r="68" spans="1:6">
      <c r="A68" s="1456" t="s">
        <v>2056</v>
      </c>
      <c r="B68" s="1456" t="s">
        <v>2057</v>
      </c>
      <c r="C68" s="1457">
        <v>10</v>
      </c>
      <c r="D68" s="1457">
        <v>100</v>
      </c>
      <c r="E68" s="1458">
        <v>21.25</v>
      </c>
      <c r="F68" s="1458">
        <v>21.25</v>
      </c>
    </row>
    <row r="69" spans="1:6">
      <c r="A69" s="1456" t="s">
        <v>2058</v>
      </c>
      <c r="B69" s="1456" t="s">
        <v>1966</v>
      </c>
      <c r="C69" s="1457">
        <v>10</v>
      </c>
      <c r="D69" s="1457">
        <v>10</v>
      </c>
      <c r="E69" s="1458">
        <v>21.7</v>
      </c>
      <c r="F69" s="1458">
        <v>23.35</v>
      </c>
    </row>
    <row r="70" spans="1:6">
      <c r="A70" s="1456" t="s">
        <v>2059</v>
      </c>
      <c r="B70" s="1456" t="s">
        <v>1966</v>
      </c>
      <c r="C70" s="1457">
        <v>1</v>
      </c>
      <c r="D70" s="1457">
        <v>1</v>
      </c>
      <c r="E70" s="1458">
        <v>3.75</v>
      </c>
      <c r="F70" s="1458">
        <v>3.75</v>
      </c>
    </row>
    <row r="71" spans="1:6" ht="26.25">
      <c r="A71" s="1456" t="s">
        <v>2060</v>
      </c>
      <c r="B71" s="1456" t="s">
        <v>1946</v>
      </c>
      <c r="C71" s="1457">
        <v>14</v>
      </c>
      <c r="D71" s="1457">
        <v>336</v>
      </c>
      <c r="E71" s="1458">
        <v>23.75</v>
      </c>
      <c r="F71" s="1458">
        <v>23.75</v>
      </c>
    </row>
    <row r="72" spans="1:6" ht="26.25">
      <c r="A72" s="1456" t="s">
        <v>2061</v>
      </c>
      <c r="B72" s="1456" t="s">
        <v>1950</v>
      </c>
      <c r="C72" s="1457">
        <v>14</v>
      </c>
      <c r="D72" s="1457">
        <v>336</v>
      </c>
      <c r="E72" s="1458">
        <v>11.57</v>
      </c>
      <c r="F72" s="1458">
        <v>11.57</v>
      </c>
    </row>
    <row r="73" spans="1:6">
      <c r="A73" s="1456" t="s">
        <v>2062</v>
      </c>
      <c r="B73" s="1456" t="s">
        <v>1996</v>
      </c>
      <c r="C73" s="1457">
        <v>10</v>
      </c>
      <c r="D73" s="1457">
        <v>100</v>
      </c>
      <c r="E73" s="1458">
        <v>97</v>
      </c>
      <c r="F73" s="1458">
        <v>140</v>
      </c>
    </row>
    <row r="74" spans="1:6" ht="39">
      <c r="A74" s="1456" t="s">
        <v>2063</v>
      </c>
      <c r="B74" s="1456" t="s">
        <v>2064</v>
      </c>
      <c r="C74" s="1457">
        <v>30</v>
      </c>
      <c r="D74" s="1457">
        <v>1</v>
      </c>
      <c r="E74" s="1458">
        <v>1.99</v>
      </c>
      <c r="F74" s="1458">
        <v>1.99</v>
      </c>
    </row>
  </sheetData>
  <mergeCells count="10">
    <mergeCell ref="O2:O3"/>
    <mergeCell ref="P2:P3"/>
    <mergeCell ref="Q2:Q3"/>
    <mergeCell ref="R2:R3"/>
    <mergeCell ref="I2:I3"/>
    <mergeCell ref="J2:J3"/>
    <mergeCell ref="K2:K3"/>
    <mergeCell ref="L2:L3"/>
    <mergeCell ref="M2:M3"/>
    <mergeCell ref="N2:N3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3"/>
  <sheetViews>
    <sheetView topLeftCell="B13" zoomScale="80" zoomScaleNormal="80" workbookViewId="0">
      <selection activeCell="X19" sqref="T15:X19"/>
    </sheetView>
  </sheetViews>
  <sheetFormatPr defaultRowHeight="12.75"/>
  <cols>
    <col min="2" max="2" width="31.42578125" customWidth="1"/>
    <col min="13" max="13" width="12.28515625" customWidth="1"/>
    <col min="14" max="14" width="11.42578125" customWidth="1"/>
    <col min="15" max="15" width="14.5703125" style="149" customWidth="1"/>
    <col min="19" max="19" width="32" customWidth="1"/>
  </cols>
  <sheetData>
    <row r="2" spans="1:24" ht="15.75">
      <c r="B2" s="225" t="s">
        <v>962</v>
      </c>
    </row>
    <row r="4" spans="1:24">
      <c r="B4" s="311" t="s">
        <v>963</v>
      </c>
    </row>
    <row r="6" spans="1:24" s="223" customFormat="1" ht="24">
      <c r="C6" s="312" t="s">
        <v>249</v>
      </c>
      <c r="D6" s="313" t="s">
        <v>250</v>
      </c>
      <c r="E6" s="314" t="s">
        <v>230</v>
      </c>
      <c r="F6" s="314" t="s">
        <v>231</v>
      </c>
      <c r="G6" s="314" t="s">
        <v>232</v>
      </c>
      <c r="H6" s="314" t="s">
        <v>233</v>
      </c>
      <c r="I6" s="314" t="s">
        <v>234</v>
      </c>
      <c r="J6" s="314" t="s">
        <v>235</v>
      </c>
      <c r="K6" s="314">
        <v>2021</v>
      </c>
      <c r="L6" s="314">
        <v>2022</v>
      </c>
      <c r="M6" s="315" t="s">
        <v>236</v>
      </c>
      <c r="N6" s="312" t="s">
        <v>237</v>
      </c>
      <c r="O6" s="1108" t="s">
        <v>1840</v>
      </c>
    </row>
    <row r="7" spans="1:24" ht="16.5" thickBot="1">
      <c r="A7" s="260" t="s">
        <v>41</v>
      </c>
      <c r="B7" s="268" t="s">
        <v>273</v>
      </c>
      <c r="C7" s="269"/>
      <c r="D7" s="269"/>
      <c r="E7" s="270"/>
      <c r="F7" s="270"/>
      <c r="G7" s="270"/>
      <c r="H7" s="271"/>
      <c r="I7" s="271"/>
      <c r="J7" s="271"/>
      <c r="K7" s="271"/>
      <c r="L7" s="271"/>
      <c r="M7" s="177"/>
      <c r="N7" s="178"/>
      <c r="O7" s="1109"/>
    </row>
    <row r="8" spans="1:24" ht="13.5" thickBot="1">
      <c r="A8" s="160">
        <v>1</v>
      </c>
      <c r="B8" s="154" t="s">
        <v>274</v>
      </c>
      <c r="C8" s="155"/>
      <c r="D8" s="155"/>
      <c r="E8" s="156">
        <f>CALCULATIONS!E183</f>
        <v>3002</v>
      </c>
      <c r="F8" s="156">
        <f>CALCULATIONS!F183</f>
        <v>2770</v>
      </c>
      <c r="G8" s="156">
        <f>CALCULATIONS!G183</f>
        <v>2529</v>
      </c>
      <c r="H8" s="156">
        <f>CALCULATIONS!H183</f>
        <v>2398</v>
      </c>
      <c r="I8" s="156">
        <f>CALCULATIONS!I183</f>
        <v>2296</v>
      </c>
      <c r="J8" s="156">
        <f>CALCULATIONS!J183</f>
        <v>2212</v>
      </c>
      <c r="K8" s="156">
        <f>CALCULATIONS!K183</f>
        <v>2142</v>
      </c>
      <c r="L8" s="156">
        <f>CALCULATIONS!L183</f>
        <v>2084</v>
      </c>
      <c r="M8" s="166">
        <f t="shared" ref="M8:M14" si="0">SUM(F8:H8)</f>
        <v>7697</v>
      </c>
      <c r="N8" s="172">
        <f t="shared" ref="N8:N14" si="1">SUM(F8:J8)</f>
        <v>12205</v>
      </c>
      <c r="O8" s="1110">
        <f>I8+J8+K8+L8</f>
        <v>8734</v>
      </c>
      <c r="S8" s="1619">
        <v>122</v>
      </c>
      <c r="T8" s="1620">
        <v>123</v>
      </c>
      <c r="U8" s="1620">
        <v>123</v>
      </c>
      <c r="V8" s="1620">
        <v>124</v>
      </c>
    </row>
    <row r="9" spans="1:24" ht="13.5" thickBot="1">
      <c r="A9" s="160">
        <v>2</v>
      </c>
      <c r="B9" s="154" t="s">
        <v>271</v>
      </c>
      <c r="C9" s="155"/>
      <c r="D9" s="155"/>
      <c r="E9" s="156">
        <f>CALCULATIONS!E184</f>
        <v>147</v>
      </c>
      <c r="F9" s="156">
        <f>CALCULATIONS!F184</f>
        <v>131</v>
      </c>
      <c r="G9" s="156">
        <f>CALCULATIONS!G184</f>
        <v>113</v>
      </c>
      <c r="H9" s="156">
        <f>CALCULATIONS!H184</f>
        <v>103</v>
      </c>
      <c r="I9" s="156">
        <f>CALCULATIONS!I184</f>
        <v>94</v>
      </c>
      <c r="J9" s="156">
        <f>CALCULATIONS!J184</f>
        <v>84</v>
      </c>
      <c r="K9" s="156">
        <f>CALCULATIONS!K184</f>
        <v>80</v>
      </c>
      <c r="L9" s="156">
        <f>CALCULATIONS!L184</f>
        <v>77</v>
      </c>
      <c r="M9" s="166">
        <f t="shared" si="0"/>
        <v>347</v>
      </c>
      <c r="N9" s="172">
        <f t="shared" si="1"/>
        <v>525</v>
      </c>
      <c r="O9" s="1110">
        <f t="shared" ref="O9:O43" si="2">I9+J9+K9+L9</f>
        <v>335</v>
      </c>
      <c r="S9" s="1621">
        <v>0.9425</v>
      </c>
      <c r="T9" s="1622">
        <v>0.95</v>
      </c>
      <c r="U9" s="1622">
        <v>0.95</v>
      </c>
      <c r="V9" s="1622">
        <v>0.95</v>
      </c>
    </row>
    <row r="10" spans="1:24" ht="13.5" thickBot="1">
      <c r="A10" s="160">
        <v>3</v>
      </c>
      <c r="B10" s="154" t="s">
        <v>276</v>
      </c>
      <c r="C10" s="155"/>
      <c r="D10" s="155"/>
      <c r="E10" s="156">
        <f>CALCULATIONS!E185</f>
        <v>316</v>
      </c>
      <c r="F10" s="156">
        <f>CALCULATIONS!F185</f>
        <v>293</v>
      </c>
      <c r="G10" s="156">
        <f>CALCULATIONS!G185</f>
        <v>273</v>
      </c>
      <c r="H10" s="156">
        <f>CALCULATIONS!H185</f>
        <v>265</v>
      </c>
      <c r="I10" s="156">
        <f>CALCULATIONS!I185</f>
        <v>259</v>
      </c>
      <c r="J10" s="156">
        <f>CALCULATIONS!J185</f>
        <v>253</v>
      </c>
      <c r="K10" s="156">
        <f>CALCULATIONS!K185</f>
        <v>249</v>
      </c>
      <c r="L10" s="156">
        <f>CALCULATIONS!L185</f>
        <v>245</v>
      </c>
      <c r="M10" s="166">
        <f t="shared" si="0"/>
        <v>831</v>
      </c>
      <c r="N10" s="172">
        <f t="shared" si="1"/>
        <v>1343</v>
      </c>
      <c r="O10" s="1110">
        <f t="shared" si="2"/>
        <v>1006</v>
      </c>
      <c r="S10" s="1623">
        <v>130</v>
      </c>
      <c r="T10" s="1624">
        <v>135</v>
      </c>
      <c r="U10" s="1624">
        <v>140</v>
      </c>
      <c r="V10" s="1624">
        <v>145</v>
      </c>
    </row>
    <row r="11" spans="1:24">
      <c r="A11" s="160">
        <v>4</v>
      </c>
      <c r="B11" s="154" t="s">
        <v>277</v>
      </c>
      <c r="C11" s="155"/>
      <c r="D11" s="155"/>
      <c r="E11" s="156">
        <f>CALCULATIONS!E186</f>
        <v>111</v>
      </c>
      <c r="F11" s="156">
        <f>CALCULATIONS!F186</f>
        <v>103</v>
      </c>
      <c r="G11" s="156">
        <f>CALCULATIONS!G186</f>
        <v>99</v>
      </c>
      <c r="H11" s="156">
        <f>CALCULATIONS!H186</f>
        <v>99</v>
      </c>
      <c r="I11" s="156">
        <f>CALCULATIONS!I186</f>
        <v>99</v>
      </c>
      <c r="J11" s="156">
        <f>CALCULATIONS!J186</f>
        <v>99</v>
      </c>
      <c r="K11" s="156">
        <f>CALCULATIONS!K186</f>
        <v>96</v>
      </c>
      <c r="L11" s="156">
        <f>CALCULATIONS!L186</f>
        <v>94</v>
      </c>
      <c r="M11" s="166">
        <f t="shared" si="0"/>
        <v>301</v>
      </c>
      <c r="N11" s="172">
        <f t="shared" si="1"/>
        <v>499</v>
      </c>
      <c r="O11" s="1110">
        <f t="shared" si="2"/>
        <v>388</v>
      </c>
    </row>
    <row r="12" spans="1:24">
      <c r="A12" s="160">
        <v>5</v>
      </c>
      <c r="B12" s="154" t="s">
        <v>278</v>
      </c>
      <c r="C12" s="155"/>
      <c r="D12" s="155"/>
      <c r="E12" s="156">
        <f>CALCULATIONS!E187</f>
        <v>27</v>
      </c>
      <c r="F12" s="156">
        <f>CALCULATIONS!F187</f>
        <v>27</v>
      </c>
      <c r="G12" s="156">
        <f>CALCULATIONS!G187</f>
        <v>26</v>
      </c>
      <c r="H12" s="156">
        <f>CALCULATIONS!H187</f>
        <v>27</v>
      </c>
      <c r="I12" s="156">
        <f>CALCULATIONS!I187</f>
        <v>28</v>
      </c>
      <c r="J12" s="156">
        <f>CALCULATIONS!J187</f>
        <v>28</v>
      </c>
      <c r="K12" s="156">
        <f>CALCULATIONS!K187</f>
        <v>28</v>
      </c>
      <c r="L12" s="156">
        <f>CALCULATIONS!L187</f>
        <v>27</v>
      </c>
      <c r="M12" s="166">
        <f t="shared" si="0"/>
        <v>80</v>
      </c>
      <c r="N12" s="172">
        <f t="shared" si="1"/>
        <v>136</v>
      </c>
      <c r="O12" s="1110">
        <f t="shared" si="2"/>
        <v>111</v>
      </c>
    </row>
    <row r="13" spans="1:24" ht="13.5" thickBot="1">
      <c r="A13" s="160">
        <v>6</v>
      </c>
      <c r="B13" s="154" t="s">
        <v>275</v>
      </c>
      <c r="C13" s="155"/>
      <c r="D13" s="155"/>
      <c r="E13" s="156">
        <f>CALCULATIONS!E188</f>
        <v>8</v>
      </c>
      <c r="F13" s="156">
        <f>CALCULATIONS!F188</f>
        <v>7.9999999999995453</v>
      </c>
      <c r="G13" s="156">
        <f>CALCULATIONS!G188</f>
        <v>8.9999999999995453</v>
      </c>
      <c r="H13" s="156">
        <f>CALCULATIONS!H188</f>
        <v>9</v>
      </c>
      <c r="I13" s="156">
        <f>CALCULATIONS!I188</f>
        <v>8.0000000000004547</v>
      </c>
      <c r="J13" s="156">
        <f>CALCULATIONS!J188</f>
        <v>9</v>
      </c>
      <c r="K13" s="156">
        <f>CALCULATIONS!K188</f>
        <v>8</v>
      </c>
      <c r="L13" s="156">
        <f>CALCULATIONS!L188</f>
        <v>9</v>
      </c>
      <c r="M13" s="166">
        <f t="shared" si="0"/>
        <v>25.999999999999091</v>
      </c>
      <c r="N13" s="172">
        <f t="shared" si="1"/>
        <v>42.999999999999545</v>
      </c>
      <c r="O13" s="1110">
        <f t="shared" si="2"/>
        <v>34.000000000000455</v>
      </c>
    </row>
    <row r="14" spans="1:24" ht="30.75" thickBot="1">
      <c r="A14" s="162">
        <v>7</v>
      </c>
      <c r="B14" s="163" t="s">
        <v>248</v>
      </c>
      <c r="C14" s="265"/>
      <c r="D14" s="265"/>
      <c r="E14" s="280">
        <f>SUM(E8:E13)</f>
        <v>3611</v>
      </c>
      <c r="F14" s="280">
        <f t="shared" ref="F14:L14" si="3">SUM(F8:F13)</f>
        <v>3331.9999999999995</v>
      </c>
      <c r="G14" s="280">
        <f t="shared" si="3"/>
        <v>3048.9999999999995</v>
      </c>
      <c r="H14" s="280">
        <f t="shared" si="3"/>
        <v>2901</v>
      </c>
      <c r="I14" s="280">
        <f t="shared" si="3"/>
        <v>2784.0000000000005</v>
      </c>
      <c r="J14" s="280">
        <f t="shared" si="3"/>
        <v>2685</v>
      </c>
      <c r="K14" s="280">
        <f t="shared" si="3"/>
        <v>2603</v>
      </c>
      <c r="L14" s="280">
        <f t="shared" si="3"/>
        <v>2536</v>
      </c>
      <c r="M14" s="167">
        <f t="shared" si="0"/>
        <v>9282</v>
      </c>
      <c r="N14" s="94">
        <f t="shared" si="1"/>
        <v>14751</v>
      </c>
      <c r="O14" s="1110">
        <f t="shared" si="2"/>
        <v>10608</v>
      </c>
      <c r="S14" s="1442"/>
      <c r="T14" s="1426">
        <v>2019</v>
      </c>
      <c r="U14" s="1426">
        <v>2020</v>
      </c>
      <c r="V14" s="1426">
        <v>2021</v>
      </c>
      <c r="W14" s="1426">
        <v>2022</v>
      </c>
      <c r="X14" s="1426" t="s">
        <v>1928</v>
      </c>
    </row>
    <row r="15" spans="1:24" ht="45.75" thickBot="1">
      <c r="A15" s="281"/>
      <c r="B15" s="282" t="s">
        <v>831</v>
      </c>
      <c r="C15" s="282"/>
      <c r="D15" s="283"/>
      <c r="E15" s="284">
        <f>SUM(E10,E11,E12)</f>
        <v>454</v>
      </c>
      <c r="F15" s="284">
        <f t="shared" ref="F15:N15" si="4">SUM(F10,F11,F12)</f>
        <v>423</v>
      </c>
      <c r="G15" s="284">
        <f t="shared" si="4"/>
        <v>398</v>
      </c>
      <c r="H15" s="284">
        <f t="shared" si="4"/>
        <v>391</v>
      </c>
      <c r="I15" s="284">
        <f t="shared" si="4"/>
        <v>386</v>
      </c>
      <c r="J15" s="284">
        <f t="shared" si="4"/>
        <v>380</v>
      </c>
      <c r="K15" s="284">
        <f t="shared" si="4"/>
        <v>373</v>
      </c>
      <c r="L15" s="284"/>
      <c r="M15" s="285">
        <f t="shared" si="4"/>
        <v>1212</v>
      </c>
      <c r="N15" s="286">
        <f t="shared" si="4"/>
        <v>1978</v>
      </c>
      <c r="O15" s="1110">
        <f t="shared" si="2"/>
        <v>1139</v>
      </c>
      <c r="S15" s="1427" t="s">
        <v>1929</v>
      </c>
      <c r="T15" s="1428">
        <f>I14</f>
        <v>2784.0000000000005</v>
      </c>
      <c r="U15" s="1428">
        <f t="shared" ref="U15:W15" si="5">J14</f>
        <v>2685</v>
      </c>
      <c r="V15" s="1428">
        <f t="shared" si="5"/>
        <v>2603</v>
      </c>
      <c r="W15" s="1428">
        <f t="shared" si="5"/>
        <v>2536</v>
      </c>
      <c r="X15" s="1428">
        <f>T15+U15+V15+W15</f>
        <v>10608</v>
      </c>
    </row>
    <row r="16" spans="1:24" ht="60.75" thickBot="1">
      <c r="O16" s="1110">
        <f t="shared" si="2"/>
        <v>0</v>
      </c>
      <c r="S16" s="1427" t="s">
        <v>1930</v>
      </c>
      <c r="T16" s="1443">
        <f>I27</f>
        <v>4.2724148364775852E-2</v>
      </c>
      <c r="U16" s="1443">
        <f t="shared" ref="U16:W16" si="6">J27</f>
        <v>4.5268383047812284E-2</v>
      </c>
      <c r="V16" s="1443">
        <f t="shared" si="6"/>
        <v>4.7952536749018039E-2</v>
      </c>
      <c r="W16" s="1443">
        <f t="shared" si="6"/>
        <v>5.0742207027847125E-2</v>
      </c>
      <c r="X16" s="1428"/>
    </row>
    <row r="17" spans="1:25" ht="30.75" thickBot="1">
      <c r="A17" s="260" t="s">
        <v>43</v>
      </c>
      <c r="B17" s="268" t="s">
        <v>1538</v>
      </c>
      <c r="C17" s="269"/>
      <c r="D17" s="269"/>
      <c r="E17" s="270"/>
      <c r="F17" s="270"/>
      <c r="G17" s="270"/>
      <c r="H17" s="271"/>
      <c r="I17" s="271"/>
      <c r="J17" s="271"/>
      <c r="K17" s="271"/>
      <c r="L17" s="271"/>
      <c r="M17" s="177"/>
      <c r="N17" s="178"/>
      <c r="O17" s="1110">
        <f t="shared" si="2"/>
        <v>0</v>
      </c>
      <c r="S17" s="1427" t="s">
        <v>1931</v>
      </c>
      <c r="T17" s="1444">
        <f>I32</f>
        <v>118.94402904753599</v>
      </c>
      <c r="U17" s="1444">
        <f t="shared" ref="U17:W17" si="7">J32</f>
        <v>121.54560848337599</v>
      </c>
      <c r="V17" s="1444">
        <f t="shared" si="7"/>
        <v>124.82045315769395</v>
      </c>
      <c r="W17" s="1444">
        <f t="shared" si="7"/>
        <v>128.68223702262031</v>
      </c>
      <c r="X17" s="1428">
        <f t="shared" ref="X17" si="8">T17+U17+V17+W17</f>
        <v>493.99232771122621</v>
      </c>
    </row>
    <row r="18" spans="1:25" ht="30.75" thickBot="1">
      <c r="A18" s="160">
        <v>1</v>
      </c>
      <c r="B18" s="154" t="s">
        <v>13</v>
      </c>
      <c r="C18" s="155"/>
      <c r="D18" s="155"/>
      <c r="E18" s="597">
        <f>E14</f>
        <v>3611</v>
      </c>
      <c r="F18" s="597">
        <f t="shared" ref="F18:L18" si="9">F14</f>
        <v>3331.9999999999995</v>
      </c>
      <c r="G18" s="597">
        <f t="shared" si="9"/>
        <v>3048.9999999999995</v>
      </c>
      <c r="H18" s="597">
        <f t="shared" si="9"/>
        <v>2901</v>
      </c>
      <c r="I18" s="597">
        <f t="shared" si="9"/>
        <v>2784.0000000000005</v>
      </c>
      <c r="J18" s="597">
        <f t="shared" si="9"/>
        <v>2685</v>
      </c>
      <c r="K18" s="597">
        <f t="shared" si="9"/>
        <v>2603</v>
      </c>
      <c r="L18" s="597">
        <f t="shared" si="9"/>
        <v>2536</v>
      </c>
      <c r="M18" s="166">
        <f t="shared" ref="M18:M20" si="10">SUM(F18:H18)</f>
        <v>9282</v>
      </c>
      <c r="N18" s="172">
        <f t="shared" ref="N18:N20" si="11">SUM(F18:J18)</f>
        <v>14751</v>
      </c>
      <c r="O18" s="1110">
        <f t="shared" si="2"/>
        <v>10608</v>
      </c>
      <c r="S18" s="1427" t="s">
        <v>1932</v>
      </c>
      <c r="T18" s="1618">
        <f>I37</f>
        <v>0.94237227210422236</v>
      </c>
      <c r="U18" s="1618">
        <f t="shared" ref="U18:W18" si="12">J37</f>
        <v>0.95</v>
      </c>
      <c r="V18" s="1618">
        <f t="shared" si="12"/>
        <v>0.95</v>
      </c>
      <c r="W18" s="1618">
        <f t="shared" si="12"/>
        <v>0.95</v>
      </c>
      <c r="X18" s="1428"/>
    </row>
    <row r="19" spans="1:25">
      <c r="A19" s="160">
        <v>2</v>
      </c>
      <c r="B19" s="154" t="s">
        <v>1539</v>
      </c>
      <c r="C19" s="155"/>
      <c r="D19" s="155"/>
      <c r="E19" s="272">
        <v>0.65</v>
      </c>
      <c r="F19" s="272">
        <v>0.75</v>
      </c>
      <c r="G19" s="272">
        <v>0.8</v>
      </c>
      <c r="H19" s="272">
        <v>0.85</v>
      </c>
      <c r="I19" s="272">
        <v>0.9</v>
      </c>
      <c r="J19" s="272">
        <v>0.95</v>
      </c>
      <c r="K19" s="272">
        <v>0.95</v>
      </c>
      <c r="L19" s="272">
        <v>0.95</v>
      </c>
      <c r="M19" s="598">
        <f>M20/M18</f>
        <v>0.79767830209006674</v>
      </c>
      <c r="N19" s="599">
        <f>N20/N18</f>
        <v>0.84471561250084737</v>
      </c>
      <c r="O19" s="1111">
        <f>O20/O18</f>
        <v>0.93687782805429876</v>
      </c>
      <c r="S19" s="1625" t="s">
        <v>2136</v>
      </c>
      <c r="T19" s="1617">
        <f>I42</f>
        <v>112.08955490675712</v>
      </c>
      <c r="U19" s="1617">
        <f t="shared" ref="U19:W19" si="13">J42</f>
        <v>115.46832805920718</v>
      </c>
      <c r="V19" s="1617">
        <f t="shared" si="13"/>
        <v>118.57943049980925</v>
      </c>
      <c r="W19" s="1617">
        <f t="shared" si="13"/>
        <v>122.24812517148929</v>
      </c>
      <c r="X19" s="1617">
        <f>T19+U19+V19+W19</f>
        <v>468.38543863726284</v>
      </c>
    </row>
    <row r="20" spans="1:25">
      <c r="A20" s="162">
        <v>3</v>
      </c>
      <c r="B20" s="163" t="s">
        <v>1540</v>
      </c>
      <c r="C20" s="265"/>
      <c r="D20" s="265"/>
      <c r="E20" s="278">
        <f>E18*E19</f>
        <v>2347.15</v>
      </c>
      <c r="F20" s="278">
        <f t="shared" ref="F20:L20" si="14">F18*F19</f>
        <v>2498.9999999999995</v>
      </c>
      <c r="G20" s="278">
        <f t="shared" si="14"/>
        <v>2439.1999999999998</v>
      </c>
      <c r="H20" s="278">
        <f t="shared" si="14"/>
        <v>2465.85</v>
      </c>
      <c r="I20" s="278">
        <f t="shared" si="14"/>
        <v>2505.6000000000004</v>
      </c>
      <c r="J20" s="278">
        <f t="shared" si="14"/>
        <v>2550.75</v>
      </c>
      <c r="K20" s="278">
        <f t="shared" si="14"/>
        <v>2472.85</v>
      </c>
      <c r="L20" s="278">
        <f t="shared" si="14"/>
        <v>2409.1999999999998</v>
      </c>
      <c r="M20" s="167">
        <f t="shared" si="10"/>
        <v>7404.0499999999993</v>
      </c>
      <c r="N20" s="94">
        <f t="shared" si="11"/>
        <v>12460.4</v>
      </c>
      <c r="O20" s="1110">
        <f t="shared" si="2"/>
        <v>9938.4000000000015</v>
      </c>
    </row>
    <row r="21" spans="1:25">
      <c r="O21" s="1110">
        <f t="shared" si="2"/>
        <v>0</v>
      </c>
    </row>
    <row r="22" spans="1:25" ht="15.75">
      <c r="A22" s="260" t="s">
        <v>45</v>
      </c>
      <c r="B22" s="268" t="s">
        <v>964</v>
      </c>
      <c r="C22" s="269"/>
      <c r="D22" s="269"/>
      <c r="E22" s="270"/>
      <c r="F22" s="270"/>
      <c r="G22" s="270"/>
      <c r="H22" s="271"/>
      <c r="I22" s="271"/>
      <c r="J22" s="271"/>
      <c r="K22" s="271"/>
      <c r="L22" s="271"/>
      <c r="M22" s="177"/>
      <c r="N22" s="178"/>
      <c r="O22" s="1110">
        <f t="shared" si="2"/>
        <v>0</v>
      </c>
    </row>
    <row r="23" spans="1:25" ht="13.5" thickBot="1">
      <c r="A23" s="160">
        <v>1</v>
      </c>
      <c r="B23" s="154" t="s">
        <v>966</v>
      </c>
      <c r="C23" s="317"/>
      <c r="D23" s="316">
        <v>0.05</v>
      </c>
      <c r="E23" s="152">
        <v>0.1</v>
      </c>
      <c r="F23" s="152">
        <v>0.15</v>
      </c>
      <c r="G23" s="152">
        <v>0.12</v>
      </c>
      <c r="H23" s="152">
        <v>0.1</v>
      </c>
      <c r="I23" s="152">
        <v>0.08</v>
      </c>
      <c r="J23" s="152">
        <v>7.0000000000000007E-2</v>
      </c>
      <c r="K23" s="152">
        <v>7.0000000000000007E-2</v>
      </c>
      <c r="L23" s="152">
        <v>7.0000000000000007E-2</v>
      </c>
      <c r="O23" s="1110"/>
    </row>
    <row r="24" spans="1:25" ht="26.25" thickBot="1">
      <c r="A24" s="160">
        <v>2</v>
      </c>
      <c r="B24" s="154" t="s">
        <v>965</v>
      </c>
      <c r="C24" s="317"/>
      <c r="D24" s="316">
        <v>0.05</v>
      </c>
      <c r="E24" s="152">
        <v>7.4999999999999997E-2</v>
      </c>
      <c r="F24" s="152">
        <v>0.1</v>
      </c>
      <c r="G24" s="152">
        <v>0.08</v>
      </c>
      <c r="H24" s="152">
        <v>0.06</v>
      </c>
      <c r="I24" s="152">
        <v>0.04</v>
      </c>
      <c r="J24" s="152">
        <v>0.02</v>
      </c>
      <c r="K24" s="152">
        <v>0.02</v>
      </c>
      <c r="L24" s="152">
        <v>0.02</v>
      </c>
      <c r="O24" s="1110"/>
      <c r="S24" s="1609"/>
      <c r="T24" s="1610">
        <v>2016</v>
      </c>
      <c r="U24" s="1610">
        <v>2017</v>
      </c>
      <c r="V24" s="1610">
        <v>2018</v>
      </c>
      <c r="W24" s="1610">
        <v>2019</v>
      </c>
      <c r="X24" s="1610">
        <v>2020</v>
      </c>
      <c r="Y24" s="1610" t="s">
        <v>2130</v>
      </c>
    </row>
    <row r="25" spans="1:25" ht="13.5" thickBot="1">
      <c r="A25" s="160">
        <v>3</v>
      </c>
      <c r="B25" s="154" t="s">
        <v>967</v>
      </c>
      <c r="C25" s="317">
        <v>2.1000000000000001E-2</v>
      </c>
      <c r="D25" s="316">
        <f>C25+(C25*D23)</f>
        <v>2.205E-2</v>
      </c>
      <c r="E25" s="152">
        <f t="shared" ref="E25:J25" si="15">D25+(D25*E23)</f>
        <v>2.4254999999999999E-2</v>
      </c>
      <c r="F25" s="152">
        <f t="shared" si="15"/>
        <v>2.7893249999999998E-2</v>
      </c>
      <c r="G25" s="152">
        <f t="shared" si="15"/>
        <v>3.1240439999999998E-2</v>
      </c>
      <c r="H25" s="152">
        <f t="shared" si="15"/>
        <v>3.4364484000000001E-2</v>
      </c>
      <c r="I25" s="152">
        <f t="shared" si="15"/>
        <v>3.7113642719999999E-2</v>
      </c>
      <c r="J25" s="152">
        <f t="shared" si="15"/>
        <v>3.9711597710399997E-2</v>
      </c>
      <c r="K25" s="152">
        <f t="shared" ref="K25:K26" si="16">J25+(J25*K23)</f>
        <v>4.2491409550128E-2</v>
      </c>
      <c r="L25" s="152">
        <f t="shared" ref="L25:L26" si="17">K25+(K25*L23)</f>
        <v>4.5465808218636959E-2</v>
      </c>
      <c r="O25" s="1110"/>
      <c r="S25" s="1611" t="s">
        <v>2131</v>
      </c>
      <c r="T25" s="1612">
        <v>3833</v>
      </c>
      <c r="U25" s="1612">
        <v>3805</v>
      </c>
      <c r="V25" s="1612">
        <v>3756</v>
      </c>
      <c r="W25" s="1612">
        <v>3687</v>
      </c>
      <c r="X25" s="1612">
        <v>3598</v>
      </c>
      <c r="Y25" s="1613">
        <v>18679</v>
      </c>
    </row>
    <row r="26" spans="1:25" ht="26.25" thickBot="1">
      <c r="A26" s="160">
        <v>4</v>
      </c>
      <c r="B26" s="154" t="s">
        <v>968</v>
      </c>
      <c r="C26" s="317">
        <v>5.2999999999999999E-2</v>
      </c>
      <c r="D26" s="316">
        <f>C26+(C26*D24)</f>
        <v>5.5649999999999998E-2</v>
      </c>
      <c r="E26" s="152">
        <f t="shared" ref="E26:J26" si="18">D26+(D26*E24)</f>
        <v>5.9823749999999995E-2</v>
      </c>
      <c r="F26" s="152">
        <f t="shared" si="18"/>
        <v>6.5806124999999993E-2</v>
      </c>
      <c r="G26" s="152">
        <f t="shared" si="18"/>
        <v>7.107061499999999E-2</v>
      </c>
      <c r="H26" s="152">
        <f t="shared" si="18"/>
        <v>7.5334851899999986E-2</v>
      </c>
      <c r="I26" s="152">
        <f t="shared" si="18"/>
        <v>7.8348245975999986E-2</v>
      </c>
      <c r="J26" s="152">
        <f t="shared" si="18"/>
        <v>7.9915210895519992E-2</v>
      </c>
      <c r="K26" s="152">
        <f t="shared" si="16"/>
        <v>8.1513515113430385E-2</v>
      </c>
      <c r="L26" s="152">
        <f t="shared" si="17"/>
        <v>8.3143785415698987E-2</v>
      </c>
      <c r="O26" s="1110"/>
      <c r="S26" s="1611" t="s">
        <v>2132</v>
      </c>
      <c r="T26" s="1614">
        <v>3.3000000000000002E-2</v>
      </c>
      <c r="U26" s="1614">
        <v>3.5999999999999997E-2</v>
      </c>
      <c r="V26" s="1614">
        <v>0.04</v>
      </c>
      <c r="W26" s="1614">
        <v>4.2999999999999997E-2</v>
      </c>
      <c r="X26" s="1614">
        <v>4.4999999999999998E-2</v>
      </c>
      <c r="Y26" s="1615"/>
    </row>
    <row r="27" spans="1:25" ht="13.5" thickBot="1">
      <c r="A27" s="162">
        <v>5</v>
      </c>
      <c r="B27" s="163" t="s">
        <v>248</v>
      </c>
      <c r="C27" s="265"/>
      <c r="D27" s="265"/>
      <c r="E27" s="274">
        <f t="shared" ref="E27:L27" si="19">E32/E14</f>
        <v>2.8673214483522565E-2</v>
      </c>
      <c r="F27" s="274">
        <f t="shared" si="19"/>
        <v>3.2639348476890762E-2</v>
      </c>
      <c r="G27" s="274">
        <f t="shared" si="19"/>
        <v>3.6347440882256478E-2</v>
      </c>
      <c r="H27" s="274">
        <f t="shared" si="19"/>
        <v>3.9779904025129265E-2</v>
      </c>
      <c r="I27" s="274">
        <f t="shared" si="19"/>
        <v>4.2724148364775852E-2</v>
      </c>
      <c r="J27" s="274">
        <f t="shared" si="19"/>
        <v>4.5268383047812284E-2</v>
      </c>
      <c r="K27" s="274">
        <f t="shared" si="19"/>
        <v>4.7952536749018039E-2</v>
      </c>
      <c r="L27" s="274">
        <f t="shared" si="19"/>
        <v>5.0742207027847125E-2</v>
      </c>
      <c r="M27" s="320"/>
      <c r="N27" s="321"/>
      <c r="O27" s="1110"/>
      <c r="S27" s="1611" t="s">
        <v>2133</v>
      </c>
      <c r="T27" s="1616">
        <v>126</v>
      </c>
      <c r="U27" s="1616">
        <v>139</v>
      </c>
      <c r="V27" s="1616">
        <v>150</v>
      </c>
      <c r="W27" s="1616">
        <v>158</v>
      </c>
      <c r="X27" s="1616">
        <v>163</v>
      </c>
      <c r="Y27" s="1615">
        <v>735</v>
      </c>
    </row>
    <row r="28" spans="1:25" ht="26.25" thickBot="1">
      <c r="C28" s="155"/>
      <c r="D28" s="155"/>
      <c r="E28" s="156"/>
      <c r="F28" s="156"/>
      <c r="G28" s="156"/>
      <c r="H28" s="156"/>
      <c r="I28" s="156"/>
      <c r="J28" s="156"/>
      <c r="K28" s="156"/>
      <c r="L28" s="156"/>
      <c r="O28" s="1110">
        <f t="shared" si="2"/>
        <v>0</v>
      </c>
      <c r="S28" s="1611" t="s">
        <v>2134</v>
      </c>
      <c r="T28" s="1614">
        <v>0.90200000000000002</v>
      </c>
      <c r="U28" s="1614">
        <v>0.92400000000000004</v>
      </c>
      <c r="V28" s="1614">
        <v>0.93700000000000006</v>
      </c>
      <c r="W28" s="1614">
        <v>0.94199999999999995</v>
      </c>
      <c r="X28" s="1614">
        <v>0.95</v>
      </c>
      <c r="Y28" s="1615"/>
    </row>
    <row r="29" spans="1:25" ht="16.5" thickBot="1">
      <c r="A29" s="260" t="s">
        <v>47</v>
      </c>
      <c r="B29" s="268" t="s">
        <v>969</v>
      </c>
      <c r="C29" s="269"/>
      <c r="D29" s="269"/>
      <c r="E29" s="270"/>
      <c r="F29" s="270"/>
      <c r="G29" s="270"/>
      <c r="H29" s="271"/>
      <c r="I29" s="271"/>
      <c r="J29" s="271"/>
      <c r="K29" s="271"/>
      <c r="L29" s="271"/>
      <c r="M29" s="177"/>
      <c r="N29" s="178"/>
      <c r="O29" s="1110">
        <f t="shared" si="2"/>
        <v>0</v>
      </c>
      <c r="S29" s="1611" t="s">
        <v>2135</v>
      </c>
      <c r="T29" s="1616">
        <v>113</v>
      </c>
      <c r="U29" s="1616">
        <v>128</v>
      </c>
      <c r="V29" s="1616">
        <v>140</v>
      </c>
      <c r="W29" s="1616">
        <v>149</v>
      </c>
      <c r="X29" s="1616">
        <v>155</v>
      </c>
      <c r="Y29" s="1615">
        <v>686</v>
      </c>
    </row>
    <row r="30" spans="1:25">
      <c r="A30" s="160">
        <v>1</v>
      </c>
      <c r="B30" s="154" t="s">
        <v>967</v>
      </c>
      <c r="C30" s="317"/>
      <c r="D30" s="316"/>
      <c r="E30" s="156">
        <f t="shared" ref="E30:L30" si="20">(E8+E9)*E25</f>
        <v>76.378994999999989</v>
      </c>
      <c r="F30" s="156">
        <f t="shared" si="20"/>
        <v>80.918318249999999</v>
      </c>
      <c r="G30" s="156">
        <f t="shared" si="20"/>
        <v>82.537242479999989</v>
      </c>
      <c r="H30" s="156">
        <f t="shared" si="20"/>
        <v>85.945574484000005</v>
      </c>
      <c r="I30" s="156">
        <f t="shared" si="20"/>
        <v>88.701606100799992</v>
      </c>
      <c r="J30" s="156">
        <f t="shared" si="20"/>
        <v>91.177828343078389</v>
      </c>
      <c r="K30" s="156">
        <f t="shared" si="20"/>
        <v>94.415912020384411</v>
      </c>
      <c r="L30" s="156">
        <f t="shared" si="20"/>
        <v>98.251611560474473</v>
      </c>
      <c r="M30" s="318">
        <f t="shared" ref="M30:M31" si="21">SUM(F30:H30)</f>
        <v>249.40113521400002</v>
      </c>
      <c r="N30" s="319">
        <f t="shared" ref="N30:N31" si="22">SUM(F30:J30)</f>
        <v>429.2805696578784</v>
      </c>
      <c r="O30" s="1110">
        <f t="shared" si="2"/>
        <v>372.54695802473731</v>
      </c>
    </row>
    <row r="31" spans="1:25">
      <c r="A31" s="160">
        <v>2</v>
      </c>
      <c r="B31" s="154" t="s">
        <v>968</v>
      </c>
      <c r="C31" s="317"/>
      <c r="D31" s="316"/>
      <c r="E31" s="156">
        <f t="shared" ref="E31:L31" si="23">(E10+E11+E12)*E26</f>
        <v>27.159982499999998</v>
      </c>
      <c r="F31" s="156">
        <f t="shared" si="23"/>
        <v>27.835990874999997</v>
      </c>
      <c r="G31" s="156">
        <f t="shared" si="23"/>
        <v>28.286104769999994</v>
      </c>
      <c r="H31" s="156">
        <f t="shared" si="23"/>
        <v>29.455927092899994</v>
      </c>
      <c r="I31" s="156">
        <f t="shared" si="23"/>
        <v>30.242422946735996</v>
      </c>
      <c r="J31" s="156">
        <f t="shared" si="23"/>
        <v>30.367780140297597</v>
      </c>
      <c r="K31" s="156">
        <f t="shared" si="23"/>
        <v>30.404541137309533</v>
      </c>
      <c r="L31" s="156">
        <f t="shared" si="23"/>
        <v>30.43062546214583</v>
      </c>
      <c r="M31" s="318">
        <f t="shared" si="21"/>
        <v>85.578022737899985</v>
      </c>
      <c r="N31" s="319">
        <f t="shared" si="22"/>
        <v>146.18822582493357</v>
      </c>
      <c r="O31" s="1110">
        <f t="shared" si="2"/>
        <v>121.44536968648896</v>
      </c>
    </row>
    <row r="32" spans="1:25">
      <c r="A32" s="162">
        <v>3</v>
      </c>
      <c r="B32" s="163" t="s">
        <v>971</v>
      </c>
      <c r="C32" s="265"/>
      <c r="D32" s="265"/>
      <c r="E32" s="280">
        <f>SUM(E30:E31)</f>
        <v>103.53897749999999</v>
      </c>
      <c r="F32" s="280">
        <f t="shared" ref="F32:N32" si="24">SUM(F30:F31)</f>
        <v>108.75430912499999</v>
      </c>
      <c r="G32" s="280">
        <f t="shared" si="24"/>
        <v>110.82334724999998</v>
      </c>
      <c r="H32" s="280">
        <f t="shared" si="24"/>
        <v>115.4015015769</v>
      </c>
      <c r="I32" s="280">
        <f t="shared" si="24"/>
        <v>118.94402904753599</v>
      </c>
      <c r="J32" s="280">
        <f t="shared" si="24"/>
        <v>121.54560848337599</v>
      </c>
      <c r="K32" s="280">
        <f t="shared" si="24"/>
        <v>124.82045315769395</v>
      </c>
      <c r="L32" s="280">
        <f t="shared" si="24"/>
        <v>128.68223702262031</v>
      </c>
      <c r="M32" s="320">
        <f t="shared" si="24"/>
        <v>334.97915795189999</v>
      </c>
      <c r="N32" s="321">
        <f t="shared" si="24"/>
        <v>575.46879548281197</v>
      </c>
      <c r="O32" s="1110">
        <f t="shared" si="2"/>
        <v>493.99232771122621</v>
      </c>
    </row>
    <row r="33" spans="1:15">
      <c r="O33" s="1110">
        <f t="shared" si="2"/>
        <v>0</v>
      </c>
    </row>
    <row r="34" spans="1:15" ht="15.75">
      <c r="A34" s="260" t="s">
        <v>49</v>
      </c>
      <c r="B34" s="268" t="s">
        <v>970</v>
      </c>
      <c r="C34" s="269"/>
      <c r="D34" s="269"/>
      <c r="E34" s="270"/>
      <c r="F34" s="270"/>
      <c r="G34" s="270"/>
      <c r="H34" s="271"/>
      <c r="I34" s="271"/>
      <c r="J34" s="271"/>
      <c r="K34" s="271"/>
      <c r="L34" s="271"/>
      <c r="M34" s="177"/>
      <c r="N34" s="178"/>
      <c r="O34" s="1110">
        <f t="shared" si="2"/>
        <v>0</v>
      </c>
    </row>
    <row r="35" spans="1:15">
      <c r="A35" s="160">
        <v>1</v>
      </c>
      <c r="B35" s="154" t="s">
        <v>967</v>
      </c>
      <c r="C35" s="317"/>
      <c r="D35" s="316"/>
      <c r="E35" s="152">
        <v>0.9</v>
      </c>
      <c r="F35" s="152">
        <v>0.92</v>
      </c>
      <c r="G35" s="152">
        <v>0.94</v>
      </c>
      <c r="H35" s="152">
        <v>0.95</v>
      </c>
      <c r="I35" s="152">
        <v>0.95</v>
      </c>
      <c r="J35" s="152">
        <v>0.95</v>
      </c>
      <c r="K35" s="152">
        <v>0.95</v>
      </c>
      <c r="L35" s="152">
        <v>0.95</v>
      </c>
      <c r="O35" s="1110"/>
    </row>
    <row r="36" spans="1:15">
      <c r="A36" s="160">
        <v>2</v>
      </c>
      <c r="B36" s="154" t="s">
        <v>968</v>
      </c>
      <c r="C36" s="317"/>
      <c r="D36" s="316"/>
      <c r="E36" s="152">
        <v>0.8</v>
      </c>
      <c r="F36" s="152">
        <v>0.85</v>
      </c>
      <c r="G36" s="152">
        <v>0.88</v>
      </c>
      <c r="H36" s="152">
        <v>0.9</v>
      </c>
      <c r="I36" s="152">
        <v>0.92</v>
      </c>
      <c r="J36" s="152">
        <v>0.95</v>
      </c>
      <c r="K36" s="152">
        <v>0.95</v>
      </c>
      <c r="L36" s="152">
        <v>0.95</v>
      </c>
      <c r="O36" s="1110"/>
    </row>
    <row r="37" spans="1:15">
      <c r="A37" s="162">
        <v>3</v>
      </c>
      <c r="B37" s="163" t="s">
        <v>971</v>
      </c>
      <c r="C37" s="265"/>
      <c r="D37" s="265"/>
      <c r="E37" s="274">
        <f>E42/E32</f>
        <v>0.8737683497019274</v>
      </c>
      <c r="F37" s="274">
        <f t="shared" ref="F37:L37" si="25">F42/F32</f>
        <v>0.9020832905203745</v>
      </c>
      <c r="G37" s="274">
        <f t="shared" si="25"/>
        <v>0.92468584167222934</v>
      </c>
      <c r="H37" s="274">
        <f t="shared" si="25"/>
        <v>0.93723763266058036</v>
      </c>
      <c r="I37" s="274">
        <f t="shared" si="25"/>
        <v>0.94237227210422236</v>
      </c>
      <c r="J37" s="274">
        <f t="shared" si="25"/>
        <v>0.95</v>
      </c>
      <c r="K37" s="274">
        <f t="shared" si="25"/>
        <v>0.95</v>
      </c>
      <c r="L37" s="274">
        <f t="shared" si="25"/>
        <v>0.95</v>
      </c>
      <c r="M37" s="320"/>
      <c r="N37" s="321"/>
      <c r="O37" s="1110"/>
    </row>
    <row r="38" spans="1:15">
      <c r="O38" s="1110">
        <f t="shared" si="2"/>
        <v>0</v>
      </c>
    </row>
    <row r="39" spans="1:15" ht="15.75">
      <c r="A39" s="260" t="s">
        <v>50</v>
      </c>
      <c r="B39" s="268" t="s">
        <v>972</v>
      </c>
      <c r="C39" s="269"/>
      <c r="D39" s="269"/>
      <c r="E39" s="270"/>
      <c r="F39" s="270"/>
      <c r="G39" s="270"/>
      <c r="H39" s="271"/>
      <c r="I39" s="271"/>
      <c r="J39" s="271"/>
      <c r="K39" s="271"/>
      <c r="L39" s="271"/>
      <c r="M39" s="177"/>
      <c r="N39" s="178"/>
      <c r="O39" s="1110">
        <f t="shared" si="2"/>
        <v>0</v>
      </c>
    </row>
    <row r="40" spans="1:15">
      <c r="A40" s="160">
        <v>1</v>
      </c>
      <c r="B40" s="154" t="s">
        <v>967</v>
      </c>
      <c r="C40" s="317"/>
      <c r="D40" s="316"/>
      <c r="E40" s="156">
        <f>E30*E35</f>
        <v>68.741095499999986</v>
      </c>
      <c r="F40" s="156">
        <f t="shared" ref="F40:L40" si="26">F30*F35</f>
        <v>74.444852789999999</v>
      </c>
      <c r="G40" s="156">
        <f t="shared" si="26"/>
        <v>77.585007931199982</v>
      </c>
      <c r="H40" s="156">
        <f t="shared" si="26"/>
        <v>81.648295759800007</v>
      </c>
      <c r="I40" s="156">
        <f t="shared" si="26"/>
        <v>84.266525795759989</v>
      </c>
      <c r="J40" s="156">
        <f t="shared" si="26"/>
        <v>86.618936925924459</v>
      </c>
      <c r="K40" s="156">
        <f t="shared" si="26"/>
        <v>89.695116419365192</v>
      </c>
      <c r="L40" s="156">
        <f t="shared" si="26"/>
        <v>93.339030982450751</v>
      </c>
      <c r="M40" s="318">
        <f t="shared" ref="M40:M41" si="27">SUM(F40:H40)</f>
        <v>233.67815648099997</v>
      </c>
      <c r="N40" s="319">
        <f t="shared" ref="N40:N41" si="28">SUM(F40:J40)</f>
        <v>404.56361920268444</v>
      </c>
      <c r="O40" s="1110">
        <f t="shared" si="2"/>
        <v>353.91961012350043</v>
      </c>
    </row>
    <row r="41" spans="1:15">
      <c r="A41" s="160">
        <v>2</v>
      </c>
      <c r="B41" s="154" t="s">
        <v>968</v>
      </c>
      <c r="C41" s="317"/>
      <c r="D41" s="316"/>
      <c r="E41" s="156">
        <f t="shared" ref="E41:L41" si="29">E31*E36</f>
        <v>21.727986000000001</v>
      </c>
      <c r="F41" s="156">
        <f t="shared" si="29"/>
        <v>23.660592243749996</v>
      </c>
      <c r="G41" s="156">
        <f t="shared" si="29"/>
        <v>24.891772197599995</v>
      </c>
      <c r="H41" s="156">
        <f t="shared" si="29"/>
        <v>26.510334383609994</v>
      </c>
      <c r="I41" s="156">
        <f t="shared" si="29"/>
        <v>27.823029110997119</v>
      </c>
      <c r="J41" s="156">
        <f t="shared" si="29"/>
        <v>28.849391133282715</v>
      </c>
      <c r="K41" s="156">
        <f t="shared" si="29"/>
        <v>28.884314080444053</v>
      </c>
      <c r="L41" s="156">
        <f t="shared" si="29"/>
        <v>28.909094189038537</v>
      </c>
      <c r="M41" s="318">
        <f t="shared" si="27"/>
        <v>75.062698824959995</v>
      </c>
      <c r="N41" s="319">
        <f t="shared" si="28"/>
        <v>131.73511906923983</v>
      </c>
      <c r="O41" s="1110">
        <f t="shared" si="2"/>
        <v>114.46582851376243</v>
      </c>
    </row>
    <row r="42" spans="1:15">
      <c r="A42" s="162">
        <v>3</v>
      </c>
      <c r="B42" s="163" t="s">
        <v>971</v>
      </c>
      <c r="C42" s="265"/>
      <c r="D42" s="265"/>
      <c r="E42" s="280">
        <f>SUM(E40:E41)</f>
        <v>90.469081499999987</v>
      </c>
      <c r="F42" s="280">
        <f t="shared" ref="F42" si="30">SUM(F40:F41)</f>
        <v>98.105445033749987</v>
      </c>
      <c r="G42" s="280">
        <f t="shared" ref="G42" si="31">SUM(G40:G41)</f>
        <v>102.47678012879997</v>
      </c>
      <c r="H42" s="280">
        <f t="shared" ref="H42" si="32">SUM(H40:H41)</f>
        <v>108.15863014340999</v>
      </c>
      <c r="I42" s="280">
        <f t="shared" ref="I42" si="33">SUM(I40:I41)</f>
        <v>112.08955490675712</v>
      </c>
      <c r="J42" s="280">
        <f t="shared" ref="J42:L42" si="34">SUM(J40:J41)</f>
        <v>115.46832805920718</v>
      </c>
      <c r="K42" s="280">
        <f t="shared" si="34"/>
        <v>118.57943049980925</v>
      </c>
      <c r="L42" s="280">
        <f t="shared" si="34"/>
        <v>122.24812517148929</v>
      </c>
      <c r="M42" s="320">
        <f t="shared" ref="M42" si="35">SUM(M40:M41)</f>
        <v>308.74085530595994</v>
      </c>
      <c r="N42" s="321">
        <f t="shared" ref="N42" si="36">SUM(N40:N41)</f>
        <v>536.29873827192432</v>
      </c>
      <c r="O42" s="1110">
        <f t="shared" si="2"/>
        <v>468.38543863726284</v>
      </c>
    </row>
    <row r="43" spans="1:15">
      <c r="O43" s="1110">
        <f t="shared" si="2"/>
        <v>0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"/>
  <sheetViews>
    <sheetView zoomScaleNormal="100" workbookViewId="0">
      <selection activeCell="F21" sqref="F21"/>
    </sheetView>
  </sheetViews>
  <sheetFormatPr defaultRowHeight="12.75"/>
  <cols>
    <col min="2" max="2" width="45.7109375" customWidth="1"/>
    <col min="13" max="13" width="12.28515625" customWidth="1"/>
    <col min="14" max="14" width="11.42578125" customWidth="1"/>
    <col min="15" max="15" width="20.28515625" bestFit="1" customWidth="1"/>
  </cols>
  <sheetData>
    <row r="2" spans="1:15" ht="15.75">
      <c r="B2" s="225" t="s">
        <v>973</v>
      </c>
    </row>
    <row r="4" spans="1:15">
      <c r="B4" s="311" t="s">
        <v>974</v>
      </c>
    </row>
    <row r="6" spans="1:15" s="223" customFormat="1" ht="24">
      <c r="C6" s="312" t="s">
        <v>249</v>
      </c>
      <c r="D6" s="313" t="s">
        <v>250</v>
      </c>
      <c r="E6" s="314" t="s">
        <v>230</v>
      </c>
      <c r="F6" s="314" t="s">
        <v>231</v>
      </c>
      <c r="G6" s="314" t="s">
        <v>232</v>
      </c>
      <c r="H6" s="314" t="s">
        <v>233</v>
      </c>
      <c r="I6" s="314" t="s">
        <v>234</v>
      </c>
      <c r="J6" s="314" t="s">
        <v>235</v>
      </c>
      <c r="K6" s="314">
        <v>2021</v>
      </c>
      <c r="L6" s="314">
        <v>2022</v>
      </c>
      <c r="M6" s="315" t="s">
        <v>236</v>
      </c>
      <c r="N6" s="312" t="s">
        <v>237</v>
      </c>
      <c r="O6" s="1112" t="s">
        <v>1840</v>
      </c>
    </row>
    <row r="7" spans="1:15">
      <c r="A7" s="160">
        <v>1</v>
      </c>
      <c r="B7" s="154" t="s">
        <v>975</v>
      </c>
      <c r="C7" s="265"/>
      <c r="D7" s="265"/>
      <c r="E7" s="156">
        <f>CALCULATIONS!E189</f>
        <v>3611</v>
      </c>
      <c r="F7" s="156">
        <f>CALCULATIONS!F189</f>
        <v>3331.9999999999995</v>
      </c>
      <c r="G7" s="156">
        <f>CALCULATIONS!G189</f>
        <v>3048.9999999999995</v>
      </c>
      <c r="H7" s="156">
        <f>CALCULATIONS!H189</f>
        <v>2901</v>
      </c>
      <c r="I7" s="156">
        <f>CALCULATIONS!I189</f>
        <v>2784.0000000000005</v>
      </c>
      <c r="J7" s="156">
        <f>CALCULATIONS!J189</f>
        <v>2685</v>
      </c>
      <c r="K7" s="156">
        <f>CALCULATIONS!K189</f>
        <v>2603</v>
      </c>
      <c r="L7" s="156">
        <f>CALCULATIONS!L189</f>
        <v>2536</v>
      </c>
      <c r="M7" s="167">
        <f t="shared" ref="M7" si="0">SUM(F7:H7)</f>
        <v>9282</v>
      </c>
      <c r="N7" s="94">
        <f t="shared" ref="N7" si="1">SUM(F7:J7)</f>
        <v>14751</v>
      </c>
      <c r="O7" s="1098">
        <f>I7+J7+K7+L7</f>
        <v>10608</v>
      </c>
    </row>
    <row r="8" spans="1:15">
      <c r="A8" s="160">
        <v>2</v>
      </c>
      <c r="B8" s="154" t="s">
        <v>976</v>
      </c>
      <c r="C8" s="317"/>
      <c r="D8" s="316"/>
      <c r="E8" s="152">
        <v>7.4999999999999997E-2</v>
      </c>
      <c r="F8" s="152">
        <v>0.08</v>
      </c>
      <c r="G8" s="152">
        <v>8.5000000000000006E-2</v>
      </c>
      <c r="H8" s="152">
        <v>0.09</v>
      </c>
      <c r="I8" s="152">
        <v>9.5000000000000001E-2</v>
      </c>
      <c r="J8" s="152">
        <v>0.1</v>
      </c>
      <c r="K8" s="152">
        <v>0.1</v>
      </c>
      <c r="L8" s="152">
        <v>0.1</v>
      </c>
      <c r="O8" s="1097"/>
    </row>
    <row r="9" spans="1:15">
      <c r="A9" s="160">
        <v>3</v>
      </c>
      <c r="B9" s="154" t="s">
        <v>977</v>
      </c>
      <c r="C9" s="317"/>
      <c r="D9" s="322"/>
      <c r="E9" s="156">
        <f>E7*E8</f>
        <v>270.82499999999999</v>
      </c>
      <c r="F9" s="156">
        <f t="shared" ref="F9:L9" si="2">F7*F8</f>
        <v>266.55999999999995</v>
      </c>
      <c r="G9" s="156">
        <f t="shared" si="2"/>
        <v>259.16499999999996</v>
      </c>
      <c r="H9" s="156">
        <f t="shared" si="2"/>
        <v>261.08999999999997</v>
      </c>
      <c r="I9" s="156">
        <f t="shared" si="2"/>
        <v>264.48</v>
      </c>
      <c r="J9" s="156">
        <f t="shared" si="2"/>
        <v>268.5</v>
      </c>
      <c r="K9" s="156">
        <f t="shared" si="2"/>
        <v>260.3</v>
      </c>
      <c r="L9" s="156">
        <f t="shared" si="2"/>
        <v>253.60000000000002</v>
      </c>
      <c r="M9" s="320">
        <f t="shared" ref="M9" si="3">SUM(F9:H9)</f>
        <v>786.81499999999983</v>
      </c>
      <c r="N9" s="321">
        <f t="shared" ref="N9" si="4">SUM(F9:J9)</f>
        <v>1319.7949999999998</v>
      </c>
      <c r="O9" s="1098">
        <f>I9+J9+K9+L9</f>
        <v>1046.8800000000001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X166"/>
  <sheetViews>
    <sheetView topLeftCell="A89" zoomScale="80" zoomScaleNormal="80" workbookViewId="0">
      <selection activeCell="M99" sqref="M99"/>
    </sheetView>
  </sheetViews>
  <sheetFormatPr defaultColWidth="8.85546875" defaultRowHeight="15.75"/>
  <cols>
    <col min="1" max="1" width="7.28515625" style="731" customWidth="1"/>
    <col min="2" max="2" width="46.42578125" style="731" customWidth="1"/>
    <col min="3" max="3" width="19.140625" style="731" customWidth="1"/>
    <col min="4" max="4" width="19.28515625" style="731" customWidth="1"/>
    <col min="5" max="5" width="18.7109375" style="731" customWidth="1"/>
    <col min="6" max="6" width="20" style="731" customWidth="1"/>
    <col min="7" max="8" width="21.28515625" style="731" customWidth="1"/>
    <col min="9" max="9" width="21.140625" style="731" customWidth="1"/>
    <col min="10" max="10" width="22.140625" style="731" customWidth="1"/>
    <col min="11" max="11" width="15.140625" style="1250" customWidth="1"/>
    <col min="12" max="12" width="17" style="1250" customWidth="1"/>
    <col min="13" max="13" width="17.28515625" style="1250" customWidth="1"/>
    <col min="14" max="15" width="8.85546875" style="1250" customWidth="1"/>
    <col min="16" max="16" width="21.7109375" style="1249" customWidth="1"/>
    <col min="17" max="17" width="15" style="1249" customWidth="1"/>
    <col min="18" max="18" width="16.7109375" style="1249" customWidth="1"/>
    <col min="19" max="19" width="8.85546875" style="1250"/>
    <col min="20" max="20" width="17.42578125" style="1250" customWidth="1"/>
    <col min="21" max="23" width="13.5703125" style="731" bestFit="1" customWidth="1"/>
    <col min="24" max="24" width="12" style="731" bestFit="1" customWidth="1"/>
    <col min="25" max="16384" width="8.85546875" style="731"/>
  </cols>
  <sheetData>
    <row r="1" spans="1:19">
      <c r="A1" s="1120"/>
      <c r="B1" s="1120"/>
      <c r="C1" s="1120"/>
      <c r="D1" s="1120"/>
      <c r="E1" s="1120"/>
      <c r="F1" s="1120"/>
      <c r="G1" s="1120"/>
      <c r="H1" s="1120"/>
      <c r="I1" s="1120"/>
      <c r="J1" s="1120"/>
      <c r="K1" s="1248"/>
      <c r="L1" s="1248"/>
      <c r="M1" s="1248"/>
      <c r="N1" s="1248"/>
      <c r="O1" s="1248"/>
    </row>
    <row r="2" spans="1:19">
      <c r="A2" s="1120"/>
      <c r="B2" s="732" t="s">
        <v>1871</v>
      </c>
      <c r="C2" s="1120"/>
      <c r="D2" s="1120"/>
      <c r="E2" s="1120"/>
      <c r="F2" s="1120"/>
      <c r="G2" s="1120"/>
      <c r="H2" s="1120"/>
      <c r="I2" s="1120"/>
      <c r="J2" s="1120"/>
    </row>
    <row r="3" spans="1:19">
      <c r="A3" s="1120"/>
      <c r="B3" s="1121" t="s">
        <v>1637</v>
      </c>
      <c r="C3" s="1120"/>
      <c r="D3" s="1120"/>
      <c r="E3" s="1120"/>
      <c r="F3" s="1120"/>
      <c r="G3" s="1120"/>
      <c r="H3" s="1120"/>
      <c r="I3" s="1120"/>
      <c r="J3" s="1120"/>
    </row>
    <row r="4" spans="1:19">
      <c r="A4" s="1120"/>
      <c r="B4" s="1120" t="s">
        <v>1872</v>
      </c>
      <c r="C4" s="1120"/>
      <c r="D4" s="1120"/>
      <c r="E4" s="1120"/>
      <c r="F4" s="1120"/>
      <c r="G4" s="1120"/>
      <c r="H4" s="1120"/>
      <c r="I4" s="1120"/>
      <c r="J4" s="1120"/>
    </row>
    <row r="5" spans="1:19">
      <c r="A5" s="737" t="s">
        <v>41</v>
      </c>
      <c r="B5" s="733" t="s">
        <v>1636</v>
      </c>
      <c r="C5" s="1120"/>
      <c r="D5" s="1120"/>
      <c r="E5" s="1120"/>
      <c r="F5" s="1120"/>
      <c r="G5" s="1120"/>
      <c r="H5" s="1120"/>
      <c r="I5" s="1120"/>
      <c r="J5" s="1120"/>
    </row>
    <row r="6" spans="1:19">
      <c r="A6" s="1120"/>
      <c r="B6" s="1120"/>
      <c r="C6" s="1120"/>
      <c r="D6" s="1120"/>
      <c r="E6" s="1120"/>
      <c r="F6" s="1120"/>
      <c r="G6" s="1120"/>
      <c r="H6" s="1120"/>
      <c r="I6" s="1120"/>
      <c r="J6" s="1120"/>
    </row>
    <row r="7" spans="1:19" ht="18">
      <c r="A7" s="1122"/>
      <c r="B7" s="1123" t="s">
        <v>1642</v>
      </c>
      <c r="C7" s="1123">
        <v>2012</v>
      </c>
      <c r="D7" s="1123">
        <v>2013</v>
      </c>
      <c r="E7" s="1123">
        <v>2014</v>
      </c>
      <c r="F7" s="1166">
        <v>2015</v>
      </c>
      <c r="G7" s="1166">
        <v>2016</v>
      </c>
      <c r="H7" s="1120">
        <v>2017</v>
      </c>
      <c r="I7" s="1411">
        <v>2018</v>
      </c>
      <c r="J7" s="1410">
        <v>2019</v>
      </c>
      <c r="K7" s="1410">
        <v>2020</v>
      </c>
      <c r="L7" s="1410">
        <v>2021</v>
      </c>
      <c r="M7" s="1410">
        <v>2022</v>
      </c>
      <c r="N7" s="1224"/>
      <c r="O7" s="1224"/>
      <c r="P7" s="1909"/>
      <c r="Q7" s="1909"/>
      <c r="R7" s="1910"/>
      <c r="S7" s="1910"/>
    </row>
    <row r="8" spans="1:19" ht="18">
      <c r="A8" s="734">
        <v>1</v>
      </c>
      <c r="B8" s="735" t="s">
        <v>1643</v>
      </c>
      <c r="C8" s="736">
        <f>SUM(C9,C17)</f>
        <v>7950144</v>
      </c>
      <c r="D8" s="736">
        <f>SUM(D9,D17)</f>
        <v>9734125</v>
      </c>
      <c r="E8" s="736">
        <f>SUM(E9,E17)</f>
        <v>8986948</v>
      </c>
      <c r="F8" s="736">
        <f t="shared" ref="F8:G8" si="0">SUM(F9,F17)</f>
        <v>10962725</v>
      </c>
      <c r="G8" s="736">
        <f t="shared" si="0"/>
        <v>12798987</v>
      </c>
      <c r="H8" s="1124"/>
      <c r="I8" s="1411"/>
      <c r="J8" s="1412"/>
      <c r="K8" s="1410"/>
      <c r="L8" s="1412"/>
      <c r="M8" s="1410"/>
      <c r="N8" s="1911"/>
      <c r="O8" s="1224"/>
      <c r="P8" s="1909"/>
      <c r="Q8" s="1251"/>
      <c r="R8" s="1909"/>
      <c r="S8" s="1224"/>
    </row>
    <row r="9" spans="1:19" ht="18">
      <c r="A9" s="1125">
        <v>1.1000000000000001</v>
      </c>
      <c r="B9" s="1126" t="s">
        <v>1644</v>
      </c>
      <c r="C9" s="1127">
        <f>SUM(C10:C16)</f>
        <v>5066755</v>
      </c>
      <c r="D9" s="1127">
        <f t="shared" ref="D9:G9" si="1">SUM(D10:D16)</f>
        <v>5840470</v>
      </c>
      <c r="E9" s="1127">
        <f t="shared" si="1"/>
        <v>5673707</v>
      </c>
      <c r="F9" s="1127">
        <f t="shared" si="1"/>
        <v>8229175</v>
      </c>
      <c r="G9" s="1127">
        <f t="shared" si="1"/>
        <v>9792633</v>
      </c>
      <c r="H9" s="1124"/>
      <c r="I9" s="1411"/>
      <c r="J9" s="1412"/>
      <c r="K9" s="1410"/>
      <c r="L9" s="1412"/>
      <c r="M9" s="1410"/>
      <c r="N9" s="1911"/>
      <c r="O9" s="1224"/>
      <c r="P9" s="1909"/>
      <c r="Q9" s="1251"/>
      <c r="R9" s="1909"/>
      <c r="S9" s="1224"/>
    </row>
    <row r="10" spans="1:19">
      <c r="A10" s="1128" t="s">
        <v>315</v>
      </c>
      <c r="B10" s="1129" t="s">
        <v>1645</v>
      </c>
      <c r="C10" s="1130">
        <v>1657298</v>
      </c>
      <c r="D10" s="1131">
        <v>1700463</v>
      </c>
      <c r="E10" s="1130">
        <v>1521718</v>
      </c>
      <c r="F10" s="1389">
        <v>2133942</v>
      </c>
      <c r="G10" s="1388">
        <v>2539369</v>
      </c>
      <c r="H10" s="1124"/>
      <c r="I10" s="1225"/>
      <c r="J10" s="1226"/>
      <c r="K10" s="1227"/>
      <c r="L10" s="1226"/>
      <c r="M10" s="1227"/>
      <c r="N10" s="1226"/>
      <c r="O10" s="1227"/>
      <c r="P10" s="1228"/>
      <c r="Q10" s="1229"/>
      <c r="R10" s="1228"/>
      <c r="S10" s="1227"/>
    </row>
    <row r="11" spans="1:19">
      <c r="A11" s="1128" t="s">
        <v>316</v>
      </c>
      <c r="B11" s="1129" t="s">
        <v>1646</v>
      </c>
      <c r="C11" s="1130">
        <v>245325</v>
      </c>
      <c r="D11" s="1131">
        <v>288539</v>
      </c>
      <c r="E11" s="1130">
        <v>296720</v>
      </c>
      <c r="F11" s="1389">
        <v>349615</v>
      </c>
      <c r="G11" s="1388">
        <v>416038</v>
      </c>
      <c r="H11" s="1124"/>
      <c r="I11" s="1230"/>
      <c r="J11" s="1226"/>
      <c r="K11" s="1252"/>
      <c r="L11" s="1226"/>
      <c r="M11" s="1252"/>
      <c r="N11" s="1226"/>
      <c r="O11" s="1252"/>
      <c r="P11" s="1231"/>
      <c r="Q11" s="1253"/>
      <c r="R11" s="1231"/>
      <c r="S11" s="1252"/>
    </row>
    <row r="12" spans="1:19">
      <c r="A12" s="1128" t="s">
        <v>317</v>
      </c>
      <c r="B12" s="1129" t="s">
        <v>1647</v>
      </c>
      <c r="C12" s="1130">
        <v>463476</v>
      </c>
      <c r="D12" s="1131">
        <v>725121</v>
      </c>
      <c r="E12" s="1130">
        <v>702143</v>
      </c>
      <c r="F12" s="1389">
        <v>733246</v>
      </c>
      <c r="G12" s="1388">
        <v>872555</v>
      </c>
      <c r="H12" s="1124"/>
      <c r="I12" s="1232"/>
      <c r="J12" s="1233"/>
      <c r="K12" s="1254"/>
      <c r="L12" s="1233"/>
      <c r="M12" s="1254"/>
      <c r="N12" s="1233"/>
      <c r="O12" s="1254"/>
      <c r="P12" s="1231"/>
      <c r="Q12" s="1253"/>
      <c r="R12" s="1231"/>
      <c r="S12" s="1254"/>
    </row>
    <row r="13" spans="1:19">
      <c r="A13" s="1128" t="s">
        <v>318</v>
      </c>
      <c r="B13" s="1129" t="s">
        <v>1648</v>
      </c>
      <c r="C13" s="1132"/>
      <c r="D13" s="1132"/>
      <c r="E13" s="1130">
        <v>4172</v>
      </c>
      <c r="F13" s="1389"/>
      <c r="G13" s="1388"/>
      <c r="H13" s="1120"/>
      <c r="I13" s="1234"/>
      <c r="J13" s="1235"/>
      <c r="K13" s="1255"/>
      <c r="L13" s="1235"/>
      <c r="M13" s="1255"/>
      <c r="N13" s="1235"/>
      <c r="O13" s="1255"/>
      <c r="P13" s="1256"/>
      <c r="Q13" s="1257"/>
      <c r="R13" s="1236"/>
      <c r="S13" s="1255"/>
    </row>
    <row r="14" spans="1:19">
      <c r="A14" s="1128" t="s">
        <v>319</v>
      </c>
      <c r="B14" s="1129" t="s">
        <v>1649</v>
      </c>
      <c r="C14" s="1130">
        <v>604930</v>
      </c>
      <c r="D14" s="1131">
        <v>391636</v>
      </c>
      <c r="E14" s="1130">
        <v>305384</v>
      </c>
      <c r="F14" s="1389">
        <v>523457</v>
      </c>
      <c r="G14" s="1388">
        <v>622908</v>
      </c>
      <c r="H14" s="1124"/>
      <c r="I14" s="1234"/>
      <c r="J14" s="1235"/>
      <c r="K14" s="1255"/>
      <c r="L14" s="1235"/>
      <c r="M14" s="1255"/>
      <c r="N14" s="1235"/>
      <c r="O14" s="1255"/>
      <c r="P14" s="1256"/>
      <c r="Q14" s="1257"/>
      <c r="R14" s="1236"/>
      <c r="S14" s="1255"/>
    </row>
    <row r="15" spans="1:19">
      <c r="A15" s="1128" t="s">
        <v>320</v>
      </c>
      <c r="B15" s="1129" t="s">
        <v>1654</v>
      </c>
      <c r="C15" s="1130">
        <v>1423563</v>
      </c>
      <c r="D15" s="1131">
        <v>1642955</v>
      </c>
      <c r="E15" s="1130">
        <v>1878165</v>
      </c>
      <c r="F15" s="1389">
        <v>3776879</v>
      </c>
      <c r="G15" s="1388">
        <v>4494447</v>
      </c>
      <c r="H15" s="1124"/>
      <c r="I15" s="1234"/>
      <c r="J15" s="1235"/>
      <c r="K15" s="1255"/>
      <c r="L15" s="1235"/>
      <c r="M15" s="1255"/>
      <c r="N15" s="1235"/>
      <c r="O15" s="1255"/>
      <c r="P15" s="1256"/>
      <c r="Q15" s="1257"/>
      <c r="R15" s="1236"/>
      <c r="S15" s="1255"/>
    </row>
    <row r="16" spans="1:19">
      <c r="A16" s="1128" t="s">
        <v>321</v>
      </c>
      <c r="B16" s="1129" t="s">
        <v>1747</v>
      </c>
      <c r="C16" s="1130">
        <v>672163</v>
      </c>
      <c r="D16" s="1131">
        <v>1091756</v>
      </c>
      <c r="E16" s="1130">
        <v>965405</v>
      </c>
      <c r="F16" s="1389">
        <v>712036</v>
      </c>
      <c r="G16" s="1388">
        <v>847316</v>
      </c>
      <c r="H16" s="1124"/>
      <c r="I16" s="1234"/>
      <c r="J16" s="1237"/>
      <c r="K16" s="1255"/>
      <c r="L16" s="1237"/>
      <c r="M16" s="1255"/>
      <c r="N16" s="1235"/>
      <c r="O16" s="1255"/>
      <c r="P16" s="1256"/>
      <c r="Q16" s="1257"/>
      <c r="R16" s="1238"/>
      <c r="S16" s="1255"/>
    </row>
    <row r="17" spans="1:20">
      <c r="A17" s="1125">
        <v>1.3</v>
      </c>
      <c r="B17" s="1126" t="s">
        <v>1650</v>
      </c>
      <c r="C17" s="1127">
        <f>SUM(C18:C19)</f>
        <v>2883389</v>
      </c>
      <c r="D17" s="1127">
        <f>SUM(D18:D19)</f>
        <v>3893655</v>
      </c>
      <c r="E17" s="1127">
        <f>SUM(E18:E19)</f>
        <v>3313241</v>
      </c>
      <c r="F17" s="1390">
        <f t="shared" ref="F17:G17" si="2">SUM(F18:F19)</f>
        <v>2733550</v>
      </c>
      <c r="G17" s="1390">
        <f t="shared" si="2"/>
        <v>3006354</v>
      </c>
      <c r="H17" s="1124"/>
      <c r="I17" s="1234"/>
      <c r="J17" s="1235"/>
      <c r="K17" s="1255"/>
      <c r="L17" s="1235"/>
      <c r="M17" s="1255"/>
      <c r="N17" s="1235"/>
      <c r="O17" s="1255"/>
      <c r="P17" s="1256"/>
      <c r="Q17" s="1257"/>
      <c r="R17" s="1236"/>
      <c r="S17" s="1255"/>
    </row>
    <row r="18" spans="1:20">
      <c r="A18" s="1128" t="s">
        <v>333</v>
      </c>
      <c r="B18" s="1129" t="s">
        <v>1651</v>
      </c>
      <c r="C18" s="1131">
        <v>102000</v>
      </c>
      <c r="D18" s="1131">
        <v>112800</v>
      </c>
      <c r="E18" s="1131">
        <v>148800</v>
      </c>
      <c r="F18" s="1391">
        <v>142620</v>
      </c>
      <c r="G18" s="1391">
        <v>136809</v>
      </c>
      <c r="H18" s="1124"/>
      <c r="I18" s="1234"/>
      <c r="J18" s="1235"/>
      <c r="K18" s="1255"/>
      <c r="L18" s="1235"/>
      <c r="M18" s="1255"/>
      <c r="N18" s="1235"/>
      <c r="O18" s="1255"/>
      <c r="P18" s="1256"/>
      <c r="Q18" s="1257"/>
      <c r="R18" s="1236"/>
      <c r="S18" s="1255"/>
    </row>
    <row r="19" spans="1:20" ht="30">
      <c r="A19" s="1128" t="s">
        <v>335</v>
      </c>
      <c r="B19" s="1129" t="s">
        <v>1652</v>
      </c>
      <c r="C19" s="1131">
        <f>SUM(C20:C23)</f>
        <v>2781389</v>
      </c>
      <c r="D19" s="1131">
        <f>SUM(D20:D23)</f>
        <v>3780855</v>
      </c>
      <c r="E19" s="1131">
        <f>SUM(E20:E23)</f>
        <v>3164441</v>
      </c>
      <c r="F19" s="1391">
        <v>2590930</v>
      </c>
      <c r="G19" s="1391">
        <v>2869545</v>
      </c>
      <c r="H19" s="1124"/>
      <c r="I19" s="1234"/>
      <c r="J19" s="1235"/>
      <c r="K19" s="1255"/>
      <c r="L19" s="1235"/>
      <c r="M19" s="1255"/>
      <c r="N19" s="1235"/>
      <c r="O19" s="1255"/>
      <c r="P19" s="1256"/>
      <c r="Q19" s="1257"/>
      <c r="R19" s="1236"/>
      <c r="S19" s="1255"/>
    </row>
    <row r="20" spans="1:20">
      <c r="A20" s="1133" t="s">
        <v>1638</v>
      </c>
      <c r="B20" s="1134" t="s">
        <v>1653</v>
      </c>
      <c r="C20" s="1135">
        <v>1198284</v>
      </c>
      <c r="D20" s="1135">
        <v>1763951</v>
      </c>
      <c r="E20" s="1135">
        <v>1678611</v>
      </c>
      <c r="F20" s="1391">
        <v>1033995</v>
      </c>
      <c r="G20" s="1391">
        <v>1190238</v>
      </c>
      <c r="H20" s="1124"/>
      <c r="I20" s="1232"/>
      <c r="J20" s="1233"/>
      <c r="K20" s="1254"/>
      <c r="L20" s="1233"/>
      <c r="M20" s="1254"/>
      <c r="N20" s="1233"/>
      <c r="O20" s="1254"/>
      <c r="P20" s="1231"/>
      <c r="Q20" s="1253"/>
      <c r="R20" s="1231"/>
      <c r="S20" s="1254"/>
    </row>
    <row r="21" spans="1:20">
      <c r="A21" s="1133" t="s">
        <v>1639</v>
      </c>
      <c r="B21" s="1134" t="s">
        <v>1646</v>
      </c>
      <c r="C21" s="1135">
        <v>133488</v>
      </c>
      <c r="D21" s="1135">
        <v>56635</v>
      </c>
      <c r="E21" s="1135">
        <v>12054</v>
      </c>
      <c r="F21" s="1391">
        <v>12631</v>
      </c>
      <c r="G21" s="1391">
        <v>13624</v>
      </c>
      <c r="H21" s="1124"/>
      <c r="I21" s="1234"/>
      <c r="J21" s="1235"/>
      <c r="K21" s="1255"/>
      <c r="L21" s="1235"/>
      <c r="M21" s="1255"/>
      <c r="N21" s="1235"/>
      <c r="O21" s="1255"/>
      <c r="P21" s="1236"/>
      <c r="Q21" s="1257"/>
      <c r="R21" s="1236"/>
      <c r="S21" s="1255"/>
    </row>
    <row r="22" spans="1:20">
      <c r="A22" s="1133" t="s">
        <v>1640</v>
      </c>
      <c r="B22" s="1134" t="s">
        <v>1645</v>
      </c>
      <c r="C22" s="1135">
        <v>913904</v>
      </c>
      <c r="D22" s="1135">
        <v>1191128</v>
      </c>
      <c r="E22" s="1135">
        <v>1184302</v>
      </c>
      <c r="F22" s="1391">
        <v>1240977</v>
      </c>
      <c r="G22" s="1391">
        <v>1338515</v>
      </c>
      <c r="H22" s="1124"/>
      <c r="I22" s="1234"/>
      <c r="J22" s="1235"/>
      <c r="K22" s="1258"/>
      <c r="L22" s="1235"/>
      <c r="M22" s="1258"/>
      <c r="N22" s="1235"/>
      <c r="O22" s="1259"/>
      <c r="P22" s="1239"/>
      <c r="Q22" s="1260"/>
      <c r="R22" s="1239"/>
      <c r="S22" s="1259"/>
    </row>
    <row r="23" spans="1:20">
      <c r="A23" s="1133" t="s">
        <v>1641</v>
      </c>
      <c r="B23" s="1134" t="s">
        <v>1654</v>
      </c>
      <c r="C23" s="1135">
        <v>535713</v>
      </c>
      <c r="D23" s="1135">
        <v>769141</v>
      </c>
      <c r="E23" s="1135">
        <v>289474</v>
      </c>
      <c r="F23" s="1391">
        <v>303327</v>
      </c>
      <c r="G23" s="1391">
        <v>327168</v>
      </c>
      <c r="H23" s="1124"/>
      <c r="I23" s="1240"/>
      <c r="J23" s="1235"/>
      <c r="K23" s="1255"/>
      <c r="L23" s="1235"/>
      <c r="M23" s="1255"/>
      <c r="N23" s="1235"/>
      <c r="O23" s="1255"/>
      <c r="P23" s="1236"/>
      <c r="Q23" s="1257"/>
      <c r="R23" s="1236"/>
      <c r="S23" s="1255"/>
    </row>
    <row r="24" spans="1:20">
      <c r="A24" s="734">
        <v>5</v>
      </c>
      <c r="B24" s="735" t="s">
        <v>1656</v>
      </c>
      <c r="C24" s="736">
        <v>136601</v>
      </c>
      <c r="D24" s="736">
        <v>216607</v>
      </c>
      <c r="E24" s="736">
        <v>241633</v>
      </c>
      <c r="F24" s="1392">
        <v>379200</v>
      </c>
      <c r="G24" s="1392">
        <v>392561</v>
      </c>
      <c r="H24" s="1124"/>
      <c r="I24" s="1240"/>
      <c r="J24" s="1235"/>
      <c r="K24" s="1255"/>
      <c r="L24" s="1235"/>
      <c r="M24" s="1255"/>
      <c r="N24" s="1235"/>
      <c r="O24" s="1255"/>
      <c r="P24" s="1236"/>
      <c r="Q24" s="1257"/>
      <c r="R24" s="1236"/>
      <c r="S24" s="1255"/>
    </row>
    <row r="25" spans="1:20">
      <c r="A25" s="734">
        <v>6</v>
      </c>
      <c r="B25" s="735" t="s">
        <v>1657</v>
      </c>
      <c r="C25" s="736">
        <f>SUM(C26)</f>
        <v>0</v>
      </c>
      <c r="D25" s="736">
        <f t="shared" ref="D25:E25" si="3">SUM(D26)</f>
        <v>60466</v>
      </c>
      <c r="E25" s="736">
        <f t="shared" si="3"/>
        <v>36353</v>
      </c>
      <c r="F25" s="1392">
        <f>SUM(F26,F27)</f>
        <v>372153</v>
      </c>
      <c r="G25" s="1392">
        <f>SUM(G26,G27)</f>
        <v>489353</v>
      </c>
      <c r="H25" s="1120"/>
      <c r="I25" s="1240"/>
      <c r="J25" s="1235"/>
      <c r="K25" s="1255"/>
      <c r="L25" s="1235"/>
      <c r="M25" s="1255"/>
      <c r="N25" s="1235"/>
      <c r="O25" s="1255"/>
      <c r="P25" s="1236"/>
      <c r="Q25" s="1257"/>
      <c r="R25" s="1236"/>
      <c r="S25" s="1255"/>
    </row>
    <row r="26" spans="1:20">
      <c r="A26" s="1125">
        <v>6.4</v>
      </c>
      <c r="B26" s="1126" t="s">
        <v>1655</v>
      </c>
      <c r="C26" s="1127"/>
      <c r="D26" s="1127">
        <v>60466</v>
      </c>
      <c r="E26" s="1127">
        <v>36353</v>
      </c>
      <c r="F26" s="1390">
        <v>36353</v>
      </c>
      <c r="G26" s="1390">
        <v>36353</v>
      </c>
      <c r="H26" s="1120"/>
      <c r="I26" s="1240"/>
      <c r="J26" s="1235"/>
      <c r="K26" s="1255"/>
      <c r="L26" s="1235"/>
      <c r="M26" s="1255"/>
      <c r="N26" s="1235"/>
      <c r="O26" s="1255"/>
      <c r="P26" s="1236"/>
      <c r="Q26" s="1257"/>
      <c r="R26" s="1236"/>
      <c r="S26" s="1255"/>
    </row>
    <row r="27" spans="1:20">
      <c r="A27" s="1221" t="s">
        <v>1870</v>
      </c>
      <c r="B27" s="1222" t="s">
        <v>1869</v>
      </c>
      <c r="C27" s="1223"/>
      <c r="D27" s="1223"/>
      <c r="E27" s="1223"/>
      <c r="F27" s="1393">
        <v>335800</v>
      </c>
      <c r="G27" s="1393">
        <v>453000</v>
      </c>
      <c r="H27" s="1120"/>
      <c r="I27" s="1240"/>
      <c r="J27" s="1235"/>
      <c r="K27" s="1255"/>
      <c r="L27" s="1235"/>
      <c r="M27" s="1255"/>
      <c r="N27" s="1235"/>
      <c r="O27" s="1255"/>
      <c r="P27" s="1236"/>
      <c r="Q27" s="1257"/>
      <c r="R27" s="1236"/>
      <c r="S27" s="1255"/>
    </row>
    <row r="28" spans="1:20" ht="27.75" customHeight="1">
      <c r="A28" s="734">
        <v>7</v>
      </c>
      <c r="B28" s="735" t="s">
        <v>1658</v>
      </c>
      <c r="C28" s="736"/>
      <c r="D28" s="736"/>
      <c r="E28" s="736">
        <v>142184</v>
      </c>
      <c r="F28" s="736">
        <v>171000</v>
      </c>
      <c r="G28" s="736"/>
      <c r="H28" s="1120"/>
      <c r="I28" s="1230"/>
      <c r="J28" s="1226"/>
      <c r="K28" s="1252"/>
      <c r="L28" s="1226"/>
      <c r="M28" s="1252"/>
      <c r="N28" s="1226"/>
      <c r="O28" s="1252"/>
      <c r="P28" s="1231"/>
      <c r="Q28" s="1253"/>
      <c r="R28" s="1231"/>
      <c r="S28" s="1252"/>
      <c r="T28" s="731"/>
    </row>
    <row r="29" spans="1:20">
      <c r="A29" s="734">
        <v>8</v>
      </c>
      <c r="B29" s="735" t="s">
        <v>1659</v>
      </c>
      <c r="C29" s="736">
        <v>2829694</v>
      </c>
      <c r="D29" s="736">
        <v>4520851</v>
      </c>
      <c r="E29" s="736">
        <v>6448611</v>
      </c>
      <c r="F29" s="736">
        <v>498200</v>
      </c>
      <c r="G29" s="736">
        <v>1529371</v>
      </c>
      <c r="H29" s="1124"/>
      <c r="I29" s="1230"/>
      <c r="J29" s="1226"/>
      <c r="K29" s="1252"/>
      <c r="L29" s="1226"/>
      <c r="M29" s="1252"/>
      <c r="N29" s="1226"/>
      <c r="O29" s="1252"/>
      <c r="P29" s="1231"/>
      <c r="Q29" s="1253"/>
      <c r="R29" s="1231"/>
      <c r="S29" s="1252"/>
      <c r="T29" s="731"/>
    </row>
    <row r="30" spans="1:20" ht="22.9" customHeight="1">
      <c r="A30" s="1136"/>
      <c r="B30" s="1137" t="s">
        <v>4</v>
      </c>
      <c r="C30" s="1138">
        <f>SUM(C8,C24,C25,C28,C29)</f>
        <v>10916439</v>
      </c>
      <c r="D30" s="1138">
        <f t="shared" ref="D30:E30" si="4">SUM(D8,D24,D25,D28,D29)</f>
        <v>14532049</v>
      </c>
      <c r="E30" s="1138">
        <f t="shared" si="4"/>
        <v>15855729</v>
      </c>
      <c r="F30" s="1138">
        <f>SUM(F8,F24,F25,F28,G29,F29)</f>
        <v>13912649</v>
      </c>
      <c r="G30" s="1138">
        <f>SUM(G8,G24,G25,G28,G29)</f>
        <v>15210272</v>
      </c>
      <c r="H30" s="1124"/>
      <c r="I30" s="1234"/>
      <c r="J30" s="1241"/>
      <c r="K30" s="1261"/>
      <c r="L30" s="1241"/>
      <c r="M30" s="1261"/>
      <c r="N30" s="1241"/>
      <c r="O30" s="1261"/>
      <c r="P30" s="1242"/>
      <c r="Q30" s="1262"/>
      <c r="R30" s="1242"/>
      <c r="S30" s="1261"/>
      <c r="T30" s="731"/>
    </row>
    <row r="33" spans="1:20">
      <c r="A33" s="1120"/>
      <c r="B33" s="1120"/>
      <c r="C33" s="1120"/>
      <c r="D33" s="1120"/>
      <c r="E33" s="1120"/>
      <c r="F33" s="1120"/>
      <c r="G33" s="1120"/>
      <c r="H33" s="1120"/>
      <c r="I33" s="1234"/>
      <c r="J33" s="1243"/>
      <c r="K33" s="1261"/>
      <c r="L33" s="1243"/>
      <c r="M33" s="1261"/>
      <c r="N33" s="1243"/>
      <c r="O33" s="1261"/>
      <c r="P33" s="1242"/>
      <c r="Q33" s="1262"/>
      <c r="R33" s="1242"/>
      <c r="S33" s="1261"/>
      <c r="T33" s="731"/>
    </row>
    <row r="34" spans="1:20">
      <c r="A34" s="737" t="s">
        <v>43</v>
      </c>
      <c r="B34" s="732" t="s">
        <v>1660</v>
      </c>
      <c r="C34" s="738">
        <v>1.651</v>
      </c>
      <c r="D34" s="738">
        <v>1.663</v>
      </c>
      <c r="E34" s="738">
        <v>1.766</v>
      </c>
      <c r="F34" s="1023">
        <v>2.4011</v>
      </c>
      <c r="G34" s="1023">
        <v>2.3359999999999999</v>
      </c>
      <c r="H34" s="1023">
        <v>2.3359999999999999</v>
      </c>
      <c r="I34" s="1023">
        <v>2.3359999999999999</v>
      </c>
      <c r="J34" s="1023">
        <v>2.3359999999999999</v>
      </c>
      <c r="K34" s="1023">
        <v>2.4</v>
      </c>
      <c r="L34" s="1244">
        <v>2.4</v>
      </c>
      <c r="M34" s="1244">
        <v>2.4</v>
      </c>
      <c r="N34" s="1245"/>
      <c r="O34" s="1263"/>
      <c r="P34" s="1246"/>
      <c r="Q34" s="1264"/>
      <c r="R34" s="1247"/>
      <c r="S34" s="1265"/>
      <c r="T34" s="731"/>
    </row>
    <row r="35" spans="1:20">
      <c r="A35" s="737"/>
      <c r="B35" s="1120"/>
      <c r="C35" s="1120"/>
      <c r="D35" s="1120"/>
      <c r="E35" s="1120"/>
      <c r="F35" s="1120"/>
      <c r="G35" s="1120"/>
      <c r="H35" s="1120"/>
      <c r="I35" s="1120"/>
      <c r="J35" s="1120"/>
      <c r="K35" s="1248"/>
      <c r="L35" s="1248"/>
      <c r="M35" s="1248"/>
      <c r="N35" s="1248"/>
      <c r="O35" s="1248"/>
      <c r="T35" s="731"/>
    </row>
    <row r="36" spans="1:20">
      <c r="A36" s="737" t="s">
        <v>45</v>
      </c>
      <c r="B36" s="733" t="s">
        <v>1386</v>
      </c>
      <c r="C36" s="1120"/>
      <c r="D36" s="1120"/>
      <c r="E36" s="1120"/>
      <c r="F36" s="1120"/>
      <c r="G36" s="1120"/>
      <c r="H36" s="1120"/>
      <c r="I36" s="1120"/>
      <c r="J36" s="1120"/>
      <c r="K36" s="1248"/>
      <c r="L36" s="1248"/>
      <c r="M36" s="1248"/>
      <c r="N36" s="1248"/>
      <c r="O36" s="1248"/>
      <c r="T36" s="731"/>
    </row>
    <row r="37" spans="1:20">
      <c r="A37" s="1120"/>
      <c r="B37" s="1120"/>
      <c r="C37" s="1120"/>
      <c r="D37" s="1120"/>
      <c r="E37" s="1120"/>
      <c r="F37" s="1120"/>
      <c r="G37" s="1120"/>
      <c r="H37" s="1120"/>
      <c r="I37" s="1120"/>
      <c r="J37" s="1120"/>
      <c r="K37" s="1248"/>
      <c r="L37" s="1248"/>
      <c r="M37" s="1248"/>
      <c r="N37" s="1248"/>
      <c r="O37" s="1248"/>
      <c r="T37" s="731"/>
    </row>
    <row r="38" spans="1:20">
      <c r="A38" s="1122"/>
      <c r="B38" s="1123" t="s">
        <v>1642</v>
      </c>
      <c r="C38" s="1123">
        <v>2012</v>
      </c>
      <c r="D38" s="1123">
        <v>2013</v>
      </c>
      <c r="E38" s="1123">
        <v>2014</v>
      </c>
      <c r="F38" s="1166">
        <v>2015</v>
      </c>
      <c r="G38" s="1166">
        <v>2016</v>
      </c>
      <c r="H38" s="1120"/>
      <c r="I38" s="1120"/>
      <c r="J38" s="1120"/>
      <c r="K38" s="1248"/>
      <c r="L38" s="1248"/>
      <c r="M38" s="1248"/>
      <c r="N38" s="1248"/>
      <c r="O38" s="1248"/>
      <c r="T38" s="731"/>
    </row>
    <row r="39" spans="1:20">
      <c r="A39" s="734">
        <v>1</v>
      </c>
      <c r="B39" s="735" t="s">
        <v>1643</v>
      </c>
      <c r="C39" s="736">
        <f>SUM(C40,C48)</f>
        <v>4815350.6965475464</v>
      </c>
      <c r="D39" s="736">
        <f>SUM(D40,D48)</f>
        <v>5853352.3752254955</v>
      </c>
      <c r="E39" s="736">
        <f>SUM(E40,E48)</f>
        <v>5088872.0271800673</v>
      </c>
      <c r="F39" s="736">
        <f t="shared" ref="F39:G39" si="5">SUM(F40,F48)</f>
        <v>4565709.466494523</v>
      </c>
      <c r="G39" s="736">
        <f t="shared" si="5"/>
        <v>5479018.4075342473</v>
      </c>
      <c r="H39" s="1120"/>
      <c r="I39" s="1120"/>
      <c r="J39" s="1120"/>
      <c r="K39" s="1248"/>
      <c r="L39" s="1248"/>
      <c r="M39" s="1248"/>
      <c r="N39" s="1248"/>
      <c r="O39" s="1248"/>
      <c r="T39" s="731"/>
    </row>
    <row r="40" spans="1:20">
      <c r="A40" s="1125">
        <v>1.1000000000000001</v>
      </c>
      <c r="B40" s="1126" t="s">
        <v>1644</v>
      </c>
      <c r="C40" s="1127">
        <f>SUM(C41:C47)</f>
        <v>3068900.6662628707</v>
      </c>
      <c r="D40" s="1127">
        <f t="shared" ref="D40:G40" si="6">SUM(D41:D47)</f>
        <v>3512008.4185207458</v>
      </c>
      <c r="E40" s="1127">
        <f t="shared" si="6"/>
        <v>3212744.6206115512</v>
      </c>
      <c r="F40" s="1127">
        <f t="shared" si="6"/>
        <v>3427252.0927908039</v>
      </c>
      <c r="G40" s="1127">
        <f t="shared" si="6"/>
        <v>4192051.7979452056</v>
      </c>
      <c r="H40" s="1120"/>
      <c r="I40" s="1120"/>
      <c r="J40" s="1120"/>
      <c r="K40" s="1248"/>
      <c r="L40" s="1248"/>
      <c r="M40" s="1248"/>
      <c r="N40" s="1248"/>
      <c r="O40" s="1248"/>
      <c r="T40" s="731"/>
    </row>
    <row r="41" spans="1:20">
      <c r="A41" s="1128" t="s">
        <v>315</v>
      </c>
      <c r="B41" s="1129" t="s">
        <v>1645</v>
      </c>
      <c r="C41" s="1130">
        <f t="shared" ref="C41:E47" si="7">C10/C$34</f>
        <v>1003814.6577831617</v>
      </c>
      <c r="D41" s="1130">
        <f t="shared" si="7"/>
        <v>1022527.3601924233</v>
      </c>
      <c r="E41" s="1130">
        <f t="shared" si="7"/>
        <v>861674.97168742924</v>
      </c>
      <c r="F41" s="1130">
        <f t="shared" ref="F41:G41" si="8">F10/F$34</f>
        <v>888735.16305026866</v>
      </c>
      <c r="G41" s="1130">
        <f t="shared" si="8"/>
        <v>1087058.647260274</v>
      </c>
      <c r="H41" s="1501">
        <f>G41+G53</f>
        <v>1660053.0821917809</v>
      </c>
      <c r="I41" s="1636">
        <f>E41+E53</f>
        <v>1532287.6557191391</v>
      </c>
      <c r="J41" s="1120"/>
      <c r="K41" s="1248"/>
      <c r="L41" s="1248"/>
      <c r="M41" s="1248"/>
      <c r="N41" s="1248"/>
      <c r="O41" s="1248"/>
      <c r="T41" s="731"/>
    </row>
    <row r="42" spans="1:20">
      <c r="A42" s="1128" t="s">
        <v>316</v>
      </c>
      <c r="B42" s="1129" t="s">
        <v>1646</v>
      </c>
      <c r="C42" s="1130">
        <f t="shared" si="7"/>
        <v>148591.76256814052</v>
      </c>
      <c r="D42" s="1130">
        <f t="shared" si="7"/>
        <v>173505.11124473842</v>
      </c>
      <c r="E42" s="1130">
        <f t="shared" si="7"/>
        <v>168018.12004530011</v>
      </c>
      <c r="F42" s="1130">
        <f t="shared" ref="F42:G42" si="9">F11/F$34</f>
        <v>145606.18050060389</v>
      </c>
      <c r="G42" s="1130">
        <f t="shared" si="9"/>
        <v>178098.4589041096</v>
      </c>
      <c r="H42" s="1637"/>
      <c r="I42" s="1637">
        <f>I41-H41</f>
        <v>-127765.42647264176</v>
      </c>
      <c r="J42" s="1120"/>
      <c r="K42" s="1248"/>
      <c r="L42" s="1248"/>
      <c r="M42" s="1248"/>
      <c r="N42" s="1248"/>
      <c r="O42" s="1248"/>
      <c r="T42" s="731"/>
    </row>
    <row r="43" spans="1:20">
      <c r="A43" s="1128" t="s">
        <v>317</v>
      </c>
      <c r="B43" s="1129" t="s">
        <v>1647</v>
      </c>
      <c r="C43" s="1130">
        <f t="shared" si="7"/>
        <v>280724.40944881889</v>
      </c>
      <c r="D43" s="1130">
        <f t="shared" si="7"/>
        <v>436031.87011425133</v>
      </c>
      <c r="E43" s="1130">
        <f t="shared" si="7"/>
        <v>397589.46772366931</v>
      </c>
      <c r="F43" s="1130">
        <f t="shared" ref="F43:G43" si="10">F12/F$34</f>
        <v>305379.20119945024</v>
      </c>
      <c r="G43" s="1130">
        <f t="shared" si="10"/>
        <v>373525.25684931508</v>
      </c>
      <c r="H43" s="1120"/>
      <c r="I43" s="1120"/>
      <c r="J43" s="1120"/>
      <c r="K43" s="1248"/>
      <c r="L43" s="1248"/>
      <c r="M43" s="1248"/>
      <c r="N43" s="1248"/>
      <c r="O43" s="1248"/>
      <c r="T43" s="731"/>
    </row>
    <row r="44" spans="1:20">
      <c r="A44" s="1128" t="s">
        <v>318</v>
      </c>
      <c r="B44" s="1129" t="s">
        <v>1648</v>
      </c>
      <c r="C44" s="1130">
        <f t="shared" si="7"/>
        <v>0</v>
      </c>
      <c r="D44" s="1130">
        <f t="shared" si="7"/>
        <v>0</v>
      </c>
      <c r="E44" s="1130">
        <f t="shared" si="7"/>
        <v>2362.4009060022649</v>
      </c>
      <c r="F44" s="1130">
        <f t="shared" ref="F44:G44" si="11">F13/F$34</f>
        <v>0</v>
      </c>
      <c r="G44" s="1130">
        <f t="shared" si="11"/>
        <v>0</v>
      </c>
      <c r="H44" s="1120"/>
      <c r="I44" s="1120"/>
      <c r="J44" s="1120"/>
      <c r="K44" s="1248"/>
      <c r="L44" s="1248"/>
      <c r="M44" s="1248"/>
      <c r="N44" s="1248"/>
      <c r="O44" s="1248"/>
      <c r="T44" s="731"/>
    </row>
    <row r="45" spans="1:20">
      <c r="A45" s="1128" t="s">
        <v>319</v>
      </c>
      <c r="B45" s="1129" t="s">
        <v>1649</v>
      </c>
      <c r="C45" s="1130">
        <f t="shared" si="7"/>
        <v>366402.18049666868</v>
      </c>
      <c r="D45" s="1130">
        <f t="shared" si="7"/>
        <v>235499.6993385448</v>
      </c>
      <c r="E45" s="1130">
        <f t="shared" si="7"/>
        <v>172924.12231030577</v>
      </c>
      <c r="F45" s="1130">
        <f t="shared" ref="F45:G45" si="12">F14/F$34</f>
        <v>218007.16338344925</v>
      </c>
      <c r="G45" s="1130">
        <f t="shared" si="12"/>
        <v>266655.82191780821</v>
      </c>
      <c r="H45" s="1120"/>
      <c r="I45" s="1120"/>
      <c r="J45" s="1120"/>
      <c r="K45" s="1248"/>
      <c r="L45" s="1248"/>
      <c r="M45" s="1248"/>
      <c r="N45" s="1248"/>
      <c r="O45" s="1248"/>
      <c r="T45" s="731"/>
    </row>
    <row r="46" spans="1:20">
      <c r="A46" s="1128" t="s">
        <v>320</v>
      </c>
      <c r="B46" s="1129" t="s">
        <v>1654</v>
      </c>
      <c r="C46" s="1130">
        <f t="shared" si="7"/>
        <v>862242.88310115086</v>
      </c>
      <c r="D46" s="1130">
        <f t="shared" si="7"/>
        <v>987946.48226097412</v>
      </c>
      <c r="E46" s="1130">
        <f t="shared" si="7"/>
        <v>1063513.590033975</v>
      </c>
      <c r="F46" s="1130">
        <f t="shared" ref="F46:G46" si="13">F15/F$34</f>
        <v>1572978.6347923868</v>
      </c>
      <c r="G46" s="1130">
        <f t="shared" si="13"/>
        <v>1923992.7226027399</v>
      </c>
      <c r="H46" s="1120"/>
      <c r="I46" s="1120"/>
      <c r="J46" s="1120"/>
      <c r="K46" s="1248"/>
      <c r="L46" s="1248"/>
      <c r="M46" s="1248"/>
      <c r="N46" s="1248"/>
      <c r="O46" s="1248"/>
      <c r="T46" s="731"/>
    </row>
    <row r="47" spans="1:20">
      <c r="A47" s="1128" t="s">
        <v>321</v>
      </c>
      <c r="B47" s="1129" t="s">
        <v>1747</v>
      </c>
      <c r="C47" s="1130">
        <f t="shared" si="7"/>
        <v>407124.77286493033</v>
      </c>
      <c r="D47" s="1130">
        <f t="shared" si="7"/>
        <v>656497.89536981354</v>
      </c>
      <c r="E47" s="1130">
        <f t="shared" si="7"/>
        <v>546661.9479048698</v>
      </c>
      <c r="F47" s="1130">
        <f t="shared" ref="F47:G47" si="14">F16/F$34</f>
        <v>296545.74986464536</v>
      </c>
      <c r="G47" s="1130">
        <f t="shared" si="14"/>
        <v>362720.89041095891</v>
      </c>
      <c r="H47" s="1124"/>
      <c r="I47" s="1124"/>
      <c r="J47" s="1124"/>
      <c r="K47" s="1248"/>
      <c r="L47" s="1266"/>
      <c r="M47" s="1266"/>
      <c r="N47" s="1266"/>
      <c r="O47" s="1248"/>
      <c r="T47" s="731"/>
    </row>
    <row r="48" spans="1:20">
      <c r="A48" s="1125">
        <v>1.3</v>
      </c>
      <c r="B48" s="1126" t="s">
        <v>1650</v>
      </c>
      <c r="C48" s="1127">
        <f>SUM(C49:C50)</f>
        <v>1746450.030284676</v>
      </c>
      <c r="D48" s="1127">
        <f>SUM(D49:D50)</f>
        <v>2341343.9567047502</v>
      </c>
      <c r="E48" s="1127">
        <f>SUM(E49:E50)</f>
        <v>1876127.4065685163</v>
      </c>
      <c r="F48" s="1127">
        <f t="shared" ref="F48:G48" si="15">SUM(F49:F50)</f>
        <v>1138457.3737037191</v>
      </c>
      <c r="G48" s="1127">
        <f t="shared" si="15"/>
        <v>1286966.6095890412</v>
      </c>
      <c r="H48" s="1139"/>
      <c r="I48" s="1139"/>
      <c r="J48" s="1120"/>
      <c r="K48" s="1248"/>
      <c r="L48" s="1248"/>
      <c r="M48" s="1248"/>
      <c r="N48" s="1248"/>
      <c r="O48" s="1248"/>
      <c r="T48" s="731"/>
    </row>
    <row r="49" spans="1:20">
      <c r="A49" s="1128" t="s">
        <v>333</v>
      </c>
      <c r="B49" s="1129" t="s">
        <v>1651</v>
      </c>
      <c r="C49" s="1131">
        <f>C18/C$34</f>
        <v>61780.738946093275</v>
      </c>
      <c r="D49" s="1131">
        <f>D18/D$34</f>
        <v>67829.224293445572</v>
      </c>
      <c r="E49" s="1131">
        <f>E18/E$34</f>
        <v>84258.210645526618</v>
      </c>
      <c r="F49" s="1131">
        <f t="shared" ref="F49:G49" si="16">F18/F$34</f>
        <v>59397.776019324476</v>
      </c>
      <c r="G49" s="1131">
        <f t="shared" si="16"/>
        <v>58565.496575342469</v>
      </c>
      <c r="H49" s="1120"/>
      <c r="I49" s="1120"/>
      <c r="J49" s="1120"/>
      <c r="K49" s="1248"/>
      <c r="L49" s="1248"/>
      <c r="M49" s="1248"/>
      <c r="N49" s="1248"/>
      <c r="O49" s="1248"/>
      <c r="T49" s="731"/>
    </row>
    <row r="50" spans="1:20" ht="30">
      <c r="A50" s="1128" t="s">
        <v>335</v>
      </c>
      <c r="B50" s="1129" t="s">
        <v>1652</v>
      </c>
      <c r="C50" s="1131">
        <f>SUM(C51:C54)</f>
        <v>1684669.2913385828</v>
      </c>
      <c r="D50" s="1131">
        <f>SUM(D51:D54)</f>
        <v>2273514.7324113045</v>
      </c>
      <c r="E50" s="1131">
        <f>SUM(E51:E54)</f>
        <v>1791869.1959229896</v>
      </c>
      <c r="F50" s="1131">
        <f t="shared" ref="F50:G50" si="17">SUM(F51:F54)</f>
        <v>1079059.5976843946</v>
      </c>
      <c r="G50" s="1131">
        <f t="shared" si="17"/>
        <v>1228401.1130136987</v>
      </c>
      <c r="H50" s="1120"/>
      <c r="I50" s="1120"/>
      <c r="J50" s="1120"/>
      <c r="K50" s="1248"/>
      <c r="L50" s="1248"/>
      <c r="M50" s="1248"/>
      <c r="N50" s="1248"/>
      <c r="O50" s="1248"/>
      <c r="P50" s="731"/>
      <c r="Q50" s="731"/>
      <c r="R50" s="731"/>
      <c r="S50" s="731"/>
      <c r="T50" s="731"/>
    </row>
    <row r="51" spans="1:20" ht="15">
      <c r="A51" s="1133" t="s">
        <v>1638</v>
      </c>
      <c r="B51" s="1134" t="s">
        <v>1653</v>
      </c>
      <c r="C51" s="1135">
        <f t="shared" ref="C51:E55" si="18">C20/C$34</f>
        <v>725792.85281647486</v>
      </c>
      <c r="D51" s="1135">
        <f t="shared" si="18"/>
        <v>1060704.1491280817</v>
      </c>
      <c r="E51" s="1135">
        <f t="shared" si="18"/>
        <v>950515.85503963754</v>
      </c>
      <c r="F51" s="1135">
        <f t="shared" ref="F51:G51" si="19">F20/F$34</f>
        <v>430633.87614010245</v>
      </c>
      <c r="G51" s="1135">
        <f t="shared" si="19"/>
        <v>509519.69178082194</v>
      </c>
      <c r="H51" s="1120"/>
      <c r="I51" s="1120"/>
      <c r="J51" s="1120"/>
      <c r="K51" s="1248"/>
      <c r="L51" s="1248"/>
      <c r="M51" s="1248"/>
      <c r="N51" s="1248"/>
      <c r="O51" s="1248"/>
      <c r="P51" s="731"/>
      <c r="Q51" s="731"/>
      <c r="R51" s="731"/>
      <c r="S51" s="731"/>
      <c r="T51" s="731"/>
    </row>
    <row r="52" spans="1:20" ht="15">
      <c r="A52" s="1133" t="s">
        <v>1639</v>
      </c>
      <c r="B52" s="1134" t="s">
        <v>1646</v>
      </c>
      <c r="C52" s="1135">
        <f t="shared" si="18"/>
        <v>80852.816474863721</v>
      </c>
      <c r="D52" s="1135">
        <f t="shared" si="18"/>
        <v>34055.923030667465</v>
      </c>
      <c r="E52" s="1135">
        <f t="shared" si="18"/>
        <v>6825.5945639864103</v>
      </c>
      <c r="F52" s="1135">
        <f t="shared" ref="F52:G52" si="20">F21/F$34</f>
        <v>5260.5056015992668</v>
      </c>
      <c r="G52" s="1135">
        <f t="shared" si="20"/>
        <v>5832.1917808219177</v>
      </c>
      <c r="H52" s="1120"/>
      <c r="I52" s="1120"/>
      <c r="J52" s="1120"/>
      <c r="K52" s="1248"/>
      <c r="L52" s="1248"/>
      <c r="M52" s="1248"/>
      <c r="N52" s="1248"/>
      <c r="O52" s="1248"/>
      <c r="P52" s="731"/>
      <c r="Q52" s="731"/>
      <c r="R52" s="731"/>
      <c r="S52" s="731"/>
      <c r="T52" s="731"/>
    </row>
    <row r="53" spans="1:20" ht="15">
      <c r="A53" s="1133" t="s">
        <v>1640</v>
      </c>
      <c r="B53" s="1134" t="s">
        <v>1645</v>
      </c>
      <c r="C53" s="1135">
        <f t="shared" si="18"/>
        <v>553545.72986069054</v>
      </c>
      <c r="D53" s="1135">
        <f t="shared" si="18"/>
        <v>716252.55562236917</v>
      </c>
      <c r="E53" s="1135">
        <f t="shared" si="18"/>
        <v>670612.68403171003</v>
      </c>
      <c r="F53" s="1135">
        <f t="shared" ref="F53:G53" si="21">F22/F$34</f>
        <v>516836.86643621675</v>
      </c>
      <c r="G53" s="1135">
        <f t="shared" si="21"/>
        <v>572994.43493150687</v>
      </c>
      <c r="H53" s="1139"/>
      <c r="I53" s="1139"/>
      <c r="J53" s="1120"/>
      <c r="K53" s="1248"/>
      <c r="L53" s="1248"/>
      <c r="M53" s="1248"/>
      <c r="N53" s="1248"/>
      <c r="O53" s="1248"/>
      <c r="P53" s="731"/>
      <c r="Q53" s="731"/>
      <c r="R53" s="731"/>
      <c r="S53" s="731"/>
      <c r="T53" s="731"/>
    </row>
    <row r="54" spans="1:20" ht="15">
      <c r="A54" s="1133" t="s">
        <v>1641</v>
      </c>
      <c r="B54" s="1134" t="s">
        <v>1654</v>
      </c>
      <c r="C54" s="1135">
        <f t="shared" si="18"/>
        <v>324477.89218655362</v>
      </c>
      <c r="D54" s="1135">
        <f t="shared" si="18"/>
        <v>462502.1046301864</v>
      </c>
      <c r="E54" s="1135">
        <f t="shared" si="18"/>
        <v>163915.06228765572</v>
      </c>
      <c r="F54" s="1135">
        <f t="shared" ref="F54:G54" si="22">F23/F$34</f>
        <v>126328.3495064762</v>
      </c>
      <c r="G54" s="1135">
        <f t="shared" si="22"/>
        <v>140054.79452054796</v>
      </c>
      <c r="H54" s="1120"/>
      <c r="I54" s="1120"/>
      <c r="J54" s="1120"/>
      <c r="K54" s="1248"/>
      <c r="L54" s="1248"/>
      <c r="M54" s="1248"/>
      <c r="N54" s="1248"/>
      <c r="O54" s="1248"/>
      <c r="P54" s="731"/>
      <c r="Q54" s="731"/>
      <c r="R54" s="731"/>
      <c r="S54" s="731"/>
      <c r="T54" s="731"/>
    </row>
    <row r="55" spans="1:20" ht="15">
      <c r="A55" s="734">
        <v>5</v>
      </c>
      <c r="B55" s="735" t="s">
        <v>1656</v>
      </c>
      <c r="C55" s="736">
        <f t="shared" si="18"/>
        <v>82738.340399757726</v>
      </c>
      <c r="D55" s="736">
        <f t="shared" si="18"/>
        <v>130250.751653638</v>
      </c>
      <c r="E55" s="736">
        <f t="shared" si="18"/>
        <v>136825.02831257079</v>
      </c>
      <c r="F55" s="736">
        <f t="shared" ref="F55:G55" si="23">F24/F$34</f>
        <v>157927.61650909999</v>
      </c>
      <c r="G55" s="736">
        <f t="shared" si="23"/>
        <v>168048.37328767125</v>
      </c>
      <c r="H55" s="1120"/>
      <c r="I55" s="1120"/>
      <c r="J55" s="1120"/>
      <c r="K55" s="1248"/>
      <c r="L55" s="1248"/>
      <c r="M55" s="1248"/>
      <c r="N55" s="1248"/>
      <c r="O55" s="1248"/>
      <c r="P55" s="731"/>
      <c r="Q55" s="731"/>
      <c r="R55" s="731"/>
      <c r="S55" s="731"/>
      <c r="T55" s="731"/>
    </row>
    <row r="56" spans="1:20" ht="15">
      <c r="A56" s="734">
        <v>6</v>
      </c>
      <c r="B56" s="735" t="s">
        <v>1657</v>
      </c>
      <c r="C56" s="736">
        <f>SUM(C57)</f>
        <v>0</v>
      </c>
      <c r="D56" s="736">
        <f t="shared" ref="D56" si="24">SUM(D57)</f>
        <v>36359.591100420927</v>
      </c>
      <c r="E56" s="736">
        <f t="shared" ref="E56" si="25">SUM(E57)</f>
        <v>20584.937712344279</v>
      </c>
      <c r="F56" s="736">
        <f>SUM(F57,F58)</f>
        <v>154992.71167381617</v>
      </c>
      <c r="G56" s="736">
        <f>SUM(G57,G58)</f>
        <v>209483.30479452055</v>
      </c>
      <c r="H56" s="1120"/>
      <c r="I56" s="1120"/>
      <c r="J56" s="1120"/>
      <c r="K56" s="1248"/>
      <c r="L56" s="1248"/>
      <c r="M56" s="1248"/>
      <c r="N56" s="1248"/>
      <c r="O56" s="1248"/>
      <c r="P56" s="731"/>
      <c r="Q56" s="731"/>
      <c r="R56" s="731"/>
      <c r="S56" s="731"/>
      <c r="T56" s="731"/>
    </row>
    <row r="57" spans="1:20" ht="15">
      <c r="A57" s="1125">
        <v>6.4</v>
      </c>
      <c r="B57" s="1126" t="s">
        <v>1655</v>
      </c>
      <c r="C57" s="1127">
        <f>C26/C$34</f>
        <v>0</v>
      </c>
      <c r="D57" s="1127">
        <f>D26/D$34</f>
        <v>36359.591100420927</v>
      </c>
      <c r="E57" s="1127">
        <f>E26/E$34</f>
        <v>20584.937712344279</v>
      </c>
      <c r="F57" s="1127">
        <f>F26/F$34</f>
        <v>15140.14410062055</v>
      </c>
      <c r="G57" s="1127">
        <f>G26/G$34</f>
        <v>15562.07191780822</v>
      </c>
      <c r="H57" s="1120"/>
      <c r="I57" s="1120"/>
      <c r="J57" s="1120"/>
      <c r="K57" s="1248"/>
      <c r="L57" s="1248"/>
      <c r="M57" s="1248"/>
      <c r="N57" s="1248"/>
      <c r="O57" s="1248"/>
      <c r="P57" s="731"/>
      <c r="Q57" s="731"/>
      <c r="R57" s="731"/>
      <c r="S57" s="731"/>
      <c r="T57" s="731"/>
    </row>
    <row r="58" spans="1:20" ht="15">
      <c r="A58" s="1221" t="s">
        <v>1870</v>
      </c>
      <c r="B58" s="1222" t="s">
        <v>1869</v>
      </c>
      <c r="C58" s="1223"/>
      <c r="D58" s="1223"/>
      <c r="E58" s="1223"/>
      <c r="F58" s="1127">
        <f>F27/F$34</f>
        <v>139852.56757319561</v>
      </c>
      <c r="G58" s="1127">
        <f>G27/G$34</f>
        <v>193921.23287671234</v>
      </c>
      <c r="H58" s="1120"/>
      <c r="I58" s="1120"/>
      <c r="J58" s="1120"/>
      <c r="K58" s="1248"/>
      <c r="L58" s="1248"/>
      <c r="M58" s="1248"/>
      <c r="N58" s="1248"/>
      <c r="O58" s="1248"/>
      <c r="P58" s="731"/>
      <c r="Q58" s="731"/>
      <c r="R58" s="731"/>
      <c r="S58" s="731"/>
      <c r="T58" s="731"/>
    </row>
    <row r="59" spans="1:20" ht="30">
      <c r="A59" s="734">
        <v>7</v>
      </c>
      <c r="B59" s="735" t="s">
        <v>1658</v>
      </c>
      <c r="C59" s="736">
        <f t="shared" ref="C59:E60" si="26">C28/C$34</f>
        <v>0</v>
      </c>
      <c r="D59" s="736">
        <f t="shared" si="26"/>
        <v>0</v>
      </c>
      <c r="E59" s="736">
        <f t="shared" si="26"/>
        <v>80511.891279728196</v>
      </c>
      <c r="F59" s="736">
        <f t="shared" ref="F59:G59" si="27">F28/F$34</f>
        <v>71217.358710590983</v>
      </c>
      <c r="G59" s="736">
        <f t="shared" si="27"/>
        <v>0</v>
      </c>
      <c r="H59" s="1120"/>
      <c r="I59" s="1120"/>
      <c r="J59" s="1120"/>
      <c r="K59" s="1248"/>
      <c r="L59" s="1248"/>
      <c r="M59" s="1248"/>
      <c r="N59" s="1248"/>
      <c r="O59" s="1248"/>
      <c r="P59" s="731"/>
      <c r="Q59" s="731"/>
      <c r="R59" s="731"/>
      <c r="S59" s="731"/>
      <c r="T59" s="731"/>
    </row>
    <row r="60" spans="1:20" ht="15">
      <c r="A60" s="734">
        <v>8</v>
      </c>
      <c r="B60" s="735" t="s">
        <v>1659</v>
      </c>
      <c r="C60" s="736">
        <f t="shared" si="26"/>
        <v>1713927.3167777106</v>
      </c>
      <c r="D60" s="736">
        <f t="shared" si="26"/>
        <v>2718491.2808177993</v>
      </c>
      <c r="E60" s="736">
        <f t="shared" si="26"/>
        <v>3651535.1075877692</v>
      </c>
      <c r="F60" s="736">
        <f>F29/F34</f>
        <v>207488.2345591604</v>
      </c>
      <c r="G60" s="736">
        <f>G29/G34</f>
        <v>654696.48972602747</v>
      </c>
      <c r="H60" s="1120"/>
      <c r="I60" s="1120"/>
      <c r="J60" s="1120"/>
      <c r="K60" s="1248"/>
      <c r="L60" s="1248"/>
      <c r="M60" s="1248"/>
      <c r="N60" s="1248"/>
      <c r="O60" s="1248"/>
      <c r="P60" s="731"/>
      <c r="Q60" s="731"/>
      <c r="R60" s="731"/>
      <c r="S60" s="731"/>
      <c r="T60" s="731"/>
    </row>
    <row r="61" spans="1:20" ht="22.9" customHeight="1">
      <c r="A61" s="1136"/>
      <c r="B61" s="1137" t="s">
        <v>4</v>
      </c>
      <c r="C61" s="1138">
        <f>SUM(C39,C55,C56,C59,C60)</f>
        <v>6612016.3537250152</v>
      </c>
      <c r="D61" s="1138">
        <f>SUM(D39,D55,D56,D59,D60)</f>
        <v>8738453.9987973534</v>
      </c>
      <c r="E61" s="1138">
        <f>SUM(E39,E55,E56,E59,E60)</f>
        <v>8978328.9920724798</v>
      </c>
      <c r="F61" s="1138">
        <f>SUM(F39,F55,F56,F59,F60)</f>
        <v>5157335.3879471906</v>
      </c>
      <c r="G61" s="1138">
        <f>SUM(G39,G55,G56,G59,G60)</f>
        <v>6511246.5753424661</v>
      </c>
      <c r="H61" s="1120"/>
      <c r="I61" s="1120"/>
      <c r="J61" s="1120"/>
      <c r="K61" s="1248"/>
      <c r="L61" s="1248"/>
      <c r="M61" s="1248"/>
      <c r="N61" s="1248"/>
      <c r="O61" s="1248"/>
      <c r="P61" s="731"/>
      <c r="Q61" s="731"/>
      <c r="R61" s="731"/>
      <c r="S61" s="731"/>
      <c r="T61" s="731"/>
    </row>
    <row r="64" spans="1:20" ht="15">
      <c r="A64" s="1120"/>
      <c r="B64" s="1120"/>
      <c r="C64" s="1120"/>
      <c r="D64" s="1120"/>
      <c r="E64" s="1120"/>
      <c r="F64" s="1120"/>
      <c r="G64" s="1120"/>
      <c r="H64" s="1120"/>
      <c r="I64" s="1120"/>
      <c r="J64" s="1120"/>
      <c r="K64" s="1248"/>
      <c r="L64" s="1248"/>
      <c r="M64" s="1248"/>
      <c r="N64" s="1248"/>
      <c r="O64" s="1248"/>
      <c r="P64" s="731"/>
      <c r="Q64" s="731"/>
      <c r="R64" s="731"/>
      <c r="S64" s="731"/>
      <c r="T64" s="731"/>
    </row>
    <row r="65" spans="1:20" ht="15">
      <c r="A65" s="737" t="s">
        <v>47</v>
      </c>
      <c r="B65" s="732" t="s">
        <v>1661</v>
      </c>
      <c r="C65" s="1120"/>
      <c r="D65" s="1120"/>
      <c r="E65" s="1120"/>
      <c r="F65" s="1120"/>
      <c r="G65" s="1120"/>
      <c r="H65" s="1120"/>
      <c r="I65" s="1120"/>
      <c r="J65" s="1120"/>
      <c r="K65" s="1248"/>
      <c r="L65" s="1248"/>
      <c r="M65" s="1248"/>
      <c r="N65" s="1248"/>
      <c r="O65" s="1248"/>
      <c r="P65" s="731"/>
      <c r="Q65" s="731"/>
      <c r="R65" s="731"/>
      <c r="S65" s="731"/>
      <c r="T65" s="731"/>
    </row>
    <row r="66" spans="1:20" ht="15">
      <c r="A66" s="737"/>
      <c r="B66" s="732"/>
      <c r="C66" s="1120"/>
      <c r="D66" s="1120"/>
      <c r="E66" s="1120"/>
      <c r="F66" s="1120"/>
      <c r="G66" s="1120"/>
      <c r="H66" s="1120"/>
      <c r="I66" s="1120"/>
      <c r="J66" s="1120"/>
      <c r="K66" s="1248"/>
      <c r="L66" s="1248"/>
      <c r="M66" s="1248"/>
      <c r="N66" s="1248"/>
      <c r="O66" s="1248"/>
      <c r="P66" s="731"/>
      <c r="Q66" s="731"/>
      <c r="R66" s="731"/>
      <c r="S66" s="731"/>
      <c r="T66" s="731"/>
    </row>
    <row r="67" spans="1:20">
      <c r="A67" s="1120"/>
      <c r="B67" s="733" t="s">
        <v>1386</v>
      </c>
      <c r="C67" s="1120"/>
      <c r="D67" s="1120"/>
      <c r="E67" s="1120"/>
      <c r="F67" s="1120"/>
      <c r="G67" s="1120"/>
      <c r="H67" s="1120"/>
      <c r="I67" s="1120"/>
      <c r="J67" s="1120"/>
      <c r="K67" s="1248"/>
      <c r="L67" s="1248"/>
      <c r="M67" s="1248"/>
      <c r="N67" s="1248"/>
      <c r="O67" s="1248"/>
      <c r="T67" s="731"/>
    </row>
    <row r="68" spans="1:20" ht="15">
      <c r="A68" s="1120"/>
      <c r="B68" s="1120"/>
      <c r="C68" s="1901" t="s">
        <v>1669</v>
      </c>
      <c r="D68" s="1901"/>
      <c r="E68" s="1901"/>
      <c r="F68" s="1902" t="s">
        <v>1670</v>
      </c>
      <c r="G68" s="1168"/>
      <c r="H68" s="1907" t="s">
        <v>1665</v>
      </c>
      <c r="I68" s="1908"/>
      <c r="J68" s="1908"/>
      <c r="K68" s="1908"/>
      <c r="L68" s="1908"/>
      <c r="M68" s="1908"/>
      <c r="O68" s="1248"/>
      <c r="P68" s="1904"/>
      <c r="Q68" s="1905"/>
      <c r="R68" s="1905"/>
      <c r="S68" s="1906"/>
      <c r="T68" s="731"/>
    </row>
    <row r="69" spans="1:20">
      <c r="A69" s="1122"/>
      <c r="B69" s="1123" t="s">
        <v>1624</v>
      </c>
      <c r="C69" s="1123">
        <v>2012</v>
      </c>
      <c r="D69" s="1123">
        <v>2013</v>
      </c>
      <c r="E69" s="1123">
        <v>2014</v>
      </c>
      <c r="F69" s="1903"/>
      <c r="G69" s="1169">
        <v>2016</v>
      </c>
      <c r="H69" s="1123" t="s">
        <v>1876</v>
      </c>
      <c r="I69" s="1123" t="s">
        <v>1877</v>
      </c>
      <c r="J69" s="1166">
        <v>2019</v>
      </c>
      <c r="K69" s="1267">
        <v>2020</v>
      </c>
      <c r="L69" s="1267">
        <v>2021</v>
      </c>
      <c r="M69" s="1267">
        <v>2022</v>
      </c>
      <c r="O69" s="1248"/>
      <c r="P69" s="1268"/>
      <c r="Q69" s="1268"/>
      <c r="R69" s="1268"/>
      <c r="S69" s="1269"/>
      <c r="T69" s="731"/>
    </row>
    <row r="70" spans="1:20">
      <c r="A70" s="1125">
        <f>'NSP Summary Budget (16-18)'!A46</f>
        <v>1.4</v>
      </c>
      <c r="B70" s="1126" t="str">
        <f>'NSP Summary Budget (16-18)'!B46</f>
        <v>Support to operations of the laboratory network</v>
      </c>
      <c r="C70" s="1127">
        <f>SUM(C71:C73)</f>
        <v>1006517.2622652937</v>
      </c>
      <c r="D70" s="1127">
        <f>SUM(D71:D73)</f>
        <v>1496736.019242333</v>
      </c>
      <c r="E70" s="1127">
        <f>SUM(E71:E73)</f>
        <v>1348105.3227633068</v>
      </c>
      <c r="F70" s="1140">
        <f>SUM(F71:F73)</f>
        <v>736013.07733955281</v>
      </c>
      <c r="G70" s="1127">
        <f>SUM(G71:G73)</f>
        <v>883044.94863013714</v>
      </c>
      <c r="H70" s="1127">
        <f t="shared" ref="H70:M70" si="28">SUM(H71:H73)</f>
        <v>1935208.787048744</v>
      </c>
      <c r="I70" s="1127">
        <f t="shared" si="28"/>
        <v>2053599.3964938177</v>
      </c>
      <c r="J70" s="1127">
        <f t="shared" si="28"/>
        <v>1607918.7725778744</v>
      </c>
      <c r="K70" s="1127">
        <f t="shared" si="28"/>
        <v>1653230.0903707524</v>
      </c>
      <c r="L70" s="1127">
        <f t="shared" si="28"/>
        <v>1700806.9740532739</v>
      </c>
      <c r="M70" s="1127">
        <f t="shared" si="28"/>
        <v>1750762.7019199217</v>
      </c>
      <c r="O70" s="1248"/>
      <c r="P70" s="1270"/>
      <c r="Q70" s="1270"/>
      <c r="R70" s="1270"/>
      <c r="S70" s="1271"/>
      <c r="T70" s="731"/>
    </row>
    <row r="71" spans="1:20">
      <c r="A71" s="1128" t="str">
        <f>'NSP Summary Budget (16-18)'!A47</f>
        <v>1.4.1</v>
      </c>
      <c r="B71" s="1129" t="str">
        <f>'NSP Summary Budget (16-18)'!B47</f>
        <v>Human resources, TB laboratories</v>
      </c>
      <c r="C71" s="1130">
        <f>SUM(C43,C51)*35%</f>
        <v>352281.0417928528</v>
      </c>
      <c r="D71" s="1130">
        <f>SUM(D43,D51)*35%</f>
        <v>523857.60673481651</v>
      </c>
      <c r="E71" s="1130">
        <f>SUM(E43,E51)*35%</f>
        <v>471836.86296715733</v>
      </c>
      <c r="F71" s="1141">
        <f>SUM(F43,F51)*35%</f>
        <v>257604.57706884341</v>
      </c>
      <c r="G71" s="1130">
        <f>SUM(G43,G51)*35%</f>
        <v>309065.73202054796</v>
      </c>
      <c r="H71" s="1130">
        <f>'NSP Summary Budget (16-18)'!E47</f>
        <v>868179.82785956957</v>
      </c>
      <c r="I71" s="1130">
        <f>'NSP Summary Budget (16-18)'!F47</f>
        <v>937634.21408833517</v>
      </c>
      <c r="J71" s="1130">
        <f>'NSP Summary Budget (19-22)'!I49</f>
        <v>613387.92185730452</v>
      </c>
      <c r="K71" s="1130">
        <f>'NSP Summary Budget (19-22)'!J49</f>
        <v>613387.92185730452</v>
      </c>
      <c r="L71" s="1130">
        <f>'NSP Summary Budget (19-22)'!K49</f>
        <v>613387.92185730452</v>
      </c>
      <c r="M71" s="1130">
        <f>'NSP Summary Budget (19-22)'!L49</f>
        <v>613387.92185730452</v>
      </c>
      <c r="O71" s="1248"/>
      <c r="P71" s="1272"/>
      <c r="Q71" s="1272"/>
      <c r="R71" s="1272"/>
      <c r="S71" s="1273"/>
      <c r="T71" s="731"/>
    </row>
    <row r="72" spans="1:20">
      <c r="A72" s="1128" t="str">
        <f>'NSP Summary Budget (16-18)'!A48</f>
        <v>1.4.2</v>
      </c>
      <c r="B72" s="1129" t="str">
        <f>'NSP Summary Budget (16-18)'!B48</f>
        <v>Facility costs, TB laboratories</v>
      </c>
      <c r="C72" s="1130">
        <f>SUM(C43,C51)*55%</f>
        <v>553584.4942459116</v>
      </c>
      <c r="D72" s="1130">
        <f>SUM(D43,D51)*55%</f>
        <v>823204.81058328319</v>
      </c>
      <c r="E72" s="1130">
        <f>SUM(E43,E51)*55%</f>
        <v>741457.92751981877</v>
      </c>
      <c r="F72" s="1141">
        <f>SUM(F43,F51)*55%</f>
        <v>404807.19253675401</v>
      </c>
      <c r="G72" s="1130">
        <f>SUM(G43,G51)*55%</f>
        <v>485674.72174657538</v>
      </c>
      <c r="H72" s="1130">
        <f>'NSP Summary Budget (16-18)'!E48</f>
        <v>978724.46432616073</v>
      </c>
      <c r="I72" s="1130">
        <f>'NSP Summary Budget (16-18)'!F48</f>
        <v>1027660.6875424688</v>
      </c>
      <c r="J72" s="1288">
        <f>'NSP Summary Budget (19-22)'!I50</f>
        <v>906226.35585755622</v>
      </c>
      <c r="K72" s="1288">
        <f>'NSP Summary Budget (19-22)'!J50</f>
        <v>951537.67365043401</v>
      </c>
      <c r="L72" s="1288">
        <f>'NSP Summary Budget (19-22)'!K50</f>
        <v>999114.55733295577</v>
      </c>
      <c r="M72" s="1288">
        <f>'NSP Summary Budget (19-22)'!L50</f>
        <v>1049070.2851996035</v>
      </c>
      <c r="O72" s="1248"/>
      <c r="P72" s="1272"/>
      <c r="Q72" s="1272"/>
      <c r="R72" s="1272"/>
      <c r="S72" s="1273"/>
      <c r="T72" s="731"/>
    </row>
    <row r="73" spans="1:20">
      <c r="A73" s="1128"/>
      <c r="B73" s="1129" t="s">
        <v>978</v>
      </c>
      <c r="C73" s="1130">
        <f>SUM(C43,C51)*10%</f>
        <v>100651.72622652938</v>
      </c>
      <c r="D73" s="1130">
        <f>SUM(D43,D51)*10%</f>
        <v>149673.60192423331</v>
      </c>
      <c r="E73" s="1130">
        <f>SUM(E43,E51)*10%</f>
        <v>134810.53227633069</v>
      </c>
      <c r="F73" s="1141">
        <f>SUM(F43,F51)*10%</f>
        <v>73601.307733955269</v>
      </c>
      <c r="G73" s="1130">
        <f>SUM(G43,G51)*10%</f>
        <v>88304.494863013708</v>
      </c>
      <c r="H73" s="1130">
        <f>G73</f>
        <v>88304.494863013708</v>
      </c>
      <c r="I73" s="1130">
        <f>H73</f>
        <v>88304.494863013708</v>
      </c>
      <c r="J73" s="1288">
        <f>I73</f>
        <v>88304.494863013708</v>
      </c>
      <c r="K73" s="1289">
        <f>I73</f>
        <v>88304.494863013708</v>
      </c>
      <c r="L73" s="1289">
        <f>I73</f>
        <v>88304.494863013708</v>
      </c>
      <c r="M73" s="1289">
        <f>I73</f>
        <v>88304.494863013708</v>
      </c>
      <c r="O73" s="1248"/>
      <c r="P73" s="1272"/>
      <c r="Q73" s="1272"/>
      <c r="R73" s="1272"/>
      <c r="S73" s="1273"/>
      <c r="T73" s="731"/>
    </row>
    <row r="74" spans="1:20" ht="30">
      <c r="A74" s="1125">
        <f>'NSP Summary Budget (16-18)'!A90</f>
        <v>2.6</v>
      </c>
      <c r="B74" s="1126" t="str">
        <f>'NSP Summary Budget (16-18)'!B90</f>
        <v>Support to operations of TB treatment institutions</v>
      </c>
      <c r="C74" s="1127">
        <f>SUM(C75:C78)</f>
        <v>5605499.0914597223</v>
      </c>
      <c r="D74" s="1127">
        <f t="shared" ref="D74:E74" si="29">SUM(D75:D78)</f>
        <v>7241717.979555021</v>
      </c>
      <c r="E74" s="1127">
        <f t="shared" si="29"/>
        <v>7630223.6693091737</v>
      </c>
      <c r="F74" s="1140">
        <f t="shared" ref="F74" si="30">SUM(F75:F78)</f>
        <v>4421322.3106076382</v>
      </c>
      <c r="G74" s="1127">
        <f t="shared" ref="G74" si="31">SUM(G75:G78)</f>
        <v>5628201.6267123297</v>
      </c>
      <c r="H74" s="1127">
        <f t="shared" ref="H74:M74" si="32">SUM(H75:H78)</f>
        <v>6545957.2478358326</v>
      </c>
      <c r="I74" s="1127">
        <f t="shared" si="32"/>
        <v>6833416.4652367393</v>
      </c>
      <c r="J74" s="1127">
        <f t="shared" si="32"/>
        <v>5509764.8707123911</v>
      </c>
      <c r="K74" s="1127">
        <f t="shared" si="32"/>
        <v>5509764.8707123911</v>
      </c>
      <c r="L74" s="1127">
        <f t="shared" si="32"/>
        <v>5509764.8707123911</v>
      </c>
      <c r="M74" s="1127">
        <f t="shared" si="32"/>
        <v>5509764.8707123911</v>
      </c>
      <c r="O74" s="1248"/>
      <c r="P74" s="1270"/>
      <c r="Q74" s="1270"/>
      <c r="R74" s="1270"/>
      <c r="S74" s="1271"/>
      <c r="T74" s="731"/>
    </row>
    <row r="75" spans="1:20">
      <c r="A75" s="1128" t="str">
        <f>'NSP Summary Budget (16-18)'!A91</f>
        <v>2.6.1</v>
      </c>
      <c r="B75" s="1129" t="str">
        <f>'NSP Summary Budget (16-18)'!B91</f>
        <v>Human resources, TB treatment institutions</v>
      </c>
      <c r="C75" s="1131">
        <f>SUM(C41,C42,C44,C45,C46,C47,C49,C52,C53,C54)*35%</f>
        <v>1333091.7019987886</v>
      </c>
      <c r="D75" s="1131">
        <f>SUM(D41,D42,D44,D45,D46,D47,D49,D52,D53,D54)*35%</f>
        <v>1524815.7245941071</v>
      </c>
      <c r="E75" s="1131">
        <f>SUM(E41,E42,E44,E45,E46,E47,E49,E52,E53,E54)*35%</f>
        <v>1309268.3465458662</v>
      </c>
      <c r="F75" s="1141">
        <f>SUM(F41,F42,F44,F45,F46,F47,F49,F52,F53,F54)*35%</f>
        <v>1340393.7362042395</v>
      </c>
      <c r="G75" s="1131">
        <f>SUM(G41,G42,G44,G45,G46,G47,G49,G52,G53,G54)*35%</f>
        <v>1608590.7106164384</v>
      </c>
      <c r="H75" s="1131">
        <f>'NSP Summary Budget (16-18)'!E91</f>
        <v>2749463.5277463188</v>
      </c>
      <c r="I75" s="1131">
        <f>'NSP Summary Budget (16-18)'!F91</f>
        <v>2886936.7041336349</v>
      </c>
      <c r="J75" s="1288">
        <f>'NSP Summary Budget (19-22)'!I93</f>
        <v>1898439.1024915059</v>
      </c>
      <c r="K75" s="1288">
        <f>'NSP Summary Budget (19-22)'!J93</f>
        <v>1898439.1024915059</v>
      </c>
      <c r="L75" s="1288">
        <f>'NSP Summary Budget (19-22)'!K93</f>
        <v>1898439.1024915059</v>
      </c>
      <c r="M75" s="1288">
        <f>'NSP Summary Budget (19-22)'!L93</f>
        <v>1898439.1024915059</v>
      </c>
      <c r="O75" s="1248"/>
      <c r="P75" s="1272"/>
      <c r="Q75" s="1272"/>
      <c r="R75" s="1272"/>
      <c r="S75" s="1273"/>
      <c r="T75" s="731"/>
    </row>
    <row r="76" spans="1:20">
      <c r="A76" s="1128" t="str">
        <f>'NSP Summary Budget (16-18)'!A92</f>
        <v>2.6.2</v>
      </c>
      <c r="B76" s="1129" t="str">
        <f>'NSP Summary Budget (16-18)'!B92</f>
        <v xml:space="preserve">Investment costs, TB treatment institutions </v>
      </c>
      <c r="C76" s="1131">
        <f>SUM(C60)</f>
        <v>1713927.3167777106</v>
      </c>
      <c r="D76" s="1131">
        <f>SUM(D60)</f>
        <v>2718491.2808177993</v>
      </c>
      <c r="E76" s="1131">
        <f>SUM(E60)</f>
        <v>3651535.1075877692</v>
      </c>
      <c r="F76" s="1141">
        <f>SUM(F60)</f>
        <v>207488.2345591604</v>
      </c>
      <c r="G76" s="1131">
        <f>SUM(G60)</f>
        <v>654696.48972602747</v>
      </c>
      <c r="H76" s="1131"/>
      <c r="I76" s="1131"/>
      <c r="J76" s="1166"/>
      <c r="K76" s="1267"/>
      <c r="L76" s="1267"/>
      <c r="M76" s="1267"/>
      <c r="O76" s="1248"/>
      <c r="P76" s="1272"/>
      <c r="Q76" s="1272"/>
      <c r="R76" s="1272"/>
      <c r="S76" s="1273"/>
      <c r="T76" s="731"/>
    </row>
    <row r="77" spans="1:20">
      <c r="A77" s="1128" t="str">
        <f>'NSP Summary Budget (16-18)'!A93</f>
        <v>2.6.3</v>
      </c>
      <c r="B77" s="1129" t="str">
        <f>'NSP Summary Budget (16-18)'!B93</f>
        <v xml:space="preserve">Facility costs, TB treatment institutions </v>
      </c>
      <c r="C77" s="1131">
        <f>SUM(C41,C42,C44,C45,C46,C47,C49,C52,C53,C54)*45%</f>
        <v>1713975.0454270141</v>
      </c>
      <c r="D77" s="1131">
        <f>SUM(D41,D42,D44,D45,D46,D47,D49,D52,D53,D54)*45%</f>
        <v>1960477.3601924235</v>
      </c>
      <c r="E77" s="1131">
        <f>SUM(E41,E42,E44,E45,E46,E47,E49,E52,E53,E54)*45%</f>
        <v>1683345.0169875426</v>
      </c>
      <c r="F77" s="1141">
        <f>SUM(F41,F42,F44,F45,F46,F47,F49,F52,F53,F54)*45%</f>
        <v>1723363.3751197369</v>
      </c>
      <c r="G77" s="1131">
        <f>SUM(G41,G42,G44,G45,G46,G47,G49,G52,G53,G54)*45%</f>
        <v>2068188.0565068496</v>
      </c>
      <c r="H77" s="1131">
        <f>'NSP Summary Budget (16-18)'!E93</f>
        <v>2499767.3502265005</v>
      </c>
      <c r="I77" s="1131">
        <f>'NSP Summary Budget (16-18)'!F93</f>
        <v>2649753.3912400906</v>
      </c>
      <c r="J77" s="1288">
        <f>'NSP Summary Budget (19-22)'!I95</f>
        <v>2314599.398357871</v>
      </c>
      <c r="K77" s="1288">
        <f>'NSP Summary Budget (19-22)'!J95</f>
        <v>2314599.398357871</v>
      </c>
      <c r="L77" s="1288">
        <f>'NSP Summary Budget (19-22)'!K95</f>
        <v>2314599.398357871</v>
      </c>
      <c r="M77" s="1288">
        <f>'NSP Summary Budget (19-22)'!L95</f>
        <v>2314599.398357871</v>
      </c>
      <c r="O77" s="1248"/>
      <c r="P77" s="1272"/>
      <c r="Q77" s="1272"/>
      <c r="R77" s="1272"/>
      <c r="S77" s="1273"/>
      <c r="T77" s="731"/>
    </row>
    <row r="78" spans="1:20">
      <c r="A78" s="1128"/>
      <c r="B78" s="1129" t="s">
        <v>978</v>
      </c>
      <c r="C78" s="1131">
        <f>SUM(C55,C56,C59)+SUM(C41,C42,C44,C45,C46,C47,C49,C52,C53,C54)*20%</f>
        <v>844505.02725620847</v>
      </c>
      <c r="D78" s="1131">
        <f>SUM(D55,D57,D59)+SUM(D41,D42,D44,D45,D46,D47,D49,D52,D53,D54)*20%</f>
        <v>1037933.6139506915</v>
      </c>
      <c r="E78" s="1131">
        <f>SUM(E55,E57,E59)+SUM(E41,E42,E44,E45,E46,E47,E49,E52,E53,E54)*20%</f>
        <v>986075.19818799559</v>
      </c>
      <c r="F78" s="1141">
        <f>SUM(F55,F57,F58,F59)+SUM(F41,F42,F44,F45,F46,F47,F49,F52,F53,F54)*20%</f>
        <v>1150076.9647245014</v>
      </c>
      <c r="G78" s="1131">
        <f>SUM(G55,G57,G58,G59)+SUM(G41,G42,G44,G45,G46,G47,G49,G52,G53,G54)*20%</f>
        <v>1296726.3698630137</v>
      </c>
      <c r="H78" s="1131">
        <f>G78</f>
        <v>1296726.3698630137</v>
      </c>
      <c r="I78" s="1131">
        <f>G78</f>
        <v>1296726.3698630137</v>
      </c>
      <c r="J78" s="1288">
        <f>G78</f>
        <v>1296726.3698630137</v>
      </c>
      <c r="K78" s="1289">
        <f>G78</f>
        <v>1296726.3698630137</v>
      </c>
      <c r="L78" s="1289">
        <f>G78</f>
        <v>1296726.3698630137</v>
      </c>
      <c r="M78" s="1289">
        <f>G78</f>
        <v>1296726.3698630137</v>
      </c>
      <c r="O78" s="1248"/>
      <c r="P78" s="1272"/>
      <c r="Q78" s="1272"/>
      <c r="R78" s="1272"/>
      <c r="S78" s="1273"/>
      <c r="T78" s="731"/>
    </row>
    <row r="79" spans="1:20" ht="22.9" customHeight="1">
      <c r="A79" s="1136"/>
      <c r="B79" s="1137" t="s">
        <v>4</v>
      </c>
      <c r="C79" s="1138">
        <f>SUM(C70,C74)</f>
        <v>6612016.3537250161</v>
      </c>
      <c r="D79" s="1138">
        <f t="shared" ref="D79:E79" si="33">SUM(D70,D74)</f>
        <v>8738453.9987973534</v>
      </c>
      <c r="E79" s="1138">
        <f t="shared" si="33"/>
        <v>8978328.9920724798</v>
      </c>
      <c r="F79" s="1142">
        <f t="shared" ref="F79:H79" si="34">SUM(F70,F74)</f>
        <v>5157335.3879471906</v>
      </c>
      <c r="G79" s="1138">
        <f t="shared" si="34"/>
        <v>6511246.5753424671</v>
      </c>
      <c r="H79" s="1138">
        <f t="shared" si="34"/>
        <v>8481166.0348845758</v>
      </c>
      <c r="I79" s="1138">
        <f t="shared" ref="I79:M79" si="35">SUM(I70,I74)</f>
        <v>8887015.8617305569</v>
      </c>
      <c r="J79" s="1138">
        <f t="shared" si="35"/>
        <v>7117683.6432902655</v>
      </c>
      <c r="K79" s="1138">
        <f t="shared" si="35"/>
        <v>7162994.9610831439</v>
      </c>
      <c r="L79" s="1138">
        <f t="shared" si="35"/>
        <v>7210571.844765665</v>
      </c>
      <c r="M79" s="1138">
        <f t="shared" si="35"/>
        <v>7260527.5726323128</v>
      </c>
      <c r="O79" s="1248"/>
      <c r="P79" s="1270"/>
      <c r="Q79" s="1270"/>
      <c r="R79" s="1270"/>
      <c r="S79" s="1271"/>
      <c r="T79" s="731"/>
    </row>
    <row r="80" spans="1:20">
      <c r="A80" s="1120"/>
      <c r="B80" s="1120" t="s">
        <v>26</v>
      </c>
      <c r="C80" s="1143">
        <f>C61-C79</f>
        <v>0</v>
      </c>
      <c r="D80" s="1143">
        <f>D61-D79</f>
        <v>0</v>
      </c>
      <c r="E80" s="1290">
        <f>E61-E79</f>
        <v>0</v>
      </c>
      <c r="F80" s="1290">
        <f t="shared" ref="F80:M80" si="36">F61-F79</f>
        <v>0</v>
      </c>
      <c r="G80" s="1290">
        <f t="shared" si="36"/>
        <v>0</v>
      </c>
      <c r="H80" s="1290">
        <f t="shared" si="36"/>
        <v>-8481166.0348845758</v>
      </c>
      <c r="I80" s="1290">
        <f t="shared" si="36"/>
        <v>-8887015.8617305569</v>
      </c>
      <c r="J80" s="1290">
        <f t="shared" si="36"/>
        <v>-7117683.6432902655</v>
      </c>
      <c r="K80" s="1290">
        <f t="shared" si="36"/>
        <v>-7162994.9610831439</v>
      </c>
      <c r="L80" s="1290">
        <f t="shared" si="36"/>
        <v>-7210571.844765665</v>
      </c>
      <c r="M80" s="1290">
        <f t="shared" si="36"/>
        <v>-7260527.5726323128</v>
      </c>
      <c r="N80" s="1248"/>
      <c r="O80" s="1248"/>
      <c r="T80" s="731"/>
    </row>
    <row r="81" spans="1:20">
      <c r="A81" s="1120"/>
      <c r="B81" s="1120"/>
      <c r="C81" s="1143"/>
      <c r="D81" s="1143"/>
      <c r="E81" s="1143"/>
      <c r="F81" s="1124"/>
      <c r="G81" s="1124"/>
      <c r="H81" s="1124"/>
      <c r="I81" s="1124"/>
      <c r="J81" s="1120"/>
      <c r="K81" s="1248"/>
      <c r="L81" s="1248"/>
      <c r="M81" s="1248"/>
      <c r="N81" s="1248"/>
      <c r="O81" s="1248"/>
      <c r="T81" s="731"/>
    </row>
    <row r="82" spans="1:20">
      <c r="A82" s="1120"/>
      <c r="B82" s="732" t="s">
        <v>1666</v>
      </c>
      <c r="C82" s="1143"/>
      <c r="D82" s="1143"/>
      <c r="E82" s="1143"/>
      <c r="F82" s="1120"/>
      <c r="G82" s="1120"/>
      <c r="H82" s="1120"/>
      <c r="I82" s="1120"/>
      <c r="J82" s="1120"/>
      <c r="K82" s="1248"/>
      <c r="L82" s="1248"/>
      <c r="M82" s="1248"/>
      <c r="N82" s="1248"/>
      <c r="O82" s="1248"/>
      <c r="T82" s="731"/>
    </row>
    <row r="83" spans="1:20" ht="15">
      <c r="A83" s="1144">
        <v>1.4</v>
      </c>
      <c r="B83" s="1120" t="s">
        <v>1667</v>
      </c>
      <c r="C83" s="1120"/>
      <c r="D83" s="1145">
        <f>D70/C70%-100</f>
        <v>48.704455984564078</v>
      </c>
      <c r="E83" s="1145">
        <f>E70/D70%-100</f>
        <v>-9.9303213504720134</v>
      </c>
      <c r="F83" s="1145">
        <f t="shared" ref="F83:I83" si="37">F70/E70%-100</f>
        <v>-45.403889079608803</v>
      </c>
      <c r="G83" s="1145">
        <f t="shared" si="37"/>
        <v>19.976801475057556</v>
      </c>
      <c r="H83" s="1145">
        <f t="shared" si="37"/>
        <v>119.15178723923657</v>
      </c>
      <c r="I83" s="1145">
        <f t="shared" si="37"/>
        <v>6.1177176456305347</v>
      </c>
      <c r="J83" s="1120"/>
      <c r="K83" s="1248"/>
      <c r="L83" s="1248"/>
      <c r="M83" s="1248"/>
      <c r="N83" s="1248"/>
      <c r="O83" s="1248"/>
      <c r="P83" s="731"/>
      <c r="Q83" s="731"/>
      <c r="R83" s="731"/>
      <c r="S83" s="731"/>
      <c r="T83" s="731"/>
    </row>
    <row r="84" spans="1:20" ht="15">
      <c r="A84" s="1144">
        <v>2.6</v>
      </c>
      <c r="B84" s="1120" t="s">
        <v>1668</v>
      </c>
      <c r="C84" s="1120"/>
      <c r="D84" s="1145">
        <f>D74/C74%-100</f>
        <v>29.18953087670937</v>
      </c>
      <c r="E84" s="1145">
        <f t="shared" ref="E84" si="38">E74/D74%-100</f>
        <v>5.3648276672882105</v>
      </c>
      <c r="F84" s="1145">
        <f t="shared" ref="F84:I84" si="39">F74/E74%-100</f>
        <v>-42.055141471259958</v>
      </c>
      <c r="G84" s="1145">
        <f t="shared" si="39"/>
        <v>27.296795648875147</v>
      </c>
      <c r="H84" s="1145">
        <f t="shared" si="39"/>
        <v>16.306374255813623</v>
      </c>
      <c r="I84" s="1145">
        <f t="shared" si="39"/>
        <v>4.3914007763485472</v>
      </c>
      <c r="J84" s="1120"/>
      <c r="K84" s="1248"/>
      <c r="L84" s="1248"/>
      <c r="M84" s="1248"/>
      <c r="N84" s="1248"/>
      <c r="O84" s="1248"/>
      <c r="P84" s="731"/>
      <c r="Q84" s="731"/>
      <c r="R84" s="731"/>
      <c r="S84" s="731"/>
      <c r="T84" s="731"/>
    </row>
    <row r="85" spans="1:20" ht="15">
      <c r="A85" s="1120"/>
      <c r="B85" s="732" t="s">
        <v>4</v>
      </c>
      <c r="C85" s="732"/>
      <c r="D85" s="1146">
        <f>D79/C79%-100</f>
        <v>32.160199420474271</v>
      </c>
      <c r="E85" s="1146">
        <f t="shared" ref="E85" si="40">E79/D79%-100</f>
        <v>2.7450507070030881</v>
      </c>
      <c r="F85" s="1146">
        <f t="shared" ref="F85:I85" si="41">F79/E79%-100</f>
        <v>-42.557959365256941</v>
      </c>
      <c r="G85" s="1146">
        <f t="shared" si="41"/>
        <v>26.252145450136851</v>
      </c>
      <c r="H85" s="1146">
        <f t="shared" si="41"/>
        <v>30.254106287450782</v>
      </c>
      <c r="I85" s="1146">
        <f t="shared" si="41"/>
        <v>4.785306939831699</v>
      </c>
      <c r="J85" s="1120"/>
      <c r="K85" s="1248"/>
      <c r="L85" s="1248"/>
      <c r="M85" s="1248"/>
      <c r="N85" s="1248"/>
      <c r="O85" s="1248"/>
      <c r="P85" s="731"/>
      <c r="Q85" s="731"/>
      <c r="R85" s="731"/>
      <c r="S85" s="731"/>
      <c r="T85" s="731"/>
    </row>
    <row r="86" spans="1:20" ht="15">
      <c r="A86" s="1120"/>
      <c r="B86" s="1120"/>
      <c r="C86" s="1120"/>
      <c r="D86" s="1120"/>
      <c r="E86" s="1120"/>
      <c r="F86" s="1120"/>
      <c r="G86" s="1120"/>
      <c r="H86" s="1120"/>
      <c r="I86" s="1120"/>
      <c r="J86" s="1120"/>
      <c r="K86" s="1248"/>
      <c r="L86" s="1248"/>
      <c r="M86" s="1248"/>
      <c r="N86" s="1248"/>
      <c r="O86" s="1248"/>
      <c r="P86" s="731"/>
      <c r="Q86" s="731"/>
      <c r="R86" s="731"/>
      <c r="S86" s="731"/>
      <c r="T86" s="731"/>
    </row>
    <row r="87" spans="1:20" ht="15">
      <c r="A87" s="737" t="s">
        <v>49</v>
      </c>
      <c r="B87" s="732" t="s">
        <v>1759</v>
      </c>
      <c r="C87" s="1120"/>
      <c r="D87" s="1120"/>
      <c r="E87" s="1120"/>
      <c r="F87" s="1120"/>
      <c r="G87" s="1120"/>
      <c r="H87" s="1120"/>
      <c r="I87" s="1120"/>
      <c r="J87" s="1120"/>
      <c r="K87" s="1248"/>
      <c r="L87" s="1248"/>
      <c r="M87" s="1248"/>
      <c r="N87" s="1248"/>
      <c r="O87" s="1248"/>
      <c r="P87" s="731"/>
      <c r="Q87" s="731"/>
      <c r="R87" s="731"/>
      <c r="S87" s="731"/>
      <c r="T87" s="731"/>
    </row>
    <row r="88" spans="1:20" ht="15">
      <c r="A88" s="737"/>
      <c r="B88" s="732"/>
      <c r="C88" s="1120"/>
      <c r="D88" s="1120"/>
      <c r="E88" s="1120" t="s">
        <v>1923</v>
      </c>
      <c r="F88" s="1120"/>
      <c r="G88" s="1120"/>
      <c r="H88" s="1120"/>
      <c r="I88" s="1120" t="s">
        <v>1924</v>
      </c>
      <c r="J88" s="1120"/>
      <c r="K88" s="1248"/>
      <c r="L88" s="1248"/>
      <c r="M88" s="1248"/>
      <c r="N88" s="1248"/>
      <c r="O88" s="1248"/>
      <c r="P88" s="731"/>
      <c r="Q88" s="731"/>
      <c r="R88" s="731"/>
      <c r="S88" s="731"/>
      <c r="T88" s="731"/>
    </row>
    <row r="89" spans="1:20" ht="15">
      <c r="A89" s="1147"/>
      <c r="B89" s="1148"/>
      <c r="C89" s="1396">
        <v>2012</v>
      </c>
      <c r="D89" s="1396">
        <v>2013</v>
      </c>
      <c r="E89" s="1396">
        <v>2014</v>
      </c>
      <c r="F89" s="1396">
        <v>2015</v>
      </c>
      <c r="G89" s="1396">
        <v>2016</v>
      </c>
      <c r="H89" s="1148">
        <v>2017</v>
      </c>
      <c r="I89" s="1148">
        <v>2018</v>
      </c>
      <c r="J89" s="1167">
        <v>2019</v>
      </c>
      <c r="K89" s="1274">
        <v>2020</v>
      </c>
      <c r="L89" s="1274">
        <v>2021</v>
      </c>
      <c r="M89" s="1274">
        <v>2022</v>
      </c>
      <c r="N89" s="1248"/>
      <c r="O89" s="1248"/>
      <c r="P89" s="731"/>
      <c r="Q89" s="731"/>
      <c r="R89" s="731"/>
      <c r="S89" s="731"/>
      <c r="T89" s="731"/>
    </row>
    <row r="90" spans="1:20" ht="30">
      <c r="A90" s="1149"/>
      <c r="B90" s="1150" t="s">
        <v>1748</v>
      </c>
      <c r="C90" s="1151">
        <f>C30</f>
        <v>10916439</v>
      </c>
      <c r="D90" s="1151">
        <v>10011198</v>
      </c>
      <c r="E90" s="1151">
        <v>9420934</v>
      </c>
      <c r="F90" s="1151">
        <v>11885000</v>
      </c>
      <c r="G90" s="1151">
        <v>13680900</v>
      </c>
      <c r="H90" s="1151">
        <v>15400000</v>
      </c>
      <c r="I90" s="1151">
        <v>15580000</v>
      </c>
      <c r="J90" s="1277">
        <v>16805000</v>
      </c>
      <c r="K90" s="1277">
        <v>17329500</v>
      </c>
      <c r="L90" s="1277">
        <v>18188600</v>
      </c>
      <c r="M90" s="1277">
        <v>18703500</v>
      </c>
      <c r="N90" s="1248"/>
      <c r="O90" s="1248"/>
      <c r="P90" s="1413">
        <f>J90+K90+L90+M90</f>
        <v>71026600</v>
      </c>
      <c r="Q90" s="731" t="s">
        <v>1636</v>
      </c>
      <c r="R90" s="731"/>
      <c r="S90" s="731"/>
      <c r="T90" s="731"/>
    </row>
    <row r="91" spans="1:20" ht="30">
      <c r="A91" s="1149"/>
      <c r="B91" s="1150" t="s">
        <v>1825</v>
      </c>
      <c r="C91" s="1151"/>
      <c r="D91" s="1151"/>
      <c r="E91" s="1151"/>
      <c r="F91" s="1152"/>
      <c r="G91" s="1152">
        <v>2000000</v>
      </c>
      <c r="H91" s="1152">
        <v>2000000</v>
      </c>
      <c r="I91" s="1152">
        <v>2000000</v>
      </c>
      <c r="J91" s="1278"/>
      <c r="K91" s="1278"/>
      <c r="L91" s="1278"/>
      <c r="M91" s="1278"/>
      <c r="N91" s="1248"/>
      <c r="O91" s="1248"/>
      <c r="P91" s="1414">
        <f>P90/2.45</f>
        <v>28990448.979591835</v>
      </c>
      <c r="Q91" s="731"/>
      <c r="R91" s="731"/>
      <c r="S91" s="731"/>
      <c r="T91" s="731"/>
    </row>
    <row r="92" spans="1:20" ht="30">
      <c r="A92" s="1149"/>
      <c r="B92" s="1150" t="s">
        <v>1749</v>
      </c>
      <c r="C92" s="1151">
        <f>C90</f>
        <v>10916439</v>
      </c>
      <c r="D92" s="1151">
        <f>D90</f>
        <v>10011198</v>
      </c>
      <c r="E92" s="1151">
        <f>E90</f>
        <v>9420934</v>
      </c>
      <c r="F92" s="1151">
        <f>F90</f>
        <v>11885000</v>
      </c>
      <c r="G92" s="1151">
        <f>G90+G91</f>
        <v>15680900</v>
      </c>
      <c r="H92" s="1151">
        <f>H90+H91</f>
        <v>17400000</v>
      </c>
      <c r="I92" s="1151">
        <f>I90+I91</f>
        <v>17580000</v>
      </c>
      <c r="J92" s="1277">
        <f t="shared" ref="J92:M92" si="42">J90+J91</f>
        <v>16805000</v>
      </c>
      <c r="K92" s="1277">
        <f t="shared" si="42"/>
        <v>17329500</v>
      </c>
      <c r="L92" s="1277">
        <f t="shared" si="42"/>
        <v>18188600</v>
      </c>
      <c r="M92" s="1277">
        <f t="shared" si="42"/>
        <v>18703500</v>
      </c>
      <c r="N92" s="1248"/>
      <c r="O92" s="1248"/>
      <c r="P92" s="731">
        <v>2.4500000000000002</v>
      </c>
      <c r="Q92" s="731" t="s">
        <v>1927</v>
      </c>
      <c r="R92" s="731"/>
      <c r="S92" s="731"/>
      <c r="T92" s="731"/>
    </row>
    <row r="93" spans="1:20" ht="30">
      <c r="A93" s="1149"/>
      <c r="B93" s="1153" t="s">
        <v>1873</v>
      </c>
      <c r="C93" s="1151">
        <f t="shared" ref="C93:M93" si="43">C92/C34</f>
        <v>6612016.3537250152</v>
      </c>
      <c r="D93" s="1151">
        <f t="shared" si="43"/>
        <v>6019962.717979555</v>
      </c>
      <c r="E93" s="1151">
        <f t="shared" si="43"/>
        <v>5334617.2140430352</v>
      </c>
      <c r="F93" s="1151">
        <f t="shared" si="43"/>
        <v>4949814.6682770401</v>
      </c>
      <c r="G93" s="1151">
        <f t="shared" si="43"/>
        <v>6712714.041095891</v>
      </c>
      <c r="H93" s="1151">
        <f t="shared" si="43"/>
        <v>7448630.1369863022</v>
      </c>
      <c r="I93" s="1151">
        <f t="shared" si="43"/>
        <v>7525684.9315068498</v>
      </c>
      <c r="J93" s="1277">
        <f t="shared" si="43"/>
        <v>7193921.2328767125</v>
      </c>
      <c r="K93" s="1277">
        <f t="shared" si="43"/>
        <v>7220625</v>
      </c>
      <c r="L93" s="1277">
        <f t="shared" si="43"/>
        <v>7578583.333333334</v>
      </c>
      <c r="M93" s="1277">
        <f t="shared" si="43"/>
        <v>7793125</v>
      </c>
      <c r="N93" s="1248"/>
      <c r="O93" s="1248"/>
      <c r="P93" s="731"/>
      <c r="Q93" s="731"/>
      <c r="R93" s="731"/>
      <c r="S93" s="731"/>
      <c r="T93" s="731"/>
    </row>
    <row r="94" spans="1:20" ht="15">
      <c r="A94" s="1149"/>
      <c r="B94" s="1150" t="s">
        <v>1750</v>
      </c>
      <c r="C94" s="1151"/>
      <c r="D94" s="1154">
        <f>D92/C92*100-100</f>
        <v>-8.292456908337968</v>
      </c>
      <c r="E94" s="1154">
        <f t="shared" ref="E94:I95" si="44">E92/D92*100-100</f>
        <v>-5.8960376170764022</v>
      </c>
      <c r="F94" s="1154">
        <f t="shared" si="44"/>
        <v>26.155219853997494</v>
      </c>
      <c r="G94" s="1154">
        <f t="shared" si="44"/>
        <v>31.938578039545661</v>
      </c>
      <c r="H94" s="1154">
        <f t="shared" si="44"/>
        <v>10.963018704283556</v>
      </c>
      <c r="I94" s="1154">
        <f t="shared" si="44"/>
        <v>1.0344827586206833</v>
      </c>
      <c r="J94" s="1279">
        <f>I94</f>
        <v>1.0344827586206833</v>
      </c>
      <c r="K94" s="1279">
        <f t="shared" ref="K94:M94" si="45">J94</f>
        <v>1.0344827586206833</v>
      </c>
      <c r="L94" s="1279">
        <f t="shared" si="45"/>
        <v>1.0344827586206833</v>
      </c>
      <c r="M94" s="1279">
        <f t="shared" si="45"/>
        <v>1.0344827586206833</v>
      </c>
      <c r="N94" s="1248"/>
      <c r="O94" s="1248"/>
      <c r="P94" s="731"/>
      <c r="Q94" s="731"/>
      <c r="R94" s="731"/>
      <c r="S94" s="731"/>
      <c r="T94" s="731"/>
    </row>
    <row r="95" spans="1:20" ht="15">
      <c r="A95" s="1149"/>
      <c r="B95" s="1150" t="s">
        <v>1751</v>
      </c>
      <c r="C95" s="1151"/>
      <c r="D95" s="1154">
        <f>D93/C93*100-100</f>
        <v>-8.9542070689512769</v>
      </c>
      <c r="E95" s="1154">
        <f t="shared" si="44"/>
        <v>-11.384547314381678</v>
      </c>
      <c r="F95" s="1154">
        <f t="shared" si="44"/>
        <v>-7.2133112897590337</v>
      </c>
      <c r="G95" s="1154">
        <f t="shared" si="44"/>
        <v>35.6154622135073</v>
      </c>
      <c r="H95" s="1154">
        <f t="shared" si="44"/>
        <v>10.963018704283556</v>
      </c>
      <c r="I95" s="1154">
        <v>2.4</v>
      </c>
      <c r="J95" s="1280">
        <f>I95</f>
        <v>2.4</v>
      </c>
      <c r="K95" s="1280">
        <f t="shared" ref="K95:M95" si="46">J95</f>
        <v>2.4</v>
      </c>
      <c r="L95" s="1280">
        <f t="shared" si="46"/>
        <v>2.4</v>
      </c>
      <c r="M95" s="1280">
        <f t="shared" si="46"/>
        <v>2.4</v>
      </c>
      <c r="N95" s="1248"/>
      <c r="O95" s="1248"/>
      <c r="P95" s="731"/>
      <c r="Q95" s="731"/>
      <c r="R95" s="731"/>
      <c r="S95" s="731"/>
      <c r="T95" s="731"/>
    </row>
    <row r="96" spans="1:20" ht="15">
      <c r="A96" s="1149"/>
      <c r="B96" s="1155" t="s">
        <v>1752</v>
      </c>
      <c r="C96" s="1151"/>
      <c r="D96" s="1151"/>
      <c r="E96" s="1151"/>
      <c r="F96" s="1156"/>
      <c r="G96" s="1156"/>
      <c r="H96" s="1156"/>
      <c r="I96" s="1156"/>
      <c r="J96" s="1281"/>
      <c r="K96" s="1282"/>
      <c r="L96" s="1282"/>
      <c r="M96" s="1282"/>
      <c r="N96" s="1248"/>
      <c r="O96" s="1248"/>
      <c r="P96" s="731"/>
      <c r="Q96" s="731"/>
      <c r="R96" s="731"/>
      <c r="S96" s="731"/>
      <c r="T96" s="731"/>
    </row>
    <row r="97" spans="1:20" ht="30">
      <c r="A97" s="1157">
        <f>'NSP Summary Budget (16-18)'!A10</f>
        <v>1</v>
      </c>
      <c r="B97" s="1158" t="str">
        <f>'NSP Summary Budget (16-18)'!B10</f>
        <v>To provide universal access to early and quality diagnosis of all forms of TB including M/XDR-TB</v>
      </c>
      <c r="C97" s="1159"/>
      <c r="D97" s="1156"/>
      <c r="E97" s="1156"/>
      <c r="F97" s="1159">
        <f>S70/100*99%</f>
        <v>0</v>
      </c>
      <c r="G97" s="1159">
        <v>0.158</v>
      </c>
      <c r="H97" s="1159">
        <v>0.156</v>
      </c>
      <c r="I97" s="1159">
        <v>0.156</v>
      </c>
      <c r="J97" s="1639">
        <v>0.2</v>
      </c>
      <c r="K97" s="1639">
        <v>0.22</v>
      </c>
      <c r="L97" s="1639">
        <v>0.23</v>
      </c>
      <c r="M97" s="1639">
        <v>0.25</v>
      </c>
      <c r="N97" s="1248"/>
      <c r="O97" s="1248"/>
      <c r="P97" s="731"/>
      <c r="Q97" s="731"/>
      <c r="R97" s="731"/>
      <c r="S97" s="731"/>
      <c r="T97" s="731"/>
    </row>
    <row r="98" spans="1:20" ht="45">
      <c r="A98" s="1157">
        <f>'NSP Summary Budget (16-18)'!A49</f>
        <v>2</v>
      </c>
      <c r="B98" s="1158" t="str">
        <f>'NSP Summary Budget (16-18)'!B49</f>
        <v>To provide universal access to quality treatment of all forms of TB including M/XDR-TB with appropriate patient support</v>
      </c>
      <c r="C98" s="1159"/>
      <c r="D98" s="1156"/>
      <c r="E98" s="1156"/>
      <c r="F98" s="1159">
        <f>S74/100*99%</f>
        <v>0</v>
      </c>
      <c r="G98" s="1159">
        <v>0.83</v>
      </c>
      <c r="H98" s="1159">
        <v>0.81899999999999995</v>
      </c>
      <c r="I98" s="1159">
        <v>0.81200000000000006</v>
      </c>
      <c r="J98" s="1639">
        <v>0.77</v>
      </c>
      <c r="K98" s="1639">
        <v>0.75</v>
      </c>
      <c r="L98" s="1639">
        <v>0.72</v>
      </c>
      <c r="M98" s="1639">
        <v>0.7</v>
      </c>
      <c r="N98" s="1248"/>
      <c r="O98" s="1248"/>
      <c r="P98" s="731"/>
      <c r="Q98" s="731"/>
      <c r="R98" s="731"/>
      <c r="S98" s="731"/>
      <c r="T98" s="731"/>
    </row>
    <row r="99" spans="1:20" ht="30">
      <c r="A99" s="1157">
        <f>'NSP Summary Budget (16-18)'!A94</f>
        <v>3</v>
      </c>
      <c r="B99" s="1158" t="str">
        <f>'NSP Summary Budget (16-18)'!B94</f>
        <v>To enable supportive environment and systems for effective TB control</v>
      </c>
      <c r="C99" s="1156"/>
      <c r="D99" s="1156"/>
      <c r="E99" s="1156"/>
      <c r="F99" s="1159">
        <f>1-SUM(F97,F98,F100)</f>
        <v>1</v>
      </c>
      <c r="G99" s="1159">
        <v>1.2E-2</v>
      </c>
      <c r="H99" s="1159">
        <v>1.2E-2</v>
      </c>
      <c r="I99" s="1159">
        <v>1.9E-2</v>
      </c>
      <c r="J99" s="1640">
        <v>0.02</v>
      </c>
      <c r="K99" s="1640">
        <v>0.02</v>
      </c>
      <c r="L99" s="1640">
        <v>0.04</v>
      </c>
      <c r="M99" s="1640">
        <v>0.04</v>
      </c>
      <c r="N99" s="1248"/>
      <c r="O99" s="1248"/>
      <c r="P99" s="731"/>
      <c r="Q99" s="731"/>
      <c r="R99" s="731"/>
      <c r="S99" s="731"/>
      <c r="T99" s="731"/>
    </row>
    <row r="100" spans="1:20" ht="15">
      <c r="A100" s="1157">
        <f>'NSP Summary Budget (16-18)'!A130</f>
        <v>4</v>
      </c>
      <c r="B100" s="1158" t="str">
        <f>'NSP Summary Budget (16-18)'!B130</f>
        <v>Annual cost increase adjustment</v>
      </c>
      <c r="C100" s="1156"/>
      <c r="D100" s="1156"/>
      <c r="E100" s="1156"/>
      <c r="F100" s="1159">
        <v>0</v>
      </c>
      <c r="G100" s="1159">
        <v>0</v>
      </c>
      <c r="H100" s="1159">
        <v>1.2999999999999999E-2</v>
      </c>
      <c r="I100" s="1159">
        <v>1.2999999999999999E-2</v>
      </c>
      <c r="J100" s="1283">
        <v>0.01</v>
      </c>
      <c r="K100" s="1284">
        <f t="shared" ref="K100:M100" si="47">J100</f>
        <v>0.01</v>
      </c>
      <c r="L100" s="1284">
        <f t="shared" si="47"/>
        <v>0.01</v>
      </c>
      <c r="M100" s="1284">
        <f t="shared" si="47"/>
        <v>0.01</v>
      </c>
      <c r="N100" s="1248"/>
      <c r="O100" s="1248"/>
      <c r="P100" s="731"/>
      <c r="Q100" s="731"/>
      <c r="R100" s="731"/>
      <c r="S100" s="731"/>
      <c r="T100" s="731"/>
    </row>
    <row r="101" spans="1:20" ht="15">
      <c r="A101" s="1157"/>
      <c r="B101" s="1160" t="str">
        <f>'NSP Summary Budget (16-18)'!B131</f>
        <v>TOTAL</v>
      </c>
      <c r="C101" s="1161"/>
      <c r="D101" s="1161"/>
      <c r="E101" s="1161"/>
      <c r="F101" s="1162">
        <f t="shared" ref="F101:I101" si="48">SUM(F97:F100)</f>
        <v>1</v>
      </c>
      <c r="G101" s="1162">
        <f t="shared" si="48"/>
        <v>1</v>
      </c>
      <c r="H101" s="1162">
        <f t="shared" si="48"/>
        <v>1</v>
      </c>
      <c r="I101" s="1162">
        <f t="shared" si="48"/>
        <v>1</v>
      </c>
      <c r="J101" s="1283">
        <f>J97+J98+J99+J100</f>
        <v>1</v>
      </c>
      <c r="K101" s="1283">
        <f t="shared" ref="K101:M101" si="49">K97+K98+K99+K100</f>
        <v>1</v>
      </c>
      <c r="L101" s="1283">
        <f t="shared" si="49"/>
        <v>1</v>
      </c>
      <c r="M101" s="1283">
        <f t="shared" si="49"/>
        <v>1</v>
      </c>
      <c r="N101" s="1248"/>
      <c r="O101" s="1248"/>
      <c r="P101" s="731"/>
      <c r="Q101" s="731"/>
      <c r="R101" s="731"/>
      <c r="S101" s="731"/>
      <c r="T101" s="731"/>
    </row>
    <row r="102" spans="1:20" ht="15">
      <c r="A102" s="1149"/>
      <c r="B102" s="1155" t="s">
        <v>1754</v>
      </c>
      <c r="C102" s="1151"/>
      <c r="D102" s="1151"/>
      <c r="E102" s="1151"/>
      <c r="F102" s="1156"/>
      <c r="G102" s="1156"/>
      <c r="H102" s="1156"/>
      <c r="I102" s="1156"/>
      <c r="J102" s="1282"/>
      <c r="K102" s="1282"/>
      <c r="L102" s="1282"/>
      <c r="M102" s="1282"/>
      <c r="N102" s="1248"/>
      <c r="O102" s="1248"/>
      <c r="P102" s="731"/>
      <c r="Q102" s="731"/>
      <c r="R102" s="731"/>
      <c r="S102" s="731"/>
      <c r="T102" s="731"/>
    </row>
    <row r="103" spans="1:20" ht="30">
      <c r="A103" s="1157">
        <f>A97</f>
        <v>1</v>
      </c>
      <c r="B103" s="1158" t="str">
        <f>B97</f>
        <v>To provide universal access to early and quality diagnosis of all forms of TB including M/XDR-TB</v>
      </c>
      <c r="C103" s="1159"/>
      <c r="D103" s="1156"/>
      <c r="E103" s="1156"/>
      <c r="F103" s="1152">
        <f>F$92*F97</f>
        <v>0</v>
      </c>
      <c r="G103" s="1152">
        <f t="shared" ref="G103:M103" si="50">G$92*G97</f>
        <v>2477582.2000000002</v>
      </c>
      <c r="H103" s="1152">
        <f t="shared" si="50"/>
        <v>2714400</v>
      </c>
      <c r="I103" s="1152">
        <f t="shared" si="50"/>
        <v>2742480</v>
      </c>
      <c r="J103" s="1276">
        <f t="shared" si="50"/>
        <v>3361000</v>
      </c>
      <c r="K103" s="1276">
        <f t="shared" si="50"/>
        <v>3812490</v>
      </c>
      <c r="L103" s="1276">
        <f t="shared" si="50"/>
        <v>4183378</v>
      </c>
      <c r="M103" s="1276">
        <f t="shared" si="50"/>
        <v>4675875</v>
      </c>
      <c r="N103" s="1248"/>
      <c r="O103" s="1248"/>
      <c r="P103" s="731"/>
      <c r="Q103" s="731"/>
      <c r="R103" s="731"/>
      <c r="S103" s="731"/>
      <c r="T103" s="731"/>
    </row>
    <row r="104" spans="1:20" ht="45">
      <c r="A104" s="1157">
        <f t="shared" ref="A104:A106" si="51">A98</f>
        <v>2</v>
      </c>
      <c r="B104" s="1158" t="str">
        <f t="shared" ref="B104:B106" si="52">B98</f>
        <v>To provide universal access to quality treatment of all forms of TB including M/XDR-TB with appropriate patient support</v>
      </c>
      <c r="C104" s="1159"/>
      <c r="D104" s="1156"/>
      <c r="E104" s="1156"/>
      <c r="F104" s="1152">
        <f t="shared" ref="F104:M104" si="53">F$92*F98</f>
        <v>0</v>
      </c>
      <c r="G104" s="1152">
        <f t="shared" si="53"/>
        <v>13015147</v>
      </c>
      <c r="H104" s="1152">
        <f t="shared" si="53"/>
        <v>14250600</v>
      </c>
      <c r="I104" s="1152">
        <f t="shared" si="53"/>
        <v>14274960.000000002</v>
      </c>
      <c r="J104" s="1276">
        <f t="shared" si="53"/>
        <v>12939850</v>
      </c>
      <c r="K104" s="1276">
        <f t="shared" si="53"/>
        <v>12997125</v>
      </c>
      <c r="L104" s="1276">
        <f t="shared" si="53"/>
        <v>13095792</v>
      </c>
      <c r="M104" s="1276">
        <f t="shared" si="53"/>
        <v>13092450</v>
      </c>
      <c r="N104" s="1248"/>
      <c r="O104" s="1248"/>
      <c r="P104" s="731"/>
      <c r="Q104" s="731"/>
      <c r="R104" s="731"/>
      <c r="S104" s="731"/>
      <c r="T104" s="731"/>
    </row>
    <row r="105" spans="1:20" ht="30">
      <c r="A105" s="1157">
        <f t="shared" si="51"/>
        <v>3</v>
      </c>
      <c r="B105" s="1158" t="str">
        <f t="shared" si="52"/>
        <v>To enable supportive environment and systems for effective TB control</v>
      </c>
      <c r="C105" s="1156"/>
      <c r="D105" s="1156"/>
      <c r="E105" s="1156"/>
      <c r="F105" s="1152">
        <f t="shared" ref="F105:M105" si="54">F$92*F99</f>
        <v>11885000</v>
      </c>
      <c r="G105" s="1152">
        <f t="shared" si="54"/>
        <v>188170.80000000002</v>
      </c>
      <c r="H105" s="1152">
        <f t="shared" si="54"/>
        <v>208800</v>
      </c>
      <c r="I105" s="1152">
        <f t="shared" si="54"/>
        <v>334020</v>
      </c>
      <c r="J105" s="1276">
        <f t="shared" si="54"/>
        <v>336100</v>
      </c>
      <c r="K105" s="1276">
        <f t="shared" si="54"/>
        <v>346590</v>
      </c>
      <c r="L105" s="1276">
        <f t="shared" si="54"/>
        <v>727544</v>
      </c>
      <c r="M105" s="1276">
        <f t="shared" si="54"/>
        <v>748140</v>
      </c>
      <c r="N105" s="1248"/>
      <c r="O105" s="1248"/>
      <c r="P105" s="731"/>
      <c r="Q105" s="731"/>
      <c r="R105" s="731"/>
      <c r="S105" s="731"/>
      <c r="T105" s="731"/>
    </row>
    <row r="106" spans="1:20" ht="15">
      <c r="A106" s="1157">
        <f t="shared" si="51"/>
        <v>4</v>
      </c>
      <c r="B106" s="1158" t="str">
        <f t="shared" si="52"/>
        <v>Annual cost increase adjustment</v>
      </c>
      <c r="C106" s="1156"/>
      <c r="D106" s="1156"/>
      <c r="E106" s="1156"/>
      <c r="F106" s="1152">
        <f t="shared" ref="F106:M106" si="55">F$92*F100</f>
        <v>0</v>
      </c>
      <c r="G106" s="1152">
        <f t="shared" si="55"/>
        <v>0</v>
      </c>
      <c r="H106" s="1152">
        <f t="shared" si="55"/>
        <v>226200</v>
      </c>
      <c r="I106" s="1152">
        <f t="shared" si="55"/>
        <v>228540</v>
      </c>
      <c r="J106" s="1276">
        <f t="shared" si="55"/>
        <v>168050</v>
      </c>
      <c r="K106" s="1276">
        <f t="shared" si="55"/>
        <v>173295</v>
      </c>
      <c r="L106" s="1276">
        <f t="shared" si="55"/>
        <v>181886</v>
      </c>
      <c r="M106" s="1276">
        <f t="shared" si="55"/>
        <v>187035</v>
      </c>
      <c r="N106" s="1248"/>
      <c r="O106" s="1248"/>
      <c r="P106" s="731"/>
      <c r="Q106" s="731"/>
      <c r="R106" s="731"/>
      <c r="S106" s="731"/>
      <c r="T106" s="731"/>
    </row>
    <row r="107" spans="1:20" ht="15">
      <c r="A107" s="1157"/>
      <c r="B107" s="1160" t="str">
        <f>B101</f>
        <v>TOTAL</v>
      </c>
      <c r="C107" s="1163">
        <f>C92</f>
        <v>10916439</v>
      </c>
      <c r="D107" s="1163">
        <f t="shared" ref="D107:E107" si="56">D92</f>
        <v>10011198</v>
      </c>
      <c r="E107" s="1163">
        <f t="shared" si="56"/>
        <v>9420934</v>
      </c>
      <c r="F107" s="1164">
        <f t="shared" ref="F107" si="57">SUM(F103:F106)</f>
        <v>11885000</v>
      </c>
      <c r="G107" s="1164">
        <f t="shared" ref="G107" si="58">SUM(G103:G106)</f>
        <v>15680900</v>
      </c>
      <c r="H107" s="1164">
        <f t="shared" ref="H107" si="59">SUM(H103:H106)</f>
        <v>17400000</v>
      </c>
      <c r="I107" s="1164">
        <f t="shared" ref="I107:M107" si="60">SUM(I103:I106)</f>
        <v>17580000</v>
      </c>
      <c r="J107" s="1285">
        <f t="shared" si="60"/>
        <v>16805000</v>
      </c>
      <c r="K107" s="1285">
        <f t="shared" si="60"/>
        <v>17329500</v>
      </c>
      <c r="L107" s="1285">
        <f t="shared" si="60"/>
        <v>18188600</v>
      </c>
      <c r="M107" s="1285">
        <f t="shared" si="60"/>
        <v>18703500</v>
      </c>
      <c r="N107" s="1248"/>
      <c r="O107" s="1248"/>
      <c r="P107" s="731"/>
      <c r="Q107" s="731"/>
      <c r="R107" s="731"/>
      <c r="S107" s="731"/>
      <c r="T107" s="731"/>
    </row>
    <row r="108" spans="1:20" ht="15">
      <c r="A108" s="1149"/>
      <c r="B108" s="1155" t="s">
        <v>1753</v>
      </c>
      <c r="C108" s="1151"/>
      <c r="D108" s="1151"/>
      <c r="E108" s="1151"/>
      <c r="F108" s="1156"/>
      <c r="G108" s="1156"/>
      <c r="H108" s="1156"/>
      <c r="I108" s="1156"/>
      <c r="J108" s="1282"/>
      <c r="K108" s="1282"/>
      <c r="L108" s="1282"/>
      <c r="M108" s="1282"/>
      <c r="N108" s="1248"/>
      <c r="O108" s="1248"/>
      <c r="P108" s="731"/>
      <c r="Q108" s="731"/>
      <c r="R108" s="731"/>
      <c r="S108" s="731"/>
      <c r="T108" s="731"/>
    </row>
    <row r="109" spans="1:20" ht="30">
      <c r="A109" s="1157">
        <f>A103</f>
        <v>1</v>
      </c>
      <c r="B109" s="1158" t="str">
        <f>B103</f>
        <v>To provide universal access to early and quality diagnosis of all forms of TB including M/XDR-TB</v>
      </c>
      <c r="C109" s="1159"/>
      <c r="D109" s="1156"/>
      <c r="E109" s="1156"/>
      <c r="F109" s="1152">
        <f>ROUND(F$93*F97,-1)</f>
        <v>0</v>
      </c>
      <c r="G109" s="1152">
        <f t="shared" ref="G109:M109" si="61">ROUND(G$93*G97,-1)</f>
        <v>1060610</v>
      </c>
      <c r="H109" s="1152">
        <f t="shared" si="61"/>
        <v>1161990</v>
      </c>
      <c r="I109" s="1152">
        <f t="shared" si="61"/>
        <v>1174010</v>
      </c>
      <c r="J109" s="1276">
        <f t="shared" si="61"/>
        <v>1438780</v>
      </c>
      <c r="K109" s="1276">
        <f t="shared" si="61"/>
        <v>1588540</v>
      </c>
      <c r="L109" s="1276">
        <f t="shared" si="61"/>
        <v>1743070</v>
      </c>
      <c r="M109" s="1276">
        <f t="shared" si="61"/>
        <v>1948280</v>
      </c>
      <c r="N109" s="1248"/>
      <c r="O109" s="1248"/>
      <c r="P109" s="731"/>
      <c r="Q109" s="731"/>
      <c r="R109" s="731"/>
      <c r="S109" s="731"/>
      <c r="T109" s="731"/>
    </row>
    <row r="110" spans="1:20" ht="45">
      <c r="A110" s="1157">
        <f t="shared" ref="A110:B112" si="62">A104</f>
        <v>2</v>
      </c>
      <c r="B110" s="1158" t="str">
        <f t="shared" si="62"/>
        <v>To provide universal access to quality treatment of all forms of TB including M/XDR-TB with appropriate patient support</v>
      </c>
      <c r="C110" s="1159"/>
      <c r="D110" s="1156"/>
      <c r="E110" s="1156"/>
      <c r="F110" s="1152">
        <f t="shared" ref="F110:M110" si="63">ROUND(F$93*F98,-1)</f>
        <v>0</v>
      </c>
      <c r="G110" s="1152">
        <f t="shared" si="63"/>
        <v>5571550</v>
      </c>
      <c r="H110" s="1152">
        <f t="shared" si="63"/>
        <v>6100430</v>
      </c>
      <c r="I110" s="1152">
        <f t="shared" si="63"/>
        <v>6110860</v>
      </c>
      <c r="J110" s="1276">
        <f>ROUND(J$93*J98,-1)</f>
        <v>5539320</v>
      </c>
      <c r="K110" s="1276">
        <f t="shared" si="63"/>
        <v>5415470</v>
      </c>
      <c r="L110" s="1276">
        <f t="shared" si="63"/>
        <v>5456580</v>
      </c>
      <c r="M110" s="1276">
        <f t="shared" si="63"/>
        <v>5455190</v>
      </c>
      <c r="N110" s="1248"/>
      <c r="O110" s="1248"/>
      <c r="P110" s="731"/>
      <c r="Q110" s="731"/>
      <c r="R110" s="731"/>
      <c r="S110" s="731"/>
      <c r="T110" s="731"/>
    </row>
    <row r="111" spans="1:20" ht="30">
      <c r="A111" s="1157">
        <f t="shared" si="62"/>
        <v>3</v>
      </c>
      <c r="B111" s="1158" t="str">
        <f t="shared" si="62"/>
        <v>To enable supportive environment and systems for effective TB control</v>
      </c>
      <c r="C111" s="1156"/>
      <c r="D111" s="1156"/>
      <c r="E111" s="1156"/>
      <c r="F111" s="1152">
        <f t="shared" ref="F111:M111" si="64">ROUND(F$93*F99,-1)</f>
        <v>4949810</v>
      </c>
      <c r="G111" s="1152">
        <f t="shared" si="64"/>
        <v>80550</v>
      </c>
      <c r="H111" s="1152">
        <f t="shared" si="64"/>
        <v>89380</v>
      </c>
      <c r="I111" s="1152">
        <f t="shared" si="64"/>
        <v>142990</v>
      </c>
      <c r="J111" s="1276">
        <f t="shared" si="64"/>
        <v>143880</v>
      </c>
      <c r="K111" s="1276">
        <f t="shared" si="64"/>
        <v>144410</v>
      </c>
      <c r="L111" s="1276">
        <f t="shared" si="64"/>
        <v>303140</v>
      </c>
      <c r="M111" s="1276">
        <f t="shared" si="64"/>
        <v>311730</v>
      </c>
      <c r="N111" s="1248"/>
      <c r="O111" s="1248"/>
      <c r="P111" s="731"/>
      <c r="Q111" s="731"/>
      <c r="R111" s="731"/>
      <c r="S111" s="731"/>
      <c r="T111" s="731"/>
    </row>
    <row r="112" spans="1:20" ht="15">
      <c r="A112" s="1157">
        <f t="shared" si="62"/>
        <v>4</v>
      </c>
      <c r="B112" s="1158" t="str">
        <f t="shared" si="62"/>
        <v>Annual cost increase adjustment</v>
      </c>
      <c r="C112" s="1156"/>
      <c r="D112" s="1156"/>
      <c r="E112" s="1156"/>
      <c r="F112" s="1152">
        <f t="shared" ref="F112:M112" si="65">ROUND(F$93*F100,-1)</f>
        <v>0</v>
      </c>
      <c r="G112" s="1152">
        <f t="shared" si="65"/>
        <v>0</v>
      </c>
      <c r="H112" s="1152">
        <f t="shared" si="65"/>
        <v>96830</v>
      </c>
      <c r="I112" s="1152">
        <f t="shared" si="65"/>
        <v>97830</v>
      </c>
      <c r="J112" s="1276">
        <f t="shared" si="65"/>
        <v>71940</v>
      </c>
      <c r="K112" s="1276">
        <f t="shared" si="65"/>
        <v>72210</v>
      </c>
      <c r="L112" s="1276">
        <f t="shared" si="65"/>
        <v>75790</v>
      </c>
      <c r="M112" s="1276">
        <f t="shared" si="65"/>
        <v>77930</v>
      </c>
      <c r="N112" s="1248"/>
      <c r="O112" s="1248"/>
      <c r="P112" s="731"/>
      <c r="Q112" s="731"/>
      <c r="R112" s="731"/>
      <c r="S112" s="731"/>
      <c r="T112" s="731"/>
    </row>
    <row r="113" spans="1:24" ht="15">
      <c r="A113" s="1157"/>
      <c r="B113" s="1160" t="str">
        <f>B107</f>
        <v>TOTAL</v>
      </c>
      <c r="C113" s="1163">
        <f>C93</f>
        <v>6612016.3537250152</v>
      </c>
      <c r="D113" s="1163">
        <f t="shared" ref="D113:E113" si="66">D93</f>
        <v>6019962.717979555</v>
      </c>
      <c r="E113" s="1163">
        <f t="shared" si="66"/>
        <v>5334617.2140430352</v>
      </c>
      <c r="F113" s="1164">
        <f t="shared" ref="F113" si="67">SUM(F109:F112)</f>
        <v>4949810</v>
      </c>
      <c r="G113" s="1164">
        <f t="shared" ref="G113" si="68">SUM(G109:G112)</f>
        <v>6712710</v>
      </c>
      <c r="H113" s="1164">
        <f t="shared" ref="H113" si="69">SUM(H109:H112)</f>
        <v>7448630</v>
      </c>
      <c r="I113" s="1164">
        <f t="shared" ref="I113:M113" si="70">SUM(I109:I112)</f>
        <v>7525690</v>
      </c>
      <c r="J113" s="1285">
        <f t="shared" si="70"/>
        <v>7193920</v>
      </c>
      <c r="K113" s="1285">
        <f t="shared" si="70"/>
        <v>7220630</v>
      </c>
      <c r="L113" s="1285">
        <f t="shared" si="70"/>
        <v>7578580</v>
      </c>
      <c r="M113" s="1285">
        <f t="shared" si="70"/>
        <v>7793130</v>
      </c>
      <c r="N113" s="1248"/>
      <c r="O113" s="1248"/>
      <c r="P113" s="731"/>
      <c r="Q113" s="731"/>
      <c r="R113" s="731"/>
      <c r="S113" s="731"/>
      <c r="T113" s="731"/>
    </row>
    <row r="114" spans="1:24" ht="15">
      <c r="A114" s="1120"/>
      <c r="B114" s="1120"/>
      <c r="C114" s="1120"/>
      <c r="D114" s="1120"/>
      <c r="E114" s="1120"/>
      <c r="F114" s="1120"/>
      <c r="G114" s="1120"/>
      <c r="H114" s="1120"/>
      <c r="I114" s="1120"/>
      <c r="J114" s="1120"/>
      <c r="K114" s="1248"/>
      <c r="L114" s="1248"/>
      <c r="M114" s="1248"/>
      <c r="N114" s="1248"/>
      <c r="O114" s="1248"/>
      <c r="P114" s="731"/>
      <c r="Q114" s="731"/>
      <c r="R114" s="731"/>
      <c r="S114" s="731"/>
      <c r="T114" s="731"/>
    </row>
    <row r="115" spans="1:24">
      <c r="A115" s="737" t="s">
        <v>50</v>
      </c>
      <c r="B115" s="732" t="s">
        <v>1874</v>
      </c>
      <c r="C115" s="1120"/>
      <c r="D115" s="1120"/>
      <c r="E115" s="1120"/>
      <c r="F115" s="1120"/>
      <c r="G115" s="1501"/>
      <c r="H115" s="1501"/>
      <c r="I115" s="1501"/>
      <c r="J115" s="1120"/>
      <c r="K115" s="1248"/>
      <c r="L115" s="1248"/>
      <c r="M115" s="1248"/>
      <c r="N115" s="1248"/>
      <c r="O115" s="1248"/>
    </row>
    <row r="116" spans="1:24">
      <c r="A116" s="1120"/>
      <c r="B116" s="1120"/>
      <c r="C116" s="1120"/>
      <c r="D116" s="1120"/>
      <c r="E116" s="1120"/>
      <c r="F116" s="1120"/>
      <c r="G116" s="1120"/>
      <c r="H116" s="1120"/>
      <c r="I116" s="1120"/>
      <c r="J116" s="1120"/>
      <c r="K116" s="1248"/>
      <c r="L116" s="1248"/>
      <c r="M116" s="1248"/>
      <c r="N116" s="1248"/>
      <c r="O116" s="1248"/>
    </row>
    <row r="117" spans="1:24">
      <c r="A117" s="1147"/>
      <c r="B117" s="1148"/>
      <c r="C117" s="1148">
        <v>2012</v>
      </c>
      <c r="D117" s="1148">
        <v>2013</v>
      </c>
      <c r="E117" s="1148">
        <v>2014</v>
      </c>
      <c r="F117" s="1148">
        <v>2015</v>
      </c>
      <c r="G117" s="1148">
        <v>2016</v>
      </c>
      <c r="H117" s="1148">
        <v>2017</v>
      </c>
      <c r="I117" s="1148">
        <v>2018</v>
      </c>
      <c r="J117" s="1275">
        <v>2019</v>
      </c>
      <c r="K117" s="1275">
        <v>2020</v>
      </c>
      <c r="L117" s="1275">
        <v>2021</v>
      </c>
      <c r="M117" s="1275">
        <v>2022</v>
      </c>
      <c r="N117" s="1248"/>
      <c r="O117" s="1248"/>
    </row>
    <row r="118" spans="1:24" ht="16.5" thickBot="1">
      <c r="A118" s="1149"/>
      <c r="B118" s="1155" t="s">
        <v>1755</v>
      </c>
      <c r="C118" s="1151"/>
      <c r="D118" s="1151"/>
      <c r="G118" s="1291"/>
      <c r="H118" s="1156"/>
      <c r="I118" s="1156"/>
      <c r="J118" s="1275"/>
      <c r="K118" s="1275"/>
      <c r="L118" s="1275"/>
      <c r="M118" s="1275"/>
      <c r="N118" s="1248"/>
      <c r="O118" s="1248"/>
      <c r="T118" s="1286"/>
      <c r="U118" s="1287"/>
      <c r="V118" s="1287"/>
      <c r="W118" s="1287"/>
      <c r="X118" s="1287"/>
    </row>
    <row r="119" spans="1:24" ht="16.5" thickBot="1">
      <c r="A119" s="1394"/>
      <c r="B119" s="1150" t="s">
        <v>1922</v>
      </c>
      <c r="C119" s="1502">
        <v>4716862</v>
      </c>
      <c r="D119" s="1503">
        <v>5078692</v>
      </c>
      <c r="E119" s="1504">
        <v>5210719</v>
      </c>
      <c r="F119" s="1504">
        <v>1568939.288339</v>
      </c>
      <c r="G119" s="1505">
        <v>2924564.19</v>
      </c>
      <c r="H119" s="1395">
        <f t="shared" ref="H119:J119" si="71">H136/H145</f>
        <v>2503657.5342465756</v>
      </c>
      <c r="I119" s="1395">
        <f t="shared" si="71"/>
        <v>3753670.8904109588</v>
      </c>
      <c r="J119" s="1395">
        <f t="shared" si="71"/>
        <v>2583614.8116438361</v>
      </c>
      <c r="K119" s="1445">
        <v>2100000</v>
      </c>
      <c r="L119" s="1445">
        <v>2100000</v>
      </c>
      <c r="M119" s="1445">
        <v>2000000</v>
      </c>
      <c r="N119" s="1248"/>
      <c r="O119" s="1248"/>
      <c r="T119" s="1286"/>
      <c r="U119" s="1287"/>
      <c r="V119" s="1287"/>
      <c r="W119" s="1287"/>
      <c r="X119" s="1287"/>
    </row>
    <row r="120" spans="1:24" ht="16.5" thickBot="1">
      <c r="A120" s="1149"/>
      <c r="B120" s="1150" t="s">
        <v>1756</v>
      </c>
      <c r="C120" s="1502">
        <v>349265</v>
      </c>
      <c r="D120" s="1503">
        <v>1060012</v>
      </c>
      <c r="E120" s="1503">
        <v>857716</v>
      </c>
      <c r="F120" s="1503">
        <v>921238.12</v>
      </c>
      <c r="G120" s="1503">
        <v>571606.09</v>
      </c>
      <c r="H120" s="1291">
        <f t="shared" ref="H120:J120" si="72">H137/H145</f>
        <v>0</v>
      </c>
      <c r="I120" s="1291">
        <f t="shared" si="72"/>
        <v>0</v>
      </c>
      <c r="J120" s="1291">
        <f t="shared" si="72"/>
        <v>0</v>
      </c>
      <c r="K120" s="1275"/>
      <c r="L120" s="1275"/>
      <c r="M120" s="1275"/>
      <c r="N120" s="1248"/>
      <c r="O120" s="1248"/>
      <c r="T120" s="1286"/>
      <c r="U120" s="1287"/>
      <c r="V120" s="1287"/>
      <c r="W120" s="1287"/>
      <c r="X120" s="1287"/>
    </row>
    <row r="121" spans="1:24" ht="16.5" thickBot="1">
      <c r="A121" s="1149"/>
      <c r="B121" s="1150" t="s">
        <v>1757</v>
      </c>
      <c r="C121" s="1506">
        <v>12002</v>
      </c>
      <c r="D121" s="1507">
        <v>11124</v>
      </c>
      <c r="E121" s="1507">
        <v>9740</v>
      </c>
      <c r="F121" s="1507">
        <v>656.71</v>
      </c>
      <c r="G121" s="1507">
        <v>851.14</v>
      </c>
      <c r="H121" s="1291">
        <f>H139/H145</f>
        <v>882.27739726027403</v>
      </c>
      <c r="I121" s="1291">
        <f t="shared" ref="I121:J121" si="73">I139/I145</f>
        <v>4280.821917808219</v>
      </c>
      <c r="J121" s="1291">
        <f t="shared" si="73"/>
        <v>4280.821917808219</v>
      </c>
      <c r="K121" s="1291">
        <f>J121</f>
        <v>4280.821917808219</v>
      </c>
      <c r="L121" s="1291">
        <f>K121</f>
        <v>4280.821917808219</v>
      </c>
      <c r="M121" s="1291">
        <f>L121</f>
        <v>4280.821917808219</v>
      </c>
      <c r="N121" s="1248"/>
      <c r="O121" s="1248"/>
      <c r="T121" s="1286"/>
      <c r="U121" s="1287"/>
      <c r="V121" s="1287"/>
      <c r="W121" s="1287"/>
      <c r="X121" s="1287"/>
    </row>
    <row r="122" spans="1:24" ht="16.5" thickBot="1">
      <c r="A122" s="1149"/>
      <c r="B122" s="1150" t="s">
        <v>1758</v>
      </c>
      <c r="C122" s="1506">
        <v>492429</v>
      </c>
      <c r="D122" s="1507">
        <v>506476</v>
      </c>
      <c r="E122" s="1507">
        <v>868055</v>
      </c>
      <c r="F122" s="1507">
        <v>1429080.5</v>
      </c>
      <c r="G122" s="1507">
        <v>2299993.91</v>
      </c>
      <c r="H122" s="1291">
        <f t="shared" ref="H122:J122" si="74">H141/H145</f>
        <v>3061364.2986612073</v>
      </c>
      <c r="I122" s="1291">
        <f t="shared" si="74"/>
        <v>916313.34355193074</v>
      </c>
      <c r="J122" s="1291">
        <f t="shared" si="74"/>
        <v>0</v>
      </c>
      <c r="K122" s="1291"/>
      <c r="L122" s="1291"/>
      <c r="M122" s="1291"/>
      <c r="N122" s="1248"/>
      <c r="O122" s="1248"/>
      <c r="T122" s="1286"/>
      <c r="U122" s="1287"/>
      <c r="V122" s="1287"/>
      <c r="W122" s="1287"/>
      <c r="X122" s="1287"/>
    </row>
    <row r="123" spans="1:24">
      <c r="A123" s="1149"/>
      <c r="B123" s="1150" t="s">
        <v>1886</v>
      </c>
      <c r="C123" s="1151"/>
      <c r="D123" s="1151"/>
      <c r="E123" s="1151"/>
      <c r="F123" s="1151"/>
      <c r="G123" s="1291"/>
      <c r="H123" s="1291">
        <f>H142/H145</f>
        <v>256849.31506849316</v>
      </c>
      <c r="I123" s="1291">
        <f t="shared" ref="I123:J123" si="75">I142/I145</f>
        <v>256849.31506849316</v>
      </c>
      <c r="J123" s="1291">
        <f t="shared" si="75"/>
        <v>256849.31506849316</v>
      </c>
      <c r="K123" s="1275"/>
      <c r="L123" s="1275"/>
      <c r="M123" s="1275"/>
      <c r="N123" s="1248"/>
      <c r="O123" s="1248"/>
      <c r="T123" s="1286"/>
      <c r="U123" s="1287"/>
      <c r="V123" s="1287"/>
      <c r="W123" s="1287"/>
      <c r="X123" s="1287"/>
    </row>
    <row r="124" spans="1:24">
      <c r="A124" s="1149"/>
      <c r="B124" s="1165" t="s">
        <v>809</v>
      </c>
      <c r="C124" s="1504">
        <f>C119+C120+C121+C122</f>
        <v>5570558</v>
      </c>
      <c r="D124" s="1504">
        <f t="shared" ref="D124:G124" si="76">D119+D120+D121+D122</f>
        <v>6656304</v>
      </c>
      <c r="E124" s="1504">
        <f t="shared" si="76"/>
        <v>6946230</v>
      </c>
      <c r="F124" s="1504">
        <f t="shared" si="76"/>
        <v>3919914.6183389998</v>
      </c>
      <c r="G124" s="1504">
        <f t="shared" si="76"/>
        <v>5797015.3300000001</v>
      </c>
      <c r="H124" s="1293">
        <f t="shared" ref="H124:M124" si="77">SUM(H119:H123)</f>
        <v>5822753.4253735365</v>
      </c>
      <c r="I124" s="1293">
        <f t="shared" si="77"/>
        <v>4931114.370949191</v>
      </c>
      <c r="J124" s="1293">
        <f t="shared" si="77"/>
        <v>2844744.9486301374</v>
      </c>
      <c r="K124" s="1293">
        <f t="shared" si="77"/>
        <v>2104280.8219178081</v>
      </c>
      <c r="L124" s="1293">
        <f t="shared" si="77"/>
        <v>2104280.8219178081</v>
      </c>
      <c r="M124" s="1293">
        <f t="shared" si="77"/>
        <v>2004280.8219178081</v>
      </c>
      <c r="N124" s="1248"/>
      <c r="O124" s="1248"/>
      <c r="T124" s="1286"/>
      <c r="U124" s="1287"/>
      <c r="V124" s="1287"/>
      <c r="W124" s="1287"/>
      <c r="X124" s="1287"/>
    </row>
    <row r="125" spans="1:24" ht="30">
      <c r="A125" s="1149"/>
      <c r="B125" s="1155" t="s">
        <v>1760</v>
      </c>
      <c r="C125" s="1151"/>
      <c r="D125" s="1151"/>
      <c r="E125" s="1151"/>
      <c r="F125" s="1156"/>
      <c r="G125" s="1156"/>
      <c r="H125" s="1156"/>
      <c r="I125" s="1156"/>
      <c r="J125" s="1275"/>
      <c r="K125" s="1275"/>
      <c r="L125" s="1275"/>
      <c r="M125" s="1275"/>
      <c r="N125" s="1248"/>
      <c r="O125" s="1248"/>
      <c r="T125" s="1286"/>
      <c r="U125" s="1287"/>
      <c r="V125" s="1287"/>
      <c r="W125" s="1287"/>
      <c r="X125" s="1287"/>
    </row>
    <row r="126" spans="1:24" ht="30">
      <c r="A126" s="1157">
        <f>A97</f>
        <v>1</v>
      </c>
      <c r="B126" s="1158" t="str">
        <f>B97</f>
        <v>To provide universal access to early and quality diagnosis of all forms of TB including M/XDR-TB</v>
      </c>
      <c r="C126" s="1159"/>
      <c r="D126" s="1156"/>
      <c r="E126" s="1156"/>
      <c r="F126" s="1156"/>
      <c r="G126" s="1291">
        <f>G119*20%+G120*20%+G121*20%+G122*0%+G123*30%</f>
        <v>699404.28399999999</v>
      </c>
      <c r="H126" s="1291">
        <f>H119*20%+H120*20%+H121*20%+H122*0%+H123*0%</f>
        <v>500907.96232876717</v>
      </c>
      <c r="I126" s="1291">
        <f>I119*20%+I120*20%+I121*20%+I122*0%+I123*30%</f>
        <v>828645.13698630151</v>
      </c>
      <c r="J126" s="1292">
        <f>J119*20%+J120*20%+J121*20%+J122*0%</f>
        <v>517579.12671232887</v>
      </c>
      <c r="K126" s="1292">
        <f>K119*35%+K120*35%+K121*30%+K122*0%+K123*30%</f>
        <v>736284.24657534249</v>
      </c>
      <c r="L126" s="1292">
        <f>L119*35%+L120*20%+L121*20%+L122*0%+L123*30%</f>
        <v>735856.1643835617</v>
      </c>
      <c r="M126" s="1292">
        <f>M119*35%+M120*20%+M121*20%+M122*0%+M123*30%</f>
        <v>700856.1643835617</v>
      </c>
      <c r="N126" s="1248"/>
      <c r="O126" s="1248"/>
      <c r="T126" s="1286"/>
      <c r="U126" s="1287"/>
      <c r="V126" s="1287"/>
      <c r="W126" s="1287"/>
      <c r="X126" s="1287"/>
    </row>
    <row r="127" spans="1:24" ht="45">
      <c r="A127" s="1157">
        <f t="shared" ref="A127" si="78">A98</f>
        <v>2</v>
      </c>
      <c r="B127" s="1158" t="str">
        <f>B98</f>
        <v>To provide universal access to quality treatment of all forms of TB including M/XDR-TB with appropriate patient support</v>
      </c>
      <c r="C127" s="1159"/>
      <c r="D127" s="1156"/>
      <c r="E127" s="1156"/>
      <c r="F127" s="1156"/>
      <c r="G127" s="1291">
        <f>G119*20%+G120*30%+G121*30%+G122*0%+G123*60%</f>
        <v>756650.00699999998</v>
      </c>
      <c r="H127" s="1291">
        <f>H119*30%+H120*30%+H121*30%+H122*0%+H123*100%</f>
        <v>1008211.2585616439</v>
      </c>
      <c r="I127" s="1291">
        <f>I119*30%+I120*30%+I121*30%+I122*0%+I123*60%</f>
        <v>1281495.102739726</v>
      </c>
      <c r="J127" s="1292">
        <f>J119*30%+J120*30%+J121*30%+J122*0%+J123</f>
        <v>1033218.0051369864</v>
      </c>
      <c r="K127" s="1292">
        <f t="shared" ref="K127:M127" si="79">K119*30%+K120*30%+K121*30%+K122*0%+K123*60%</f>
        <v>631284.24657534249</v>
      </c>
      <c r="L127" s="1292">
        <f t="shared" si="79"/>
        <v>631284.24657534249</v>
      </c>
      <c r="M127" s="1292">
        <f t="shared" si="79"/>
        <v>601284.24657534249</v>
      </c>
      <c r="N127" s="1248"/>
      <c r="O127" s="1248"/>
    </row>
    <row r="128" spans="1:24" ht="30">
      <c r="A128" s="1157">
        <f t="shared" ref="A128" si="80">A99</f>
        <v>3</v>
      </c>
      <c r="B128" s="1158" t="str">
        <f>B99</f>
        <v>To enable supportive environment and systems for effective TB control</v>
      </c>
      <c r="C128" s="1156"/>
      <c r="D128" s="1156"/>
      <c r="E128" s="1156"/>
      <c r="F128" s="1156"/>
      <c r="G128" s="1291">
        <f>G119*60%+G120*50%+G121*50%+G122*100%+G123*10%</f>
        <v>4340961.0389999999</v>
      </c>
      <c r="H128" s="1291">
        <f>H119*50%+H120*50%+H121*50%+H122*100%+H123*0%</f>
        <v>4313634.2044831254</v>
      </c>
      <c r="I128" s="1291">
        <f>I119*50%+I120*50%+I121*50%+I122*100%+I123*10%</f>
        <v>2820974.1312231636</v>
      </c>
      <c r="J128" s="1292">
        <f>J119*50%+J120*50%+J121*50%+J122*100%</f>
        <v>1293947.8167808221</v>
      </c>
      <c r="K128" s="1292">
        <f>K119*35%+K120*35%+K121*50%+K122*100%+K123*10%</f>
        <v>737140.41095890407</v>
      </c>
      <c r="L128" s="1292">
        <f>L119*50%+L120*35%+L121*50%+L122*100%+L123*10%</f>
        <v>1052140.4109589041</v>
      </c>
      <c r="M128" s="1292">
        <f>M119*35%+M120*35%+M121*35%+M122*35%+M123*35%</f>
        <v>701498.28767123283</v>
      </c>
      <c r="N128" s="1248"/>
      <c r="O128" s="1248"/>
    </row>
    <row r="129" spans="1:15">
      <c r="A129" s="1157">
        <f t="shared" ref="A129" si="81">A100</f>
        <v>4</v>
      </c>
      <c r="B129" s="1158" t="str">
        <f>B100</f>
        <v>Annual cost increase adjustment</v>
      </c>
      <c r="C129" s="1156"/>
      <c r="D129" s="1156"/>
      <c r="E129" s="1156"/>
      <c r="F129" s="1156"/>
      <c r="G129" s="1291">
        <f>G119*0%+G120*0%+G121*0%+G122*0%+G123*0%</f>
        <v>0</v>
      </c>
      <c r="H129" s="1291">
        <f t="shared" ref="H129:M129" si="82">H120*0%+H121*0%+H122*0%+H123*0%</f>
        <v>0</v>
      </c>
      <c r="I129" s="1291">
        <f t="shared" si="82"/>
        <v>0</v>
      </c>
      <c r="J129" s="1292">
        <f t="shared" si="82"/>
        <v>0</v>
      </c>
      <c r="K129" s="1292">
        <f t="shared" si="82"/>
        <v>0</v>
      </c>
      <c r="L129" s="1292">
        <f t="shared" si="82"/>
        <v>0</v>
      </c>
      <c r="M129" s="1292">
        <f t="shared" si="82"/>
        <v>0</v>
      </c>
      <c r="N129" s="1248"/>
      <c r="O129" s="1248"/>
    </row>
    <row r="130" spans="1:15">
      <c r="A130" s="1157"/>
      <c r="B130" s="1165" t="s">
        <v>809</v>
      </c>
      <c r="C130" s="1163"/>
      <c r="D130" s="1163"/>
      <c r="E130" s="1163"/>
      <c r="F130" s="1164"/>
      <c r="G130" s="1293">
        <f t="shared" ref="G130" si="83">SUM(G126:G129)</f>
        <v>5797015.3300000001</v>
      </c>
      <c r="H130" s="1293">
        <f t="shared" ref="H130" si="84">SUM(H126:H129)</f>
        <v>5822753.4253735365</v>
      </c>
      <c r="I130" s="1293">
        <f t="shared" ref="I130:M130" si="85">SUM(I126:I129)</f>
        <v>4931114.370949191</v>
      </c>
      <c r="J130" s="1293">
        <f t="shared" si="85"/>
        <v>2844744.9486301374</v>
      </c>
      <c r="K130" s="1293">
        <f t="shared" si="85"/>
        <v>2104708.9041095888</v>
      </c>
      <c r="L130" s="1293">
        <f t="shared" si="85"/>
        <v>2419280.8219178086</v>
      </c>
      <c r="M130" s="1293">
        <f t="shared" si="85"/>
        <v>2003638.6986301371</v>
      </c>
      <c r="N130" s="1248"/>
      <c r="O130" s="1248"/>
    </row>
    <row r="134" spans="1:15">
      <c r="A134" s="1294"/>
      <c r="B134" s="1295" t="s">
        <v>1887</v>
      </c>
      <c r="C134" s="1295" t="s">
        <v>1636</v>
      </c>
      <c r="D134" s="1295"/>
      <c r="E134" s="1295" t="s">
        <v>1878</v>
      </c>
      <c r="F134" s="1295"/>
      <c r="G134" s="1295"/>
      <c r="H134" s="1295"/>
      <c r="I134" s="1295"/>
      <c r="J134" s="1295" t="s">
        <v>1879</v>
      </c>
      <c r="K134" s="1295"/>
      <c r="L134" s="1295"/>
      <c r="M134" s="1295"/>
    </row>
    <row r="135" spans="1:15">
      <c r="A135" s="1294"/>
      <c r="B135" s="1295"/>
      <c r="C135" s="1295">
        <v>2012</v>
      </c>
      <c r="D135" s="1295">
        <v>2013</v>
      </c>
      <c r="E135" s="1295">
        <v>2014</v>
      </c>
      <c r="F135" s="1295">
        <v>2015</v>
      </c>
      <c r="G135" s="1295">
        <v>2016</v>
      </c>
      <c r="H135" s="1295">
        <v>2017</v>
      </c>
      <c r="I135" s="1295">
        <v>2018</v>
      </c>
      <c r="J135" s="1295">
        <v>2019</v>
      </c>
      <c r="K135" s="1295">
        <v>2020</v>
      </c>
      <c r="L135" s="1295">
        <v>2021</v>
      </c>
      <c r="M135" s="1295">
        <v>2022</v>
      </c>
    </row>
    <row r="136" spans="1:15">
      <c r="A136" s="1294"/>
      <c r="B136" s="1295" t="s">
        <v>1880</v>
      </c>
      <c r="C136" s="1296">
        <v>7787539</v>
      </c>
      <c r="D136" s="1296">
        <v>8445864.3100000005</v>
      </c>
      <c r="E136" s="1296">
        <v>7655257.6600000001</v>
      </c>
      <c r="F136" s="1296">
        <v>3740539</v>
      </c>
      <c r="G136" s="1296">
        <v>7376770</v>
      </c>
      <c r="H136" s="1296">
        <v>5848544</v>
      </c>
      <c r="I136" s="1296">
        <v>8768575.1999999993</v>
      </c>
      <c r="J136" s="1296">
        <v>6035324.2000000002</v>
      </c>
      <c r="K136" s="1295"/>
      <c r="L136" s="1295"/>
      <c r="M136" s="1295"/>
    </row>
    <row r="137" spans="1:15">
      <c r="A137" s="1294"/>
      <c r="B137" s="1295" t="s">
        <v>1756</v>
      </c>
      <c r="C137" s="1296">
        <v>576637</v>
      </c>
      <c r="D137" s="1296">
        <v>1762799.99</v>
      </c>
      <c r="E137" s="1296">
        <v>1514727.25</v>
      </c>
      <c r="F137" s="1296">
        <v>2104200</v>
      </c>
      <c r="G137" s="1296">
        <v>1343160</v>
      </c>
      <c r="H137" s="1296">
        <v>0</v>
      </c>
      <c r="I137" s="1296"/>
      <c r="J137" s="1296"/>
      <c r="K137" s="1295"/>
      <c r="L137" s="1295"/>
      <c r="M137" s="1295"/>
    </row>
    <row r="138" spans="1:15">
      <c r="A138" s="1294"/>
      <c r="B138" s="1295" t="s">
        <v>1881</v>
      </c>
      <c r="C138" s="1296"/>
      <c r="D138" s="1296"/>
      <c r="E138" s="1296"/>
      <c r="F138" s="1296"/>
      <c r="G138" s="1296"/>
      <c r="H138" s="1296"/>
      <c r="I138" s="1296"/>
      <c r="J138" s="1296"/>
      <c r="K138" s="1295"/>
      <c r="L138" s="1295"/>
      <c r="M138" s="1295"/>
    </row>
    <row r="139" spans="1:15">
      <c r="A139" s="1294"/>
      <c r="B139" s="1295" t="s">
        <v>1757</v>
      </c>
      <c r="C139" s="1296">
        <v>19816</v>
      </c>
      <c r="D139" s="1296">
        <v>18500</v>
      </c>
      <c r="E139" s="1296">
        <v>17200</v>
      </c>
      <c r="F139" s="1296">
        <v>1500</v>
      </c>
      <c r="G139" s="1296">
        <v>2000</v>
      </c>
      <c r="H139" s="1296">
        <v>2061</v>
      </c>
      <c r="I139" s="1296">
        <v>10000</v>
      </c>
      <c r="J139" s="1296">
        <v>10000</v>
      </c>
      <c r="K139" s="1295"/>
      <c r="L139" s="1295"/>
      <c r="M139" s="1295"/>
    </row>
    <row r="140" spans="1:15">
      <c r="A140" s="1294"/>
      <c r="B140" s="1295" t="s">
        <v>1882</v>
      </c>
      <c r="C140" s="1296"/>
      <c r="D140" s="1296"/>
      <c r="E140" s="1296"/>
      <c r="F140" s="1296"/>
      <c r="G140" s="1296"/>
      <c r="H140" s="1296"/>
      <c r="I140" s="1296"/>
      <c r="J140" s="1296"/>
      <c r="K140" s="1295"/>
      <c r="L140" s="1295"/>
      <c r="M140" s="1295"/>
    </row>
    <row r="141" spans="1:15">
      <c r="A141" s="1294"/>
      <c r="B141" s="1295" t="s">
        <v>1758</v>
      </c>
      <c r="C141" s="1296">
        <v>813001</v>
      </c>
      <c r="D141" s="1296">
        <v>842269.15</v>
      </c>
      <c r="E141" s="1296">
        <v>1532985.61</v>
      </c>
      <c r="F141" s="1296">
        <v>3264162.8953347062</v>
      </c>
      <c r="G141" s="1296">
        <v>5404525.6852228129</v>
      </c>
      <c r="H141" s="1296">
        <v>7151347.0016725799</v>
      </c>
      <c r="I141" s="1296">
        <v>2140507.97053731</v>
      </c>
      <c r="J141" s="1296"/>
      <c r="K141" s="1295"/>
      <c r="L141" s="1295"/>
      <c r="M141" s="1295"/>
    </row>
    <row r="142" spans="1:15">
      <c r="A142" s="1294"/>
      <c r="B142" s="1295" t="s">
        <v>1883</v>
      </c>
      <c r="C142" s="1296"/>
      <c r="D142" s="1296"/>
      <c r="E142" s="1296"/>
      <c r="F142" s="1296"/>
      <c r="G142" s="1296"/>
      <c r="H142" s="1296">
        <v>600000</v>
      </c>
      <c r="I142" s="1296">
        <v>600000</v>
      </c>
      <c r="J142" s="1296">
        <v>600000</v>
      </c>
      <c r="K142" s="1295"/>
      <c r="L142" s="1295"/>
      <c r="M142" s="1295"/>
    </row>
    <row r="143" spans="1:15">
      <c r="A143" s="1294"/>
      <c r="B143" s="1295" t="s">
        <v>4</v>
      </c>
      <c r="C143" s="1296">
        <v>9196993</v>
      </c>
      <c r="D143" s="1296">
        <v>11069433.450000001</v>
      </c>
      <c r="E143" s="1296">
        <v>10720170.52</v>
      </c>
      <c r="F143" s="1296">
        <v>9110401.8953347057</v>
      </c>
      <c r="G143" s="1296">
        <v>14126455.685222812</v>
      </c>
      <c r="H143" s="1296">
        <v>13601952.001672581</v>
      </c>
      <c r="I143" s="1296">
        <v>11519083.17053731</v>
      </c>
      <c r="J143" s="1296">
        <v>6645324.1999999993</v>
      </c>
      <c r="K143" s="1296">
        <v>0</v>
      </c>
      <c r="L143" s="1296">
        <v>0</v>
      </c>
      <c r="M143" s="1296">
        <v>0</v>
      </c>
    </row>
    <row r="144" spans="1:15">
      <c r="A144" s="1294"/>
      <c r="B144" s="1297"/>
      <c r="C144" s="1297"/>
      <c r="D144" s="1297"/>
      <c r="E144" s="1297"/>
      <c r="F144" s="1297"/>
      <c r="G144" s="1297"/>
      <c r="H144" s="1297"/>
      <c r="I144" s="1297"/>
      <c r="J144" s="1297"/>
      <c r="K144" s="1297"/>
      <c r="L144" s="1297"/>
      <c r="M144" s="1297"/>
    </row>
    <row r="145" spans="1:14">
      <c r="A145" s="1294"/>
      <c r="B145" s="1297" t="s">
        <v>1884</v>
      </c>
      <c r="C145" s="1371">
        <v>1.651</v>
      </c>
      <c r="D145" s="1371">
        <v>1.663</v>
      </c>
      <c r="E145" s="1371">
        <v>1.766</v>
      </c>
      <c r="F145" s="1371">
        <v>2.4011</v>
      </c>
      <c r="G145" s="1371">
        <v>2.3359999999999999</v>
      </c>
      <c r="H145" s="1371">
        <v>2.3359999999999999</v>
      </c>
      <c r="I145" s="1371">
        <v>2.3359999999999999</v>
      </c>
      <c r="J145" s="1371">
        <v>2.3359999999999999</v>
      </c>
      <c r="K145" s="1297"/>
      <c r="L145" s="1297"/>
      <c r="M145" s="1297"/>
    </row>
    <row r="146" spans="1:14">
      <c r="A146" s="1294"/>
      <c r="B146" s="1297" t="s">
        <v>1885</v>
      </c>
      <c r="C146" s="1297"/>
      <c r="D146" s="1297"/>
      <c r="E146" s="1297"/>
      <c r="F146" s="1297">
        <v>3.2</v>
      </c>
      <c r="G146" s="1297">
        <v>3.2</v>
      </c>
      <c r="H146" s="1297">
        <v>3.2</v>
      </c>
      <c r="I146" s="1297">
        <v>3.2</v>
      </c>
      <c r="J146" s="1297"/>
      <c r="K146" s="1297"/>
      <c r="L146" s="1297"/>
      <c r="M146" s="1297"/>
    </row>
    <row r="148" spans="1:14" ht="16.5" thickBot="1"/>
    <row r="149" spans="1:14" ht="16.5" thickBot="1">
      <c r="B149" s="1360" t="s">
        <v>1891</v>
      </c>
      <c r="C149" s="1895" t="s">
        <v>1636</v>
      </c>
      <c r="D149" s="1896"/>
      <c r="E149" s="1896"/>
      <c r="F149" s="1896"/>
      <c r="G149" s="1897"/>
      <c r="H149" s="1898" t="s">
        <v>1893</v>
      </c>
      <c r="I149" s="1899"/>
      <c r="J149" s="1900"/>
      <c r="K149" s="1361"/>
      <c r="L149" s="1361"/>
      <c r="N149" s="1250" t="s">
        <v>2089</v>
      </c>
    </row>
    <row r="150" spans="1:14" ht="16.5" thickBot="1">
      <c r="B150" s="1362" t="s">
        <v>1892</v>
      </c>
      <c r="C150" s="1363">
        <v>2012</v>
      </c>
      <c r="D150" s="1363">
        <v>2013</v>
      </c>
      <c r="E150" s="1364">
        <v>2014</v>
      </c>
      <c r="F150" s="1364">
        <v>2015</v>
      </c>
      <c r="G150" s="1364">
        <v>2016</v>
      </c>
      <c r="H150" s="1365">
        <v>2012</v>
      </c>
      <c r="I150" s="1366">
        <v>2013</v>
      </c>
      <c r="J150" s="1366">
        <v>2014</v>
      </c>
      <c r="K150" s="1365">
        <v>2015</v>
      </c>
      <c r="L150" s="1365">
        <v>2016</v>
      </c>
      <c r="N150" s="1250">
        <f>G151/3332</f>
        <v>4564.90756302521</v>
      </c>
    </row>
    <row r="151" spans="1:14" ht="16.5" thickBot="1">
      <c r="B151" s="1367" t="s">
        <v>1894</v>
      </c>
      <c r="C151" s="1451">
        <f>C30</f>
        <v>10916439</v>
      </c>
      <c r="D151" s="1451">
        <f t="shared" ref="D151:G151" si="86">D30</f>
        <v>14532049</v>
      </c>
      <c r="E151" s="1451">
        <f t="shared" si="86"/>
        <v>15855729</v>
      </c>
      <c r="F151" s="1451">
        <f t="shared" si="86"/>
        <v>13912649</v>
      </c>
      <c r="G151" s="1451">
        <f t="shared" si="86"/>
        <v>15210272</v>
      </c>
      <c r="H151" s="1423">
        <f>C151/C154</f>
        <v>0.50854248064276142</v>
      </c>
      <c r="I151" s="1423">
        <f t="shared" ref="I151:L151" si="87">D151/D154</f>
        <v>0.53849039033936974</v>
      </c>
      <c r="J151" s="1423">
        <f t="shared" si="87"/>
        <v>0.56650332494115674</v>
      </c>
      <c r="K151" s="1423">
        <f t="shared" si="87"/>
        <v>0.58218812013082599</v>
      </c>
      <c r="L151" s="1423">
        <f t="shared" si="87"/>
        <v>0.50755672569927213</v>
      </c>
      <c r="N151" s="1250">
        <f>2.3498</f>
        <v>2.3498000000000001</v>
      </c>
    </row>
    <row r="152" spans="1:14" ht="16.5" thickBot="1">
      <c r="B152" s="1367" t="s">
        <v>1896</v>
      </c>
      <c r="C152" s="1418">
        <v>9196993</v>
      </c>
      <c r="D152" s="1418">
        <v>11069433</v>
      </c>
      <c r="E152" s="1422">
        <v>10720171</v>
      </c>
      <c r="F152" s="1424">
        <f>F143</f>
        <v>9110401.8953347057</v>
      </c>
      <c r="G152" s="1424">
        <f>G143</f>
        <v>14126455.685222812</v>
      </c>
      <c r="H152" s="1416">
        <f>C152/C154</f>
        <v>0.4284420619832266</v>
      </c>
      <c r="I152" s="1416">
        <f t="shared" ref="I152:L152" si="88">D152/D154</f>
        <v>0.4101818881153993</v>
      </c>
      <c r="J152" s="1416">
        <f t="shared" si="88"/>
        <v>0.38301692186072084</v>
      </c>
      <c r="K152" s="1416">
        <f t="shared" si="88"/>
        <v>0.3812334914135494</v>
      </c>
      <c r="L152" s="1416">
        <f t="shared" si="88"/>
        <v>0.47139049146047868</v>
      </c>
      <c r="N152" s="1250">
        <f>N150/N151</f>
        <v>1942.6791910057068</v>
      </c>
    </row>
    <row r="153" spans="1:14" ht="16.5" thickBot="1">
      <c r="B153" s="1367" t="s">
        <v>1898</v>
      </c>
      <c r="C153" s="1419">
        <v>1352698</v>
      </c>
      <c r="D153" s="1419">
        <v>1385163</v>
      </c>
      <c r="E153" s="1420">
        <v>1412866</v>
      </c>
      <c r="F153" s="1420">
        <v>874120</v>
      </c>
      <c r="G153" s="1420">
        <v>630902</v>
      </c>
      <c r="H153" s="1423">
        <f>C153/C154</f>
        <v>6.3015457374011985E-2</v>
      </c>
      <c r="I153" s="1423">
        <f t="shared" ref="I153:L153" si="89">D153/D154</f>
        <v>5.1327721545230985E-2</v>
      </c>
      <c r="J153" s="1423">
        <f t="shared" si="89"/>
        <v>5.0479753198122417E-2</v>
      </c>
      <c r="K153" s="1423">
        <f t="shared" si="89"/>
        <v>3.6578388455624632E-2</v>
      </c>
      <c r="L153" s="1423">
        <f t="shared" si="89"/>
        <v>2.1052782840249154E-2</v>
      </c>
      <c r="M153" s="1250" t="e">
        <f>#REF!/C151</f>
        <v>#REF!</v>
      </c>
    </row>
    <row r="154" spans="1:14">
      <c r="B154" s="1370" t="s">
        <v>4</v>
      </c>
      <c r="C154" s="1418">
        <f>C151+C152+C153</f>
        <v>21466130</v>
      </c>
      <c r="D154" s="1418">
        <f t="shared" ref="D154:G154" si="90">D151+D152+D153</f>
        <v>26986645</v>
      </c>
      <c r="E154" s="1418">
        <f t="shared" si="90"/>
        <v>27988766</v>
      </c>
      <c r="F154" s="1418">
        <f t="shared" si="90"/>
        <v>23897170.895334706</v>
      </c>
      <c r="G154" s="1418">
        <f t="shared" si="90"/>
        <v>29967629.685222812</v>
      </c>
      <c r="H154" s="1416">
        <v>1</v>
      </c>
      <c r="I154" s="1417">
        <v>1</v>
      </c>
      <c r="J154" s="1417">
        <v>1</v>
      </c>
      <c r="K154" s="1421">
        <f>K151+K152+K153</f>
        <v>1</v>
      </c>
      <c r="L154" s="1421">
        <f>L151+L152+L153</f>
        <v>1</v>
      </c>
    </row>
    <row r="156" spans="1:14" ht="16.5" thickBot="1"/>
    <row r="157" spans="1:14" ht="16.5" thickBot="1">
      <c r="B157" s="1360" t="s">
        <v>1891</v>
      </c>
      <c r="C157" s="1895" t="s">
        <v>1386</v>
      </c>
      <c r="D157" s="1896"/>
      <c r="E157" s="1896"/>
      <c r="F157" s="1896"/>
      <c r="G157" s="1897"/>
      <c r="H157" s="1898" t="s">
        <v>1893</v>
      </c>
      <c r="I157" s="1899"/>
      <c r="J157" s="1900"/>
      <c r="K157" s="1361"/>
      <c r="L157" s="1361"/>
    </row>
    <row r="158" spans="1:14" ht="16.5" thickBot="1">
      <c r="B158" s="1362" t="s">
        <v>1892</v>
      </c>
      <c r="C158" s="1363">
        <v>2012</v>
      </c>
      <c r="D158" s="1363">
        <v>2013</v>
      </c>
      <c r="E158" s="1364">
        <v>2014</v>
      </c>
      <c r="F158" s="1364">
        <v>2015</v>
      </c>
      <c r="G158" s="1364">
        <v>2016</v>
      </c>
      <c r="H158" s="1365">
        <v>2012</v>
      </c>
      <c r="I158" s="1366">
        <v>2013</v>
      </c>
      <c r="J158" s="1366">
        <v>2014</v>
      </c>
      <c r="K158" s="1365">
        <v>2015</v>
      </c>
      <c r="L158" s="1365">
        <v>2016</v>
      </c>
    </row>
    <row r="159" spans="1:14">
      <c r="B159" s="1367" t="s">
        <v>1894</v>
      </c>
      <c r="C159" s="1885">
        <f>8251744/$C$145</f>
        <v>4998027.8619018774</v>
      </c>
      <c r="D159" s="1885">
        <f>D151/$D$145</f>
        <v>8738453.9987973534</v>
      </c>
      <c r="E159" s="1887">
        <f>E151/$E$145</f>
        <v>8978328.9920724798</v>
      </c>
      <c r="F159" s="1887">
        <f>F151/$F$145</f>
        <v>5794281.3710382739</v>
      </c>
      <c r="G159" s="1887">
        <f>G151/$G$145</f>
        <v>6511246.5753424661</v>
      </c>
      <c r="H159" s="1879">
        <v>0.44</v>
      </c>
      <c r="I159" s="1881">
        <v>0.45</v>
      </c>
      <c r="J159" s="1881">
        <v>0.44</v>
      </c>
      <c r="K159" s="1883">
        <f>F159/F165</f>
        <v>0.58218812013082599</v>
      </c>
      <c r="L159" s="1883">
        <f>G159/G165</f>
        <v>0.50755672569927202</v>
      </c>
    </row>
    <row r="160" spans="1:14" ht="16.5" thickBot="1">
      <c r="B160" s="1368" t="s">
        <v>1895</v>
      </c>
      <c r="C160" s="1886"/>
      <c r="D160" s="1886"/>
      <c r="E160" s="1888"/>
      <c r="F160" s="1888"/>
      <c r="G160" s="1888"/>
      <c r="H160" s="1880"/>
      <c r="I160" s="1882"/>
      <c r="J160" s="1882"/>
      <c r="K160" s="1884"/>
      <c r="L160" s="1884"/>
    </row>
    <row r="161" spans="2:12">
      <c r="B161" s="1367" t="s">
        <v>1896</v>
      </c>
      <c r="C161" s="1885">
        <f t="shared" ref="C161" si="91">8251744/$C$145</f>
        <v>4998027.8619018774</v>
      </c>
      <c r="D161" s="1885">
        <f>D152/$D$145</f>
        <v>6656303.6680697529</v>
      </c>
      <c r="E161" s="1887">
        <f>E152/$E$145</f>
        <v>6070312.0045300117</v>
      </c>
      <c r="F161" s="1887">
        <f>F152/$F$145</f>
        <v>3794261.753085963</v>
      </c>
      <c r="G161" s="1887">
        <f>G152/$G$145</f>
        <v>6047284.1118248347</v>
      </c>
      <c r="H161" s="1889">
        <v>0.49</v>
      </c>
      <c r="I161" s="1891">
        <v>0.49</v>
      </c>
      <c r="J161" s="1891">
        <v>0.5</v>
      </c>
      <c r="K161" s="1893">
        <f>F161/F165</f>
        <v>0.3812334914135494</v>
      </c>
      <c r="L161" s="1893">
        <f>G161/G165</f>
        <v>0.47139049146047868</v>
      </c>
    </row>
    <row r="162" spans="2:12" ht="16.5" thickBot="1">
      <c r="B162" s="1369" t="s">
        <v>1897</v>
      </c>
      <c r="C162" s="1886"/>
      <c r="D162" s="1886"/>
      <c r="E162" s="1888"/>
      <c r="F162" s="1888"/>
      <c r="G162" s="1888"/>
      <c r="H162" s="1890"/>
      <c r="I162" s="1892"/>
      <c r="J162" s="1892"/>
      <c r="K162" s="1894"/>
      <c r="L162" s="1894"/>
    </row>
    <row r="163" spans="2:12">
      <c r="B163" s="1367" t="s">
        <v>1898</v>
      </c>
      <c r="C163" s="1885">
        <f t="shared" ref="C163" si="92">8251744/$C$145</f>
        <v>4998027.8619018774</v>
      </c>
      <c r="D163" s="1885">
        <f>D153/$D$145</f>
        <v>832930.24654239323</v>
      </c>
      <c r="E163" s="1887">
        <f>E153/$E$145</f>
        <v>800037.3725934315</v>
      </c>
      <c r="F163" s="1887">
        <f>F153/$F$145</f>
        <v>364049.8105035192</v>
      </c>
      <c r="G163" s="1887">
        <f>G153/$G$145</f>
        <v>270077.91095890413</v>
      </c>
      <c r="H163" s="1879">
        <v>7.0000000000000007E-2</v>
      </c>
      <c r="I163" s="1881">
        <v>0.06</v>
      </c>
      <c r="J163" s="1881">
        <v>7.0000000000000007E-2</v>
      </c>
      <c r="K163" s="1883">
        <f>F163/F165</f>
        <v>3.6578388455624632E-2</v>
      </c>
      <c r="L163" s="1883">
        <f>G163/G165</f>
        <v>2.1052782840249151E-2</v>
      </c>
    </row>
    <row r="164" spans="2:12" ht="16.5" thickBot="1">
      <c r="B164" s="1368" t="s">
        <v>1899</v>
      </c>
      <c r="C164" s="1886"/>
      <c r="D164" s="1886"/>
      <c r="E164" s="1888"/>
      <c r="F164" s="1888"/>
      <c r="G164" s="1888"/>
      <c r="H164" s="1880"/>
      <c r="I164" s="1882"/>
      <c r="J164" s="1882"/>
      <c r="K164" s="1884"/>
      <c r="L164" s="1884"/>
    </row>
    <row r="165" spans="2:12">
      <c r="B165" s="1370" t="s">
        <v>4</v>
      </c>
      <c r="C165" s="1877">
        <f>C159+C161+C163</f>
        <v>14994083.585705632</v>
      </c>
      <c r="D165" s="1877">
        <f t="shared" ref="D165:G165" si="93">D159+D161+D163</f>
        <v>16227687.913409501</v>
      </c>
      <c r="E165" s="1877">
        <f t="shared" si="93"/>
        <v>15848678.369195921</v>
      </c>
      <c r="F165" s="1877">
        <f t="shared" si="93"/>
        <v>9952592.9346277565</v>
      </c>
      <c r="G165" s="1877">
        <f t="shared" si="93"/>
        <v>12828608.598126207</v>
      </c>
      <c r="H165" s="1871">
        <v>1</v>
      </c>
      <c r="I165" s="1873">
        <v>1</v>
      </c>
      <c r="J165" s="1873">
        <v>1</v>
      </c>
      <c r="K165" s="1875">
        <f>K159+K161+K163</f>
        <v>1</v>
      </c>
      <c r="L165" s="1875">
        <f>L159+L161+L163</f>
        <v>0.99999999999999978</v>
      </c>
    </row>
    <row r="166" spans="2:12" ht="16.5" thickBot="1">
      <c r="B166" s="1362" t="s">
        <v>1900</v>
      </c>
      <c r="C166" s="1878"/>
      <c r="D166" s="1878"/>
      <c r="E166" s="1878"/>
      <c r="F166" s="1878"/>
      <c r="G166" s="1878"/>
      <c r="H166" s="1872"/>
      <c r="I166" s="1874"/>
      <c r="J166" s="1874"/>
      <c r="K166" s="1876"/>
      <c r="L166" s="1876"/>
    </row>
  </sheetData>
  <mergeCells count="53">
    <mergeCell ref="P7:Q7"/>
    <mergeCell ref="R7:S7"/>
    <mergeCell ref="N8:N9"/>
    <mergeCell ref="P8:P9"/>
    <mergeCell ref="R8:R9"/>
    <mergeCell ref="C149:G149"/>
    <mergeCell ref="H149:J149"/>
    <mergeCell ref="C68:E68"/>
    <mergeCell ref="F68:F69"/>
    <mergeCell ref="P68:S68"/>
    <mergeCell ref="H68:M68"/>
    <mergeCell ref="C157:G157"/>
    <mergeCell ref="H157:J157"/>
    <mergeCell ref="C159:C160"/>
    <mergeCell ref="D159:D160"/>
    <mergeCell ref="E159:E160"/>
    <mergeCell ref="F159:F160"/>
    <mergeCell ref="G159:G160"/>
    <mergeCell ref="H159:H160"/>
    <mergeCell ref="I159:I160"/>
    <mergeCell ref="J159:J160"/>
    <mergeCell ref="K159:K160"/>
    <mergeCell ref="L159:L160"/>
    <mergeCell ref="C161:C162"/>
    <mergeCell ref="D161:D162"/>
    <mergeCell ref="E161:E162"/>
    <mergeCell ref="F161:F162"/>
    <mergeCell ref="G161:G162"/>
    <mergeCell ref="H161:H162"/>
    <mergeCell ref="I161:I162"/>
    <mergeCell ref="J161:J162"/>
    <mergeCell ref="K161:K162"/>
    <mergeCell ref="L161:L162"/>
    <mergeCell ref="C163:C164"/>
    <mergeCell ref="D163:D164"/>
    <mergeCell ref="E163:E164"/>
    <mergeCell ref="F163:F164"/>
    <mergeCell ref="G163:G164"/>
    <mergeCell ref="H163:H164"/>
    <mergeCell ref="I163:I164"/>
    <mergeCell ref="J163:J164"/>
    <mergeCell ref="K163:K164"/>
    <mergeCell ref="L163:L164"/>
    <mergeCell ref="C165:C166"/>
    <mergeCell ref="D165:D166"/>
    <mergeCell ref="E165:E166"/>
    <mergeCell ref="F165:F166"/>
    <mergeCell ref="G165:G166"/>
    <mergeCell ref="H165:H166"/>
    <mergeCell ref="I165:I166"/>
    <mergeCell ref="J165:J166"/>
    <mergeCell ref="K165:K166"/>
    <mergeCell ref="L165:L16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I244"/>
  <sheetViews>
    <sheetView topLeftCell="A119" zoomScale="80" zoomScaleNormal="80" workbookViewId="0">
      <selection activeCell="I140" sqref="I140"/>
    </sheetView>
  </sheetViews>
  <sheetFormatPr defaultColWidth="9.42578125" defaultRowHeight="15"/>
  <cols>
    <col min="1" max="1" width="9.42578125" style="353"/>
    <col min="2" max="2" width="53.5703125" style="330" customWidth="1"/>
    <col min="3" max="3" width="11" style="330" customWidth="1"/>
    <col min="4" max="4" width="17.5703125" style="355" customWidth="1"/>
    <col min="5" max="5" width="15.42578125" style="355" customWidth="1"/>
    <col min="6" max="6" width="15.7109375" style="355" customWidth="1"/>
    <col min="7" max="7" width="13.42578125" style="356" customWidth="1"/>
    <col min="8" max="10" width="11.42578125" style="355" customWidth="1"/>
    <col min="11" max="13" width="13.42578125" style="356" customWidth="1"/>
    <col min="14" max="15" width="11.42578125" style="355" customWidth="1"/>
    <col min="16" max="16" width="16.140625" style="355" customWidth="1"/>
    <col min="17" max="17" width="13.42578125" style="355" customWidth="1"/>
    <col min="18" max="19" width="11.42578125" style="355" customWidth="1"/>
    <col min="20" max="20" width="17.7109375" style="355" customWidth="1"/>
    <col min="21" max="21" width="13.42578125" style="356" customWidth="1"/>
    <col min="22" max="22" width="15.7109375" style="355" customWidth="1"/>
    <col min="23" max="23" width="11.42578125" style="355" customWidth="1"/>
    <col min="24" max="24" width="15.5703125" style="355" customWidth="1"/>
    <col min="25" max="25" width="13.42578125" style="356" customWidth="1"/>
    <col min="26" max="26" width="22.28515625" style="355" customWidth="1"/>
    <col min="27" max="27" width="11.42578125" style="355" customWidth="1"/>
    <col min="28" max="28" width="14.85546875" style="355" customWidth="1"/>
    <col min="29" max="29" width="13.42578125" style="356" customWidth="1"/>
    <col min="30" max="33" width="10.5703125" style="330" customWidth="1"/>
    <col min="34" max="34" width="12.5703125" style="330" customWidth="1"/>
    <col min="35" max="37" width="10.5703125" style="330" customWidth="1"/>
    <col min="38" max="38" width="12.5703125" style="330" customWidth="1"/>
    <col min="39" max="16384" width="9.42578125" style="330"/>
  </cols>
  <sheetData>
    <row r="1" spans="1:35">
      <c r="A1" s="1036" t="s">
        <v>1833</v>
      </c>
      <c r="B1" s="327"/>
      <c r="C1" s="327"/>
      <c r="D1" s="328"/>
      <c r="E1" s="328"/>
      <c r="F1" s="328"/>
      <c r="G1" s="329"/>
      <c r="H1" s="328"/>
      <c r="I1" s="328"/>
      <c r="J1" s="328"/>
      <c r="K1" s="329"/>
      <c r="L1" s="329"/>
      <c r="M1" s="329"/>
      <c r="N1" s="328"/>
      <c r="O1" s="328"/>
      <c r="P1" s="328"/>
      <c r="Q1" s="328"/>
      <c r="R1" s="328"/>
      <c r="S1" s="328"/>
      <c r="T1" s="328"/>
      <c r="U1" s="329"/>
      <c r="V1" s="328"/>
      <c r="W1" s="328"/>
      <c r="X1" s="328"/>
      <c r="Y1" s="329"/>
      <c r="Z1" s="328"/>
      <c r="AA1" s="328"/>
      <c r="AB1" s="328"/>
      <c r="AC1" s="329"/>
    </row>
    <row r="2" spans="1:35" ht="15.75">
      <c r="A2" s="326"/>
      <c r="B2" s="331" t="s">
        <v>15</v>
      </c>
      <c r="C2" s="331"/>
      <c r="D2" s="328"/>
      <c r="E2" s="328"/>
      <c r="F2" s="328"/>
      <c r="G2" s="329"/>
      <c r="H2" s="328"/>
      <c r="I2" s="328"/>
      <c r="J2" s="328"/>
      <c r="K2" s="329"/>
      <c r="L2" s="329"/>
      <c r="M2" s="329"/>
      <c r="N2" s="328"/>
      <c r="O2" s="328"/>
      <c r="P2" s="328"/>
      <c r="Q2" s="328"/>
      <c r="R2" s="328"/>
      <c r="S2" s="328"/>
      <c r="T2" s="328"/>
      <c r="U2" s="329"/>
      <c r="V2" s="328"/>
      <c r="W2" s="328"/>
      <c r="X2" s="1037">
        <f>11706735</f>
        <v>11706735</v>
      </c>
      <c r="Y2" s="329">
        <v>11073421</v>
      </c>
      <c r="Z2" s="1038">
        <f>X2-Y2</f>
        <v>633314</v>
      </c>
      <c r="AA2" s="328"/>
      <c r="AB2" s="328"/>
      <c r="AC2" s="329"/>
    </row>
    <row r="3" spans="1:35" ht="16.5" thickBot="1">
      <c r="A3" s="326"/>
      <c r="B3" s="331" t="s">
        <v>1635</v>
      </c>
      <c r="C3" s="331"/>
      <c r="D3" s="328"/>
      <c r="E3" s="328"/>
      <c r="F3" s="328"/>
      <c r="G3" s="329"/>
      <c r="H3" s="328"/>
      <c r="I3" s="328"/>
      <c r="J3" s="328"/>
      <c r="K3" s="329"/>
      <c r="L3" s="329"/>
      <c r="M3" s="329"/>
      <c r="N3" s="328"/>
      <c r="O3" s="328"/>
      <c r="P3" s="328"/>
      <c r="Q3" s="328"/>
      <c r="R3" s="328"/>
      <c r="S3" s="328"/>
      <c r="T3" s="328"/>
      <c r="U3" s="329"/>
      <c r="V3" s="328"/>
      <c r="W3" s="328"/>
      <c r="X3" s="328"/>
      <c r="Y3" s="329"/>
      <c r="Z3" s="328"/>
      <c r="AA3" s="328"/>
      <c r="AB3" s="328"/>
      <c r="AC3" s="329"/>
    </row>
    <row r="4" spans="1:35" ht="19.5" thickBot="1">
      <c r="A4" s="326"/>
      <c r="B4" s="332" t="s">
        <v>1246</v>
      </c>
      <c r="C4" s="332"/>
      <c r="D4" s="328"/>
      <c r="E4" s="328"/>
      <c r="F4" s="328"/>
      <c r="G4" s="329"/>
      <c r="H4" s="328"/>
      <c r="I4" s="328"/>
      <c r="J4" s="328"/>
      <c r="K4" s="333"/>
      <c r="L4" s="333"/>
      <c r="M4" s="333"/>
      <c r="N4" s="328"/>
      <c r="O4" s="328"/>
      <c r="P4" s="328"/>
      <c r="Q4" s="328"/>
      <c r="R4" s="328"/>
      <c r="S4" s="328"/>
      <c r="T4" s="328"/>
      <c r="U4" s="329"/>
      <c r="V4" s="328"/>
      <c r="W4" s="328"/>
      <c r="X4" s="328"/>
      <c r="Y4" s="329"/>
      <c r="Z4" s="1039">
        <v>10351280</v>
      </c>
      <c r="AA4" s="1040">
        <v>1260451</v>
      </c>
      <c r="AB4" s="328"/>
      <c r="AC4" s="329"/>
    </row>
    <row r="5" spans="1:35" ht="18.75">
      <c r="A5" s="326"/>
      <c r="B5" s="332"/>
      <c r="C5" s="332"/>
      <c r="D5" s="328"/>
      <c r="E5" s="328"/>
      <c r="F5" s="328"/>
      <c r="G5" s="329"/>
      <c r="H5" s="328"/>
      <c r="I5" s="328"/>
      <c r="J5" s="328"/>
      <c r="K5" s="333"/>
      <c r="L5" s="333"/>
      <c r="M5" s="333"/>
      <c r="N5" s="328"/>
      <c r="O5" s="328"/>
      <c r="P5" s="328"/>
      <c r="Q5" s="328"/>
      <c r="R5" s="328"/>
      <c r="S5" s="328"/>
      <c r="T5" s="328"/>
      <c r="U5" s="329"/>
      <c r="V5" s="328"/>
      <c r="W5" s="328"/>
      <c r="X5" s="328"/>
      <c r="Y5" s="329"/>
      <c r="Z5" s="328"/>
      <c r="AA5" s="328"/>
      <c r="AB5" s="328"/>
      <c r="AC5" s="329"/>
    </row>
    <row r="6" spans="1:35" ht="18.75">
      <c r="A6" s="484" t="s">
        <v>41</v>
      </c>
      <c r="B6" s="332" t="s">
        <v>986</v>
      </c>
      <c r="C6" s="332"/>
      <c r="D6" s="328"/>
      <c r="E6" s="328"/>
      <c r="F6" s="328"/>
      <c r="G6" s="329"/>
      <c r="H6" s="328"/>
      <c r="I6" s="328"/>
      <c r="J6" s="328"/>
      <c r="K6" s="333" t="s">
        <v>987</v>
      </c>
      <c r="L6" s="333"/>
      <c r="M6" s="333"/>
      <c r="N6" s="328"/>
      <c r="O6" s="328"/>
      <c r="P6" s="328"/>
      <c r="Q6" s="328"/>
      <c r="R6" s="328"/>
      <c r="S6" s="328"/>
      <c r="T6" s="328"/>
      <c r="U6" s="329"/>
      <c r="V6" s="328"/>
      <c r="W6" s="328"/>
      <c r="X6" s="328"/>
      <c r="Y6" s="329"/>
      <c r="Z6" s="328"/>
      <c r="AA6" s="328"/>
      <c r="AB6" s="328"/>
      <c r="AC6" s="329"/>
    </row>
    <row r="7" spans="1:35" s="819" customFormat="1" ht="15.75">
      <c r="A7" s="816"/>
      <c r="B7" s="817"/>
      <c r="C7" s="817"/>
      <c r="D7" s="817"/>
      <c r="E7" s="817"/>
      <c r="F7" s="817"/>
      <c r="G7" s="818"/>
      <c r="H7" s="817"/>
      <c r="I7" s="817"/>
      <c r="J7" s="817"/>
      <c r="K7" s="818"/>
      <c r="L7" s="818"/>
      <c r="M7" s="818"/>
      <c r="N7" s="817"/>
      <c r="O7" s="817"/>
      <c r="P7" s="817"/>
      <c r="Q7" s="817"/>
      <c r="R7" s="817"/>
      <c r="S7" s="817"/>
      <c r="T7" s="817"/>
      <c r="U7" s="818"/>
      <c r="V7" s="817"/>
      <c r="W7" s="817"/>
      <c r="X7" s="817"/>
      <c r="Y7" s="818"/>
      <c r="Z7" s="817"/>
      <c r="AA7" s="817"/>
      <c r="AB7" s="817"/>
      <c r="AC7" s="818"/>
    </row>
    <row r="8" spans="1:35" ht="15.6" customHeight="1">
      <c r="A8" s="1762" t="s">
        <v>243</v>
      </c>
      <c r="B8" s="1762" t="s">
        <v>1625</v>
      </c>
      <c r="C8" s="1762" t="s">
        <v>988</v>
      </c>
      <c r="D8" s="1758" t="s">
        <v>989</v>
      </c>
      <c r="E8" s="1759"/>
      <c r="F8" s="1759"/>
      <c r="G8" s="1761"/>
      <c r="H8" s="1758" t="s">
        <v>990</v>
      </c>
      <c r="I8" s="1759"/>
      <c r="J8" s="1759"/>
      <c r="K8" s="1761"/>
      <c r="L8" s="1041"/>
      <c r="M8" s="1758" t="s">
        <v>991</v>
      </c>
      <c r="N8" s="1759"/>
      <c r="O8" s="1759"/>
      <c r="P8" s="1761"/>
      <c r="Q8" s="1758" t="s">
        <v>992</v>
      </c>
      <c r="R8" s="1759"/>
      <c r="S8" s="1759"/>
      <c r="T8" s="1761"/>
      <c r="U8" s="1758" t="s">
        <v>993</v>
      </c>
      <c r="V8" s="1759"/>
      <c r="W8" s="1759"/>
      <c r="X8" s="1761"/>
      <c r="Y8" s="1758" t="s">
        <v>994</v>
      </c>
      <c r="Z8" s="1759"/>
      <c r="AA8" s="1759"/>
      <c r="AB8" s="1761"/>
      <c r="AC8" s="330"/>
    </row>
    <row r="9" spans="1:35" ht="43.15" customHeight="1">
      <c r="A9" s="1763"/>
      <c r="B9" s="1763"/>
      <c r="C9" s="1763"/>
      <c r="D9" s="334" t="s">
        <v>231</v>
      </c>
      <c r="E9" s="334" t="s">
        <v>232</v>
      </c>
      <c r="F9" s="334" t="s">
        <v>233</v>
      </c>
      <c r="G9" s="335" t="s">
        <v>236</v>
      </c>
      <c r="H9" s="334" t="str">
        <f>D9</f>
        <v>Year 1 (2016)</v>
      </c>
      <c r="I9" s="334" t="str">
        <f t="shared" ref="I9:J9" si="0">E9</f>
        <v>Year 2 (2017)</v>
      </c>
      <c r="J9" s="334" t="str">
        <f t="shared" si="0"/>
        <v>Year 3 (2018)</v>
      </c>
      <c r="K9" s="335" t="str">
        <f>G9</f>
        <v>Total 3 years (2016-2018)</v>
      </c>
      <c r="L9" s="1042" t="s">
        <v>1834</v>
      </c>
      <c r="M9" s="334" t="str">
        <f>H9</f>
        <v>Year 1 (2016)</v>
      </c>
      <c r="N9" s="334" t="str">
        <f>I9</f>
        <v>Year 2 (2017)</v>
      </c>
      <c r="O9" s="334" t="str">
        <f>J9</f>
        <v>Year 3 (2018)</v>
      </c>
      <c r="P9" s="335" t="str">
        <f>G9</f>
        <v>Total 3 years (2016-2018)</v>
      </c>
      <c r="Q9" s="334" t="str">
        <f>M9</f>
        <v>Year 1 (2016)</v>
      </c>
      <c r="R9" s="334" t="str">
        <f t="shared" ref="R9" si="1">N9</f>
        <v>Year 2 (2017)</v>
      </c>
      <c r="S9" s="334" t="str">
        <f t="shared" ref="S9" si="2">O9</f>
        <v>Year 3 (2018)</v>
      </c>
      <c r="T9" s="335" t="str">
        <f>P9</f>
        <v>Total 3 years (2016-2018)</v>
      </c>
      <c r="U9" s="334" t="str">
        <f>Q9</f>
        <v>Year 1 (2016)</v>
      </c>
      <c r="V9" s="334" t="str">
        <f t="shared" ref="V9" si="3">R9</f>
        <v>Year 2 (2017)</v>
      </c>
      <c r="W9" s="334" t="str">
        <f t="shared" ref="W9" si="4">S9</f>
        <v>Year 3 (2018)</v>
      </c>
      <c r="X9" s="335" t="str">
        <f>T9</f>
        <v>Total 3 years (2016-2018)</v>
      </c>
      <c r="Y9" s="334" t="str">
        <f>U9</f>
        <v>Year 1 (2016)</v>
      </c>
      <c r="Z9" s="334" t="str">
        <f t="shared" ref="Z9" si="5">V9</f>
        <v>Year 2 (2017)</v>
      </c>
      <c r="AA9" s="334" t="str">
        <f t="shared" ref="AA9" si="6">W9</f>
        <v>Year 3 (2018)</v>
      </c>
      <c r="AB9" s="335" t="str">
        <f>X9</f>
        <v>Total 3 years (2016-2018)</v>
      </c>
      <c r="AC9" s="330"/>
      <c r="AE9" s="994"/>
      <c r="AF9" s="994"/>
      <c r="AG9" s="994"/>
      <c r="AH9" s="994"/>
      <c r="AI9" s="994"/>
    </row>
    <row r="10" spans="1:35" ht="31.5">
      <c r="A10" s="336">
        <v>1</v>
      </c>
      <c r="B10" s="337" t="s">
        <v>1672</v>
      </c>
      <c r="C10" s="338"/>
      <c r="D10" s="1013">
        <f>SUM(D11,D21,D41,D46)</f>
        <v>3265066.6945564565</v>
      </c>
      <c r="E10" s="1013">
        <f>SUM(E11,E21,E41,E46)</f>
        <v>4065683.4476154419</v>
      </c>
      <c r="F10" s="1013">
        <f>SUM(F11,F21,F41,F46)</f>
        <v>3214977.5219095349</v>
      </c>
      <c r="G10" s="1014">
        <f>SUM(G11,G21,G41,G46)</f>
        <v>10545727.664081434</v>
      </c>
      <c r="H10" s="1013">
        <f>'Govt &amp; External'!G109</f>
        <v>1060610</v>
      </c>
      <c r="I10" s="1013">
        <f>'Govt &amp; External'!H109</f>
        <v>1161990</v>
      </c>
      <c r="J10" s="1013">
        <f>'Govt &amp; External'!I109</f>
        <v>1174010</v>
      </c>
      <c r="K10" s="1014">
        <f>SUM(H10:J10)</f>
        <v>3396610</v>
      </c>
      <c r="L10" s="1049">
        <f>1319227.6*0.2</f>
        <v>263845.52</v>
      </c>
      <c r="M10" s="1013">
        <v>1198974</v>
      </c>
      <c r="N10" s="1013">
        <v>1558766</v>
      </c>
      <c r="O10" s="1013">
        <v>921753.77989386651</v>
      </c>
      <c r="P10" s="1014">
        <f>SUM(L10:O10)</f>
        <v>3943339.2998938663</v>
      </c>
      <c r="Q10" s="1013">
        <f>'Govt &amp; External'!G126</f>
        <v>699404.28399999999</v>
      </c>
      <c r="R10" s="1013">
        <f>'Govt &amp; External'!H126</f>
        <v>500907.96232876717</v>
      </c>
      <c r="S10" s="1013">
        <f>'Govt &amp; External'!I126</f>
        <v>828645.13698630151</v>
      </c>
      <c r="T10" s="1014">
        <f>SUM(Q10:S10)</f>
        <v>2028957.3833150687</v>
      </c>
      <c r="U10" s="1013">
        <f>SUM(M10,Q10,L10)</f>
        <v>2162223.804</v>
      </c>
      <c r="V10" s="1013">
        <f t="shared" ref="V10:W10" si="7">SUM(N10,R10)</f>
        <v>2059673.9623287672</v>
      </c>
      <c r="W10" s="1013">
        <f t="shared" si="7"/>
        <v>1750398.916880168</v>
      </c>
      <c r="X10" s="1014">
        <f>SUM(U10:W10)</f>
        <v>5972296.683208935</v>
      </c>
      <c r="Y10" s="1013">
        <f>D10-SUM(H10,U10)</f>
        <v>42232.890556456521</v>
      </c>
      <c r="Z10" s="1013">
        <f>E10-SUM(I10,V10)</f>
        <v>844019.48528667446</v>
      </c>
      <c r="AA10" s="1013">
        <f>F10-SUM(J10,W10)</f>
        <v>290568.60502936691</v>
      </c>
      <c r="AB10" s="1014">
        <f>SUM(Y10:AA10)</f>
        <v>1176820.9808724979</v>
      </c>
      <c r="AC10" s="822"/>
      <c r="AE10" s="995"/>
      <c r="AF10" s="995"/>
      <c r="AG10" s="995"/>
      <c r="AH10" s="995"/>
      <c r="AI10" s="995"/>
    </row>
    <row r="11" spans="1:35">
      <c r="A11" s="341">
        <v>1.1000000000000001</v>
      </c>
      <c r="B11" s="342" t="s">
        <v>1711</v>
      </c>
      <c r="C11" s="343"/>
      <c r="D11" s="1015">
        <f t="shared" ref="D11:AB11" si="8">SUM(D12:D20)</f>
        <v>714345.82895499992</v>
      </c>
      <c r="E11" s="1015">
        <f t="shared" si="8"/>
        <v>425483.73473833327</v>
      </c>
      <c r="F11" s="1015">
        <f t="shared" si="8"/>
        <v>611623.77989386651</v>
      </c>
      <c r="G11" s="1016">
        <f t="shared" si="8"/>
        <v>1751453.3435871997</v>
      </c>
      <c r="H11" s="1015">
        <f t="shared" si="8"/>
        <v>0</v>
      </c>
      <c r="I11" s="1015">
        <f t="shared" si="8"/>
        <v>0</v>
      </c>
      <c r="J11" s="1015">
        <f t="shared" si="8"/>
        <v>0</v>
      </c>
      <c r="K11" s="1016">
        <f t="shared" si="8"/>
        <v>0</v>
      </c>
      <c r="L11" s="1043"/>
      <c r="M11" s="1015">
        <f t="shared" si="8"/>
        <v>0</v>
      </c>
      <c r="N11" s="1015">
        <f t="shared" si="8"/>
        <v>0</v>
      </c>
      <c r="O11" s="1015">
        <f t="shared" si="8"/>
        <v>0</v>
      </c>
      <c r="P11" s="1016">
        <f t="shared" si="8"/>
        <v>0</v>
      </c>
      <c r="Q11" s="1015">
        <f t="shared" si="8"/>
        <v>0</v>
      </c>
      <c r="R11" s="1015">
        <f t="shared" si="8"/>
        <v>0</v>
      </c>
      <c r="S11" s="1015">
        <f t="shared" si="8"/>
        <v>0</v>
      </c>
      <c r="T11" s="1016">
        <f t="shared" si="8"/>
        <v>0</v>
      </c>
      <c r="U11" s="1015">
        <f t="shared" si="8"/>
        <v>0</v>
      </c>
      <c r="V11" s="1015">
        <f t="shared" si="8"/>
        <v>0</v>
      </c>
      <c r="W11" s="1015">
        <f t="shared" si="8"/>
        <v>0</v>
      </c>
      <c r="X11" s="1016">
        <f t="shared" si="8"/>
        <v>0</v>
      </c>
      <c r="Y11" s="1015">
        <f t="shared" si="8"/>
        <v>0</v>
      </c>
      <c r="Z11" s="1015">
        <f t="shared" si="8"/>
        <v>0</v>
      </c>
      <c r="AA11" s="1015">
        <f t="shared" si="8"/>
        <v>0</v>
      </c>
      <c r="AB11" s="1016">
        <f t="shared" si="8"/>
        <v>0</v>
      </c>
      <c r="AC11" s="330"/>
    </row>
    <row r="12" spans="1:35">
      <c r="A12" s="833" t="s">
        <v>315</v>
      </c>
      <c r="B12" s="541" t="s">
        <v>1453</v>
      </c>
      <c r="C12" s="346" t="s">
        <v>1000</v>
      </c>
      <c r="D12" s="1017">
        <f>'NSP Detailed Budget'!D111</f>
        <v>10800</v>
      </c>
      <c r="E12" s="1017">
        <f>'NSP Detailed Budget'!E111</f>
        <v>14400</v>
      </c>
      <c r="F12" s="1017">
        <f>'NSP Detailed Budget'!F111</f>
        <v>14400</v>
      </c>
      <c r="G12" s="1018">
        <f t="shared" ref="G12" si="9">SUM(D12:F12)</f>
        <v>39600</v>
      </c>
      <c r="H12" s="1017"/>
      <c r="I12" s="1017"/>
      <c r="J12" s="1017"/>
      <c r="K12" s="1018">
        <f t="shared" ref="K12" si="10">SUM(H12:J12)</f>
        <v>0</v>
      </c>
      <c r="L12" s="1044"/>
      <c r="M12" s="1017"/>
      <c r="N12" s="1017"/>
      <c r="O12" s="1017"/>
      <c r="P12" s="1018">
        <f t="shared" ref="P12" si="11">SUM(M12:O12)</f>
        <v>0</v>
      </c>
      <c r="Q12" s="1017"/>
      <c r="R12" s="1017"/>
      <c r="S12" s="1017"/>
      <c r="T12" s="1018">
        <f t="shared" ref="T12" si="12">SUM(Q12:S12)</f>
        <v>0</v>
      </c>
      <c r="U12" s="1017"/>
      <c r="V12" s="1017"/>
      <c r="W12" s="1017"/>
      <c r="X12" s="1018">
        <f t="shared" ref="X12" si="13">SUM(U12:W12)</f>
        <v>0</v>
      </c>
      <c r="Y12" s="1017"/>
      <c r="Z12" s="1017"/>
      <c r="AA12" s="1017"/>
      <c r="AB12" s="1018">
        <f t="shared" ref="AB12" si="14">SUM(Y12:AA12)</f>
        <v>0</v>
      </c>
      <c r="AC12" s="330"/>
    </row>
    <row r="13" spans="1:35">
      <c r="A13" s="833" t="s">
        <v>316</v>
      </c>
      <c r="B13" s="345" t="s">
        <v>1353</v>
      </c>
      <c r="C13" s="346" t="s">
        <v>754</v>
      </c>
      <c r="D13" s="1017">
        <f>'NSP Detailed Budget'!D118</f>
        <v>7600</v>
      </c>
      <c r="E13" s="1017">
        <f>'NSP Detailed Budget'!E118</f>
        <v>24000</v>
      </c>
      <c r="F13" s="1017">
        <f>'NSP Detailed Budget'!F118</f>
        <v>28400</v>
      </c>
      <c r="G13" s="1018">
        <f>SUM(D13:F13)</f>
        <v>60000</v>
      </c>
      <c r="H13" s="1017"/>
      <c r="I13" s="1017"/>
      <c r="J13" s="1017"/>
      <c r="K13" s="1018">
        <f>SUM(H13:J13)</f>
        <v>0</v>
      </c>
      <c r="L13" s="1044"/>
      <c r="M13" s="1017"/>
      <c r="N13" s="1017"/>
      <c r="O13" s="1017"/>
      <c r="P13" s="1018">
        <f>SUM(M13:O13)</f>
        <v>0</v>
      </c>
      <c r="Q13" s="1017"/>
      <c r="R13" s="1017"/>
      <c r="S13" s="1017"/>
      <c r="T13" s="1018">
        <f>SUM(Q13:S13)</f>
        <v>0</v>
      </c>
      <c r="U13" s="1017"/>
      <c r="V13" s="1017"/>
      <c r="W13" s="1017"/>
      <c r="X13" s="1018">
        <f>SUM(U13:W13)</f>
        <v>0</v>
      </c>
      <c r="Y13" s="1017"/>
      <c r="Z13" s="1017"/>
      <c r="AA13" s="1017"/>
      <c r="AB13" s="1018">
        <f>SUM(Y13:AA13)</f>
        <v>0</v>
      </c>
      <c r="AC13" s="330"/>
    </row>
    <row r="14" spans="1:35">
      <c r="A14" s="833" t="s">
        <v>317</v>
      </c>
      <c r="B14" s="538" t="s">
        <v>875</v>
      </c>
      <c r="C14" s="346" t="s">
        <v>49</v>
      </c>
      <c r="D14" s="1017">
        <f>'NSP Detailed Budget'!D125</f>
        <v>243720</v>
      </c>
      <c r="E14" s="1017">
        <f>'NSP Detailed Budget'!E125</f>
        <v>0</v>
      </c>
      <c r="F14" s="1017">
        <f>'NSP Detailed Budget'!F125</f>
        <v>0</v>
      </c>
      <c r="G14" s="1018">
        <f t="shared" ref="G14" si="15">SUM(D14:F14)</f>
        <v>243720</v>
      </c>
      <c r="H14" s="1017"/>
      <c r="I14" s="1017"/>
      <c r="J14" s="1017"/>
      <c r="K14" s="1018">
        <f t="shared" ref="K14" si="16">SUM(H14:J14)</f>
        <v>0</v>
      </c>
      <c r="L14" s="1044"/>
      <c r="M14" s="1017"/>
      <c r="N14" s="1017"/>
      <c r="O14" s="1017"/>
      <c r="P14" s="1018">
        <f t="shared" ref="P14" si="17">SUM(M14:O14)</f>
        <v>0</v>
      </c>
      <c r="Q14" s="1017"/>
      <c r="R14" s="1017"/>
      <c r="S14" s="1017"/>
      <c r="T14" s="1018">
        <f t="shared" ref="T14" si="18">SUM(Q14:S14)</f>
        <v>0</v>
      </c>
      <c r="U14" s="1017"/>
      <c r="V14" s="1017"/>
      <c r="W14" s="1017"/>
      <c r="X14" s="1018">
        <f t="shared" ref="X14" si="19">SUM(U14:W14)</f>
        <v>0</v>
      </c>
      <c r="Y14" s="1017"/>
      <c r="Z14" s="1017"/>
      <c r="AA14" s="1017"/>
      <c r="AB14" s="1018">
        <f t="shared" ref="AB14" si="20">SUM(Y14:AA14)</f>
        <v>0</v>
      </c>
      <c r="AC14" s="330"/>
    </row>
    <row r="15" spans="1:35">
      <c r="A15" s="833" t="s">
        <v>318</v>
      </c>
      <c r="B15" s="538" t="s">
        <v>1354</v>
      </c>
      <c r="C15" s="346" t="s">
        <v>49</v>
      </c>
      <c r="D15" s="1017">
        <f>'NSP Detailed Budget'!D130</f>
        <v>21600</v>
      </c>
      <c r="E15" s="1017">
        <f>'NSP Detailed Budget'!E130</f>
        <v>0</v>
      </c>
      <c r="F15" s="1017">
        <f>'NSP Detailed Budget'!F130</f>
        <v>0</v>
      </c>
      <c r="G15" s="1018">
        <f>SUM(D15:F15)</f>
        <v>21600</v>
      </c>
      <c r="H15" s="1017"/>
      <c r="I15" s="1017"/>
      <c r="J15" s="1017"/>
      <c r="K15" s="1018">
        <f>SUM(H15:J15)</f>
        <v>0</v>
      </c>
      <c r="L15" s="1044"/>
      <c r="M15" s="1017"/>
      <c r="N15" s="1017"/>
      <c r="O15" s="1017"/>
      <c r="P15" s="1018">
        <f>SUM(M15:O15)</f>
        <v>0</v>
      </c>
      <c r="Q15" s="1017"/>
      <c r="R15" s="1017"/>
      <c r="S15" s="1017"/>
      <c r="T15" s="1018">
        <f>SUM(Q15:S15)</f>
        <v>0</v>
      </c>
      <c r="U15" s="1017"/>
      <c r="V15" s="1017"/>
      <c r="W15" s="1017"/>
      <c r="X15" s="1018">
        <f>SUM(U15:W15)</f>
        <v>0</v>
      </c>
      <c r="Y15" s="1017"/>
      <c r="Z15" s="1017"/>
      <c r="AA15" s="1017"/>
      <c r="AB15" s="1018">
        <f>SUM(Y15:AA15)</f>
        <v>0</v>
      </c>
      <c r="AC15" s="330"/>
    </row>
    <row r="16" spans="1:35">
      <c r="A16" s="833" t="s">
        <v>319</v>
      </c>
      <c r="B16" s="538" t="s">
        <v>1358</v>
      </c>
      <c r="C16" s="346" t="s">
        <v>156</v>
      </c>
      <c r="D16" s="1017">
        <f>'NSP Detailed Budget'!D135</f>
        <v>236825.82895499995</v>
      </c>
      <c r="E16" s="1017">
        <f>'NSP Detailed Budget'!E135</f>
        <v>288983.73473833327</v>
      </c>
      <c r="F16" s="1017">
        <f>'NSP Detailed Budget'!F135</f>
        <v>328523.77989386657</v>
      </c>
      <c r="G16" s="1018">
        <f t="shared" ref="G16" si="21">SUM(D16:F16)</f>
        <v>854333.34358719969</v>
      </c>
      <c r="H16" s="1017"/>
      <c r="I16" s="1017"/>
      <c r="J16" s="1017"/>
      <c r="K16" s="1018">
        <f t="shared" ref="K16" si="22">SUM(H16:J16)</f>
        <v>0</v>
      </c>
      <c r="L16" s="1044"/>
      <c r="M16" s="1017"/>
      <c r="N16" s="1017"/>
      <c r="O16" s="1017"/>
      <c r="P16" s="1018">
        <f t="shared" ref="P16" si="23">SUM(M16:O16)</f>
        <v>0</v>
      </c>
      <c r="Q16" s="1017"/>
      <c r="R16" s="1017"/>
      <c r="S16" s="1017"/>
      <c r="T16" s="1018">
        <f t="shared" ref="T16" si="24">SUM(Q16:S16)</f>
        <v>0</v>
      </c>
      <c r="U16" s="1017"/>
      <c r="V16" s="1017"/>
      <c r="W16" s="1017"/>
      <c r="X16" s="1018">
        <f t="shared" ref="X16" si="25">SUM(U16:W16)</f>
        <v>0</v>
      </c>
      <c r="Y16" s="1017"/>
      <c r="Z16" s="1017"/>
      <c r="AA16" s="1017"/>
      <c r="AB16" s="1018">
        <f t="shared" ref="AB16" si="26">SUM(Y16:AA16)</f>
        <v>0</v>
      </c>
      <c r="AC16" s="330"/>
    </row>
    <row r="17" spans="1:29">
      <c r="A17" s="833" t="s">
        <v>320</v>
      </c>
      <c r="B17" s="538" t="s">
        <v>1355</v>
      </c>
      <c r="C17" s="346" t="s">
        <v>49</v>
      </c>
      <c r="D17" s="1017">
        <f>'NSP Detailed Budget'!D140</f>
        <v>51000</v>
      </c>
      <c r="E17" s="1017">
        <f>'NSP Detailed Budget'!E140</f>
        <v>84000</v>
      </c>
      <c r="F17" s="1017">
        <f>'NSP Detailed Budget'!F140</f>
        <v>84000</v>
      </c>
      <c r="G17" s="1018">
        <f>SUM(D17:F17)</f>
        <v>219000</v>
      </c>
      <c r="H17" s="1017"/>
      <c r="I17" s="1017"/>
      <c r="J17" s="1017"/>
      <c r="K17" s="1018">
        <f>SUM(H17:J17)</f>
        <v>0</v>
      </c>
      <c r="L17" s="1044"/>
      <c r="M17" s="1017"/>
      <c r="N17" s="1017"/>
      <c r="O17" s="1017"/>
      <c r="P17" s="1018">
        <f>SUM(M17:O17)</f>
        <v>0</v>
      </c>
      <c r="Q17" s="1017"/>
      <c r="R17" s="1017"/>
      <c r="S17" s="1017"/>
      <c r="T17" s="1018">
        <f>SUM(Q17:S17)</f>
        <v>0</v>
      </c>
      <c r="U17" s="1017"/>
      <c r="V17" s="1017"/>
      <c r="W17" s="1017"/>
      <c r="X17" s="1018">
        <f>SUM(U17:W17)</f>
        <v>0</v>
      </c>
      <c r="Y17" s="1017"/>
      <c r="Z17" s="1017"/>
      <c r="AA17" s="1017"/>
      <c r="AB17" s="1018">
        <f>SUM(Y17:AA17)</f>
        <v>0</v>
      </c>
      <c r="AC17" s="330"/>
    </row>
    <row r="18" spans="1:29">
      <c r="A18" s="833" t="s">
        <v>321</v>
      </c>
      <c r="B18" s="538" t="s">
        <v>1357</v>
      </c>
      <c r="C18" s="346" t="s">
        <v>49</v>
      </c>
      <c r="D18" s="1017">
        <f>'NSP Detailed Budget'!D145</f>
        <v>134300</v>
      </c>
      <c r="E18" s="1017">
        <f>'NSP Detailed Budget'!E145</f>
        <v>0</v>
      </c>
      <c r="F18" s="1017">
        <f>'NSP Detailed Budget'!F145</f>
        <v>142200</v>
      </c>
      <c r="G18" s="1018">
        <f>SUM(D18:F18)</f>
        <v>276500</v>
      </c>
      <c r="H18" s="1017"/>
      <c r="I18" s="1017"/>
      <c r="J18" s="1017"/>
      <c r="K18" s="1018">
        <f>SUM(H18:J18)</f>
        <v>0</v>
      </c>
      <c r="L18" s="1044"/>
      <c r="M18" s="1017"/>
      <c r="N18" s="1017"/>
      <c r="O18" s="1017"/>
      <c r="P18" s="1018">
        <f>SUM(M18:O18)</f>
        <v>0</v>
      </c>
      <c r="Q18" s="1017"/>
      <c r="R18" s="1017"/>
      <c r="S18" s="1017"/>
      <c r="T18" s="1018">
        <f>SUM(Q18:S18)</f>
        <v>0</v>
      </c>
      <c r="U18" s="1017"/>
      <c r="V18" s="1017"/>
      <c r="W18" s="1017"/>
      <c r="X18" s="1018">
        <f>SUM(U18:W18)</f>
        <v>0</v>
      </c>
      <c r="Y18" s="1017"/>
      <c r="Z18" s="1017"/>
      <c r="AA18" s="1017"/>
      <c r="AB18" s="1018">
        <f>SUM(Y18:AA18)</f>
        <v>0</v>
      </c>
      <c r="AC18" s="330"/>
    </row>
    <row r="19" spans="1:29" ht="30">
      <c r="A19" s="833" t="s">
        <v>322</v>
      </c>
      <c r="B19" s="538" t="s">
        <v>1356</v>
      </c>
      <c r="C19" s="346" t="s">
        <v>1001</v>
      </c>
      <c r="D19" s="1017">
        <f>'NSP Detailed Budget'!D151</f>
        <v>3600</v>
      </c>
      <c r="E19" s="1017">
        <f>'NSP Detailed Budget'!E151</f>
        <v>9200</v>
      </c>
      <c r="F19" s="1017">
        <f>'NSP Detailed Budget'!F151</f>
        <v>9200</v>
      </c>
      <c r="G19" s="1018">
        <f t="shared" ref="G19" si="27">SUM(D19:F19)</f>
        <v>22000</v>
      </c>
      <c r="H19" s="1017"/>
      <c r="I19" s="1017"/>
      <c r="J19" s="1017"/>
      <c r="K19" s="1018">
        <f t="shared" ref="K19" si="28">SUM(H19:J19)</f>
        <v>0</v>
      </c>
      <c r="L19" s="1044"/>
      <c r="M19" s="1017"/>
      <c r="N19" s="1017"/>
      <c r="O19" s="1017"/>
      <c r="P19" s="1018">
        <f t="shared" ref="P19" si="29">SUM(M19:O19)</f>
        <v>0</v>
      </c>
      <c r="Q19" s="1017"/>
      <c r="R19" s="1017"/>
      <c r="S19" s="1017"/>
      <c r="T19" s="1018">
        <f t="shared" ref="T19" si="30">SUM(Q19:S19)</f>
        <v>0</v>
      </c>
      <c r="U19" s="1017"/>
      <c r="V19" s="1017"/>
      <c r="W19" s="1017"/>
      <c r="X19" s="1018">
        <f t="shared" ref="X19" si="31">SUM(U19:W19)</f>
        <v>0</v>
      </c>
      <c r="Y19" s="1017"/>
      <c r="Z19" s="1017"/>
      <c r="AA19" s="1017"/>
      <c r="AB19" s="1018">
        <f t="shared" ref="AB19" si="32">SUM(Y19:AA19)</f>
        <v>0</v>
      </c>
      <c r="AC19" s="330"/>
    </row>
    <row r="20" spans="1:29">
      <c r="A20" s="833" t="s">
        <v>1352</v>
      </c>
      <c r="B20" s="541" t="s">
        <v>1454</v>
      </c>
      <c r="C20" s="346" t="s">
        <v>754</v>
      </c>
      <c r="D20" s="1017">
        <f>'NSP Detailed Budget'!D158</f>
        <v>4900</v>
      </c>
      <c r="E20" s="1017">
        <f>'NSP Detailed Budget'!E158</f>
        <v>4900</v>
      </c>
      <c r="F20" s="1017">
        <f>'NSP Detailed Budget'!F158</f>
        <v>4900</v>
      </c>
      <c r="G20" s="1018">
        <f>SUM(D20:F20)</f>
        <v>14700</v>
      </c>
      <c r="H20" s="1017"/>
      <c r="I20" s="1017"/>
      <c r="J20" s="1017"/>
      <c r="K20" s="1018">
        <f>SUM(H20:J20)</f>
        <v>0</v>
      </c>
      <c r="L20" s="1044"/>
      <c r="M20" s="1017"/>
      <c r="N20" s="1017"/>
      <c r="O20" s="1017"/>
      <c r="P20" s="1018">
        <f>SUM(M20:O20)</f>
        <v>0</v>
      </c>
      <c r="Q20" s="1017"/>
      <c r="R20" s="1017"/>
      <c r="S20" s="1017"/>
      <c r="T20" s="1018">
        <f>SUM(Q20:S20)</f>
        <v>0</v>
      </c>
      <c r="U20" s="1017"/>
      <c r="V20" s="1017"/>
      <c r="W20" s="1017"/>
      <c r="X20" s="1018">
        <f>SUM(U20:W20)</f>
        <v>0</v>
      </c>
      <c r="Y20" s="1017"/>
      <c r="Z20" s="1017"/>
      <c r="AA20" s="1017"/>
      <c r="AB20" s="1018">
        <f>SUM(Y20:AA20)</f>
        <v>0</v>
      </c>
      <c r="AC20" s="330"/>
    </row>
    <row r="21" spans="1:29">
      <c r="A21" s="341">
        <v>1.2</v>
      </c>
      <c r="B21" s="342" t="s">
        <v>1247</v>
      </c>
      <c r="C21" s="343"/>
      <c r="D21" s="1015">
        <f>SUM(D22:D40)</f>
        <v>867533.94915499899</v>
      </c>
      <c r="E21" s="1015">
        <f t="shared" ref="E21:G21" si="33">SUM(E22:E40)</f>
        <v>1646095.4206913784</v>
      </c>
      <c r="F21" s="1015">
        <f t="shared" si="33"/>
        <v>558058.84038486425</v>
      </c>
      <c r="G21" s="1016">
        <f t="shared" si="33"/>
        <v>3071688.2102312418</v>
      </c>
      <c r="H21" s="1015">
        <f>SUM(H22:H40)</f>
        <v>0</v>
      </c>
      <c r="I21" s="1015">
        <f t="shared" ref="I21" si="34">SUM(I22:I40)</f>
        <v>0</v>
      </c>
      <c r="J21" s="1015">
        <f t="shared" ref="J21" si="35">SUM(J22:J40)</f>
        <v>0</v>
      </c>
      <c r="K21" s="1016">
        <f t="shared" ref="K21" si="36">SUM(K22:K40)</f>
        <v>0</v>
      </c>
      <c r="L21" s="1043"/>
      <c r="M21" s="1015">
        <f>SUM(M22:M40)</f>
        <v>0</v>
      </c>
      <c r="N21" s="1015">
        <f t="shared" ref="N21" si="37">SUM(N22:N40)</f>
        <v>0</v>
      </c>
      <c r="O21" s="1015">
        <f t="shared" ref="O21" si="38">SUM(O22:O40)</f>
        <v>0</v>
      </c>
      <c r="P21" s="1016">
        <f t="shared" ref="P21" si="39">SUM(P22:P40)</f>
        <v>0</v>
      </c>
      <c r="Q21" s="1015">
        <f t="shared" ref="Q21:T21" si="40">SUM(Q22:Q39)</f>
        <v>0</v>
      </c>
      <c r="R21" s="1015">
        <f t="shared" si="40"/>
        <v>0</v>
      </c>
      <c r="S21" s="1015">
        <f t="shared" si="40"/>
        <v>0</v>
      </c>
      <c r="T21" s="1016">
        <f t="shared" si="40"/>
        <v>0</v>
      </c>
      <c r="U21" s="1015">
        <f>SUM(U22:U40)</f>
        <v>0</v>
      </c>
      <c r="V21" s="1015">
        <f t="shared" ref="V21" si="41">SUM(V22:V40)</f>
        <v>0</v>
      </c>
      <c r="W21" s="1015">
        <f t="shared" ref="W21" si="42">SUM(W22:W40)</f>
        <v>0</v>
      </c>
      <c r="X21" s="1016">
        <f t="shared" ref="X21" si="43">SUM(X22:X40)</f>
        <v>0</v>
      </c>
      <c r="Y21" s="1015">
        <f>SUM(Y22:Y40)</f>
        <v>0</v>
      </c>
      <c r="Z21" s="1015">
        <f t="shared" ref="Z21" si="44">SUM(Z22:Z40)</f>
        <v>0</v>
      </c>
      <c r="AA21" s="1015">
        <f t="shared" ref="AA21" si="45">SUM(AA22:AA40)</f>
        <v>0</v>
      </c>
      <c r="AB21" s="1016">
        <f t="shared" ref="AB21" si="46">SUM(AB22:AB40)</f>
        <v>0</v>
      </c>
      <c r="AC21" s="330"/>
    </row>
    <row r="22" spans="1:29">
      <c r="A22" s="941" t="s">
        <v>241</v>
      </c>
      <c r="B22" s="541" t="s">
        <v>1486</v>
      </c>
      <c r="C22" s="346" t="s">
        <v>49</v>
      </c>
      <c r="D22" s="1017">
        <f>'NSP Detailed Budget'!D167</f>
        <v>76960</v>
      </c>
      <c r="E22" s="1017">
        <f>'NSP Detailed Budget'!E167</f>
        <v>0</v>
      </c>
      <c r="F22" s="1017">
        <f>'NSP Detailed Budget'!F167</f>
        <v>0</v>
      </c>
      <c r="G22" s="1018">
        <f>SUM(D22:F22)</f>
        <v>76960</v>
      </c>
      <c r="H22" s="1017"/>
      <c r="I22" s="1017"/>
      <c r="J22" s="1017"/>
      <c r="K22" s="1018">
        <f>SUM(H22:J22)</f>
        <v>0</v>
      </c>
      <c r="L22" s="1044"/>
      <c r="M22" s="1017"/>
      <c r="N22" s="1017"/>
      <c r="O22" s="1017"/>
      <c r="P22" s="1018">
        <f>SUM(M22:O22)</f>
        <v>0</v>
      </c>
      <c r="Q22" s="1017"/>
      <c r="R22" s="1017"/>
      <c r="S22" s="1017"/>
      <c r="T22" s="1018">
        <f>SUM(Q22:S22)</f>
        <v>0</v>
      </c>
      <c r="U22" s="1017"/>
      <c r="V22" s="1017"/>
      <c r="W22" s="1017"/>
      <c r="X22" s="1018">
        <f>SUM(U22:W22)</f>
        <v>0</v>
      </c>
      <c r="Y22" s="1017"/>
      <c r="Z22" s="1017"/>
      <c r="AA22" s="1017"/>
      <c r="AB22" s="1018">
        <f>SUM(Y22:AA22)</f>
        <v>0</v>
      </c>
      <c r="AC22" s="330"/>
    </row>
    <row r="23" spans="1:29">
      <c r="A23" s="941" t="s">
        <v>242</v>
      </c>
      <c r="B23" s="541" t="s">
        <v>1456</v>
      </c>
      <c r="C23" s="346" t="s">
        <v>1001</v>
      </c>
      <c r="D23" s="1017">
        <f>'NSP Detailed Budget'!D172</f>
        <v>50000</v>
      </c>
      <c r="E23" s="1017">
        <f>'NSP Detailed Budget'!E172</f>
        <v>50000</v>
      </c>
      <c r="F23" s="1017">
        <f>'NSP Detailed Budget'!F172</f>
        <v>50000</v>
      </c>
      <c r="G23" s="1018">
        <f t="shared" ref="G23" si="47">SUM(D23:F23)</f>
        <v>150000</v>
      </c>
      <c r="H23" s="1017"/>
      <c r="I23" s="1017"/>
      <c r="J23" s="1017"/>
      <c r="K23" s="1018">
        <f t="shared" ref="K23" si="48">SUM(H23:J23)</f>
        <v>0</v>
      </c>
      <c r="L23" s="1044"/>
      <c r="M23" s="1017"/>
      <c r="N23" s="1017"/>
      <c r="O23" s="1017"/>
      <c r="P23" s="1018">
        <f t="shared" ref="P23" si="49">SUM(M23:O23)</f>
        <v>0</v>
      </c>
      <c r="Q23" s="1017"/>
      <c r="R23" s="1017"/>
      <c r="S23" s="1017"/>
      <c r="T23" s="1018">
        <f t="shared" ref="T23" si="50">SUM(Q23:S23)</f>
        <v>0</v>
      </c>
      <c r="U23" s="1017"/>
      <c r="V23" s="1017"/>
      <c r="W23" s="1017"/>
      <c r="X23" s="1018">
        <f t="shared" ref="X23" si="51">SUM(U23:W23)</f>
        <v>0</v>
      </c>
      <c r="Y23" s="1017"/>
      <c r="Z23" s="1017"/>
      <c r="AA23" s="1017"/>
      <c r="AB23" s="1018">
        <f t="shared" ref="AB23" si="52">SUM(Y23:AA23)</f>
        <v>0</v>
      </c>
      <c r="AC23" s="330"/>
    </row>
    <row r="24" spans="1:29">
      <c r="A24" s="941" t="s">
        <v>327</v>
      </c>
      <c r="B24" s="345" t="s">
        <v>1457</v>
      </c>
      <c r="C24" s="346" t="s">
        <v>156</v>
      </c>
      <c r="D24" s="1017">
        <f>'NSP Detailed Budget'!D182</f>
        <v>18121.763912000002</v>
      </c>
      <c r="E24" s="1017">
        <f>'NSP Detailed Budget'!E182</f>
        <v>17008.4776365</v>
      </c>
      <c r="F24" s="1017">
        <f>'NSP Detailed Budget'!F182</f>
        <v>13971.930059999999</v>
      </c>
      <c r="G24" s="1018">
        <f t="shared" ref="G24:G26" si="53">SUM(D24:F24)</f>
        <v>49102.171608500001</v>
      </c>
      <c r="H24" s="1017"/>
      <c r="I24" s="1017"/>
      <c r="J24" s="1017"/>
      <c r="K24" s="1018">
        <f t="shared" ref="K24:K26" si="54">SUM(H24:J24)</f>
        <v>0</v>
      </c>
      <c r="L24" s="1044"/>
      <c r="M24" s="1017"/>
      <c r="N24" s="1017"/>
      <c r="O24" s="1017"/>
      <c r="P24" s="1018">
        <f t="shared" ref="P24:P26" si="55">SUM(M24:O24)</f>
        <v>0</v>
      </c>
      <c r="Q24" s="1017"/>
      <c r="R24" s="1017"/>
      <c r="S24" s="1017"/>
      <c r="T24" s="1018">
        <f t="shared" ref="T24:T26" si="56">SUM(Q24:S24)</f>
        <v>0</v>
      </c>
      <c r="U24" s="1017"/>
      <c r="V24" s="1017"/>
      <c r="W24" s="1017"/>
      <c r="X24" s="1018">
        <f t="shared" ref="X24:X26" si="57">SUM(U24:W24)</f>
        <v>0</v>
      </c>
      <c r="Y24" s="1017"/>
      <c r="Z24" s="1017"/>
      <c r="AA24" s="1017"/>
      <c r="AB24" s="1018">
        <f t="shared" ref="AB24:AB26" si="58">SUM(Y24:AA24)</f>
        <v>0</v>
      </c>
      <c r="AC24" s="330"/>
    </row>
    <row r="25" spans="1:29">
      <c r="A25" s="941" t="s">
        <v>328</v>
      </c>
      <c r="B25" s="541" t="s">
        <v>1473</v>
      </c>
      <c r="C25" s="346" t="s">
        <v>754</v>
      </c>
      <c r="D25" s="1017">
        <f>'NSP Detailed Budget'!D189</f>
        <v>5600</v>
      </c>
      <c r="E25" s="1017">
        <f>'NSP Detailed Budget'!E189</f>
        <v>5600</v>
      </c>
      <c r="F25" s="1017">
        <f>'NSP Detailed Budget'!F189</f>
        <v>5600</v>
      </c>
      <c r="G25" s="1018">
        <f t="shared" ref="G25" si="59">SUM(D25:F25)</f>
        <v>16800</v>
      </c>
      <c r="H25" s="1017"/>
      <c r="I25" s="1017"/>
      <c r="J25" s="1017"/>
      <c r="K25" s="1018">
        <f t="shared" ref="K25" si="60">SUM(H25:J25)</f>
        <v>0</v>
      </c>
      <c r="L25" s="1044"/>
      <c r="M25" s="1017"/>
      <c r="N25" s="1017"/>
      <c r="O25" s="1017"/>
      <c r="P25" s="1018">
        <f t="shared" ref="P25" si="61">SUM(M25:O25)</f>
        <v>0</v>
      </c>
      <c r="Q25" s="1017"/>
      <c r="R25" s="1017"/>
      <c r="S25" s="1017"/>
      <c r="T25" s="1018">
        <f t="shared" ref="T25" si="62">SUM(Q25:S25)</f>
        <v>0</v>
      </c>
      <c r="U25" s="1017"/>
      <c r="V25" s="1017"/>
      <c r="W25" s="1017"/>
      <c r="X25" s="1018">
        <f t="shared" ref="X25" si="63">SUM(U25:W25)</f>
        <v>0</v>
      </c>
      <c r="Y25" s="1017"/>
      <c r="Z25" s="1017"/>
      <c r="AA25" s="1017"/>
      <c r="AB25" s="1018">
        <f t="shared" ref="AB25" si="64">SUM(Y25:AA25)</f>
        <v>0</v>
      </c>
      <c r="AC25" s="330"/>
    </row>
    <row r="26" spans="1:29">
      <c r="A26" s="941" t="s">
        <v>329</v>
      </c>
      <c r="B26" s="541" t="s">
        <v>1458</v>
      </c>
      <c r="C26" s="346" t="s">
        <v>156</v>
      </c>
      <c r="D26" s="1017">
        <f>'NSP Detailed Budget'!D200</f>
        <v>475400</v>
      </c>
      <c r="E26" s="1017">
        <f>'NSP Detailed Budget'!E200</f>
        <v>88400</v>
      </c>
      <c r="F26" s="1017">
        <f>'NSP Detailed Budget'!F200</f>
        <v>88400</v>
      </c>
      <c r="G26" s="1018">
        <f t="shared" si="53"/>
        <v>652200</v>
      </c>
      <c r="H26" s="1017"/>
      <c r="I26" s="1017"/>
      <c r="J26" s="1017"/>
      <c r="K26" s="1018">
        <f t="shared" si="54"/>
        <v>0</v>
      </c>
      <c r="L26" s="1044"/>
      <c r="M26" s="1017"/>
      <c r="N26" s="1017"/>
      <c r="O26" s="1017"/>
      <c r="P26" s="1018">
        <f t="shared" si="55"/>
        <v>0</v>
      </c>
      <c r="Q26" s="1017"/>
      <c r="R26" s="1017"/>
      <c r="S26" s="1017"/>
      <c r="T26" s="1018">
        <f t="shared" si="56"/>
        <v>0</v>
      </c>
      <c r="U26" s="1017"/>
      <c r="V26" s="1017"/>
      <c r="W26" s="1017"/>
      <c r="X26" s="1018">
        <f t="shared" si="57"/>
        <v>0</v>
      </c>
      <c r="Y26" s="1017"/>
      <c r="Z26" s="1017"/>
      <c r="AA26" s="1017"/>
      <c r="AB26" s="1018">
        <f t="shared" si="58"/>
        <v>0</v>
      </c>
      <c r="AC26" s="330"/>
    </row>
    <row r="27" spans="1:29">
      <c r="A27" s="941" t="s">
        <v>330</v>
      </c>
      <c r="B27" s="541" t="s">
        <v>1459</v>
      </c>
      <c r="C27" s="346" t="s">
        <v>156</v>
      </c>
      <c r="D27" s="1017">
        <f>'NSP Detailed Budget'!D209</f>
        <v>90191.843041746048</v>
      </c>
      <c r="E27" s="1017">
        <f>'NSP Detailed Budget'!E209</f>
        <v>90060.209186480584</v>
      </c>
      <c r="F27" s="1017">
        <f>'NSP Detailed Budget'!F209</f>
        <v>92139.599295456268</v>
      </c>
      <c r="G27" s="1018">
        <f t="shared" ref="G27:G30" si="65">SUM(D27:F27)</f>
        <v>272391.65152368287</v>
      </c>
      <c r="H27" s="1017"/>
      <c r="I27" s="1017"/>
      <c r="J27" s="1017"/>
      <c r="K27" s="1018">
        <f t="shared" ref="K27:K30" si="66">SUM(H27:J27)</f>
        <v>0</v>
      </c>
      <c r="L27" s="1044"/>
      <c r="M27" s="1017"/>
      <c r="N27" s="1017"/>
      <c r="O27" s="1017"/>
      <c r="P27" s="1018">
        <f t="shared" ref="P27:P30" si="67">SUM(M27:O27)</f>
        <v>0</v>
      </c>
      <c r="Q27" s="1017"/>
      <c r="R27" s="1017"/>
      <c r="S27" s="1017"/>
      <c r="T27" s="1018">
        <f t="shared" ref="T27:T30" si="68">SUM(Q27:S27)</f>
        <v>0</v>
      </c>
      <c r="U27" s="1017"/>
      <c r="V27" s="1017"/>
      <c r="W27" s="1017"/>
      <c r="X27" s="1018">
        <f t="shared" ref="X27:X30" si="69">SUM(U27:W27)</f>
        <v>0</v>
      </c>
      <c r="Y27" s="1017"/>
      <c r="Z27" s="1017"/>
      <c r="AA27" s="1017"/>
      <c r="AB27" s="1018">
        <f t="shared" ref="AB27:AB30" si="70">SUM(Y27:AA27)</f>
        <v>0</v>
      </c>
      <c r="AC27" s="330"/>
    </row>
    <row r="28" spans="1:29">
      <c r="A28" s="941" t="s">
        <v>331</v>
      </c>
      <c r="B28" s="541" t="s">
        <v>1460</v>
      </c>
      <c r="C28" s="346" t="s">
        <v>156</v>
      </c>
      <c r="D28" s="1017">
        <f>'NSP Detailed Budget'!D216</f>
        <v>29354.599999999991</v>
      </c>
      <c r="E28" s="1017">
        <f>'NSP Detailed Budget'!E216</f>
        <v>28602.416699999991</v>
      </c>
      <c r="F28" s="1017">
        <f>'NSP Detailed Budget'!F216</f>
        <v>30627.006299999997</v>
      </c>
      <c r="G28" s="1018">
        <f t="shared" si="65"/>
        <v>88584.022999999972</v>
      </c>
      <c r="H28" s="1017"/>
      <c r="I28" s="1017"/>
      <c r="J28" s="1017"/>
      <c r="K28" s="1018">
        <f t="shared" si="66"/>
        <v>0</v>
      </c>
      <c r="L28" s="1044"/>
      <c r="M28" s="1017"/>
      <c r="N28" s="1017"/>
      <c r="O28" s="1017"/>
      <c r="P28" s="1018">
        <f t="shared" si="67"/>
        <v>0</v>
      </c>
      <c r="Q28" s="1017"/>
      <c r="R28" s="1017"/>
      <c r="S28" s="1017"/>
      <c r="T28" s="1018">
        <f t="shared" si="68"/>
        <v>0</v>
      </c>
      <c r="U28" s="1017"/>
      <c r="V28" s="1017"/>
      <c r="W28" s="1017"/>
      <c r="X28" s="1018">
        <f t="shared" si="69"/>
        <v>0</v>
      </c>
      <c r="Y28" s="1017"/>
      <c r="Z28" s="1017"/>
      <c r="AA28" s="1017"/>
      <c r="AB28" s="1018">
        <f t="shared" si="70"/>
        <v>0</v>
      </c>
      <c r="AC28" s="330"/>
    </row>
    <row r="29" spans="1:29">
      <c r="A29" s="941" t="s">
        <v>332</v>
      </c>
      <c r="B29" s="541" t="s">
        <v>1461</v>
      </c>
      <c r="C29" s="346" t="s">
        <v>156</v>
      </c>
      <c r="D29" s="1017">
        <f>'NSP Detailed Budget'!D221</f>
        <v>8737.7422012530078</v>
      </c>
      <c r="E29" s="1017">
        <f>'NSP Detailed Budget'!E221</f>
        <v>8956.3171683976925</v>
      </c>
      <c r="F29" s="1017">
        <f>'NSP Detailed Budget'!F221</f>
        <v>9252.3047294080534</v>
      </c>
      <c r="G29" s="1018">
        <f t="shared" si="65"/>
        <v>26946.364099058752</v>
      </c>
      <c r="H29" s="1017"/>
      <c r="I29" s="1017"/>
      <c r="J29" s="1017"/>
      <c r="K29" s="1018">
        <f t="shared" si="66"/>
        <v>0</v>
      </c>
      <c r="L29" s="1044"/>
      <c r="M29" s="1017"/>
      <c r="N29" s="1017"/>
      <c r="O29" s="1017"/>
      <c r="P29" s="1018">
        <f t="shared" si="67"/>
        <v>0</v>
      </c>
      <c r="Q29" s="1017"/>
      <c r="R29" s="1017"/>
      <c r="S29" s="1017"/>
      <c r="T29" s="1018">
        <f t="shared" si="68"/>
        <v>0</v>
      </c>
      <c r="U29" s="1017"/>
      <c r="V29" s="1017"/>
      <c r="W29" s="1017"/>
      <c r="X29" s="1018">
        <f t="shared" si="69"/>
        <v>0</v>
      </c>
      <c r="Y29" s="1017"/>
      <c r="Z29" s="1017"/>
      <c r="AA29" s="1017"/>
      <c r="AB29" s="1018">
        <f t="shared" si="70"/>
        <v>0</v>
      </c>
      <c r="AC29" s="330"/>
    </row>
    <row r="30" spans="1:29" ht="30">
      <c r="A30" s="941" t="s">
        <v>1455</v>
      </c>
      <c r="B30" s="541" t="s">
        <v>1462</v>
      </c>
      <c r="C30" s="346" t="s">
        <v>49</v>
      </c>
      <c r="D30" s="1017">
        <f>'NSP Detailed Budget'!D226</f>
        <v>40000</v>
      </c>
      <c r="E30" s="1017">
        <f>'NSP Detailed Budget'!E226</f>
        <v>40000</v>
      </c>
      <c r="F30" s="1017">
        <f>'NSP Detailed Budget'!F226</f>
        <v>40000</v>
      </c>
      <c r="G30" s="1018">
        <f t="shared" si="65"/>
        <v>120000</v>
      </c>
      <c r="H30" s="1017"/>
      <c r="I30" s="1017"/>
      <c r="J30" s="1017"/>
      <c r="K30" s="1018">
        <f t="shared" si="66"/>
        <v>0</v>
      </c>
      <c r="L30" s="1044"/>
      <c r="M30" s="1017"/>
      <c r="N30" s="1017"/>
      <c r="O30" s="1017"/>
      <c r="P30" s="1018">
        <f t="shared" si="67"/>
        <v>0</v>
      </c>
      <c r="Q30" s="1017"/>
      <c r="R30" s="1017"/>
      <c r="S30" s="1017"/>
      <c r="T30" s="1018">
        <f t="shared" si="68"/>
        <v>0</v>
      </c>
      <c r="U30" s="1017"/>
      <c r="V30" s="1017"/>
      <c r="W30" s="1017"/>
      <c r="X30" s="1018">
        <f t="shared" si="69"/>
        <v>0</v>
      </c>
      <c r="Y30" s="1017"/>
      <c r="Z30" s="1017"/>
      <c r="AA30" s="1017"/>
      <c r="AB30" s="1018">
        <f t="shared" si="70"/>
        <v>0</v>
      </c>
      <c r="AC30" s="330"/>
    </row>
    <row r="31" spans="1:29" ht="30">
      <c r="A31" s="941" t="s">
        <v>1003</v>
      </c>
      <c r="B31" s="541" t="s">
        <v>1469</v>
      </c>
      <c r="C31" s="346" t="s">
        <v>998</v>
      </c>
      <c r="D31" s="1017">
        <f>'NSP Detailed Budget'!G231</f>
        <v>36400</v>
      </c>
      <c r="E31" s="1017">
        <f>'NSP Detailed Budget'!H231</f>
        <v>18200</v>
      </c>
      <c r="F31" s="1017">
        <f>'NSP Detailed Budget'!I231</f>
        <v>18200</v>
      </c>
      <c r="G31" s="1018">
        <f t="shared" ref="G31:G38" si="71">SUM(D31:F31)</f>
        <v>72800</v>
      </c>
      <c r="H31" s="1017"/>
      <c r="I31" s="1017"/>
      <c r="J31" s="1017"/>
      <c r="K31" s="1018">
        <f t="shared" ref="K31:K38" si="72">SUM(H31:J31)</f>
        <v>0</v>
      </c>
      <c r="L31" s="1044"/>
      <c r="M31" s="1017"/>
      <c r="N31" s="1017"/>
      <c r="O31" s="1017"/>
      <c r="P31" s="1018">
        <f t="shared" ref="P31:P38" si="73">SUM(M31:O31)</f>
        <v>0</v>
      </c>
      <c r="Q31" s="1017"/>
      <c r="R31" s="1017"/>
      <c r="S31" s="1017"/>
      <c r="T31" s="1018">
        <f t="shared" ref="T31:T38" si="74">SUM(Q31:S31)</f>
        <v>0</v>
      </c>
      <c r="U31" s="1017"/>
      <c r="V31" s="1017"/>
      <c r="W31" s="1017"/>
      <c r="X31" s="1018">
        <f t="shared" ref="X31:X38" si="75">SUM(U31:W31)</f>
        <v>0</v>
      </c>
      <c r="Y31" s="1017"/>
      <c r="Z31" s="1017"/>
      <c r="AA31" s="1017"/>
      <c r="AB31" s="1018">
        <f t="shared" ref="AB31:AB38" si="76">SUM(Y31:AA31)</f>
        <v>0</v>
      </c>
      <c r="AC31" s="330"/>
    </row>
    <row r="32" spans="1:29" ht="30">
      <c r="A32" s="941" t="s">
        <v>1463</v>
      </c>
      <c r="B32" s="541" t="s">
        <v>1470</v>
      </c>
      <c r="C32" s="346" t="s">
        <v>1002</v>
      </c>
      <c r="D32" s="1017">
        <f>'NSP Detailed Budget'!D236</f>
        <v>8200</v>
      </c>
      <c r="E32" s="1017">
        <f>'NSP Detailed Budget'!E236</f>
        <v>8200</v>
      </c>
      <c r="F32" s="1017">
        <f>'NSP Detailed Budget'!F236</f>
        <v>8200</v>
      </c>
      <c r="G32" s="1018">
        <f t="shared" si="71"/>
        <v>24600</v>
      </c>
      <c r="H32" s="1017"/>
      <c r="I32" s="1017"/>
      <c r="J32" s="1017"/>
      <c r="K32" s="1018">
        <f t="shared" si="72"/>
        <v>0</v>
      </c>
      <c r="L32" s="1044"/>
      <c r="M32" s="1017"/>
      <c r="N32" s="1017"/>
      <c r="O32" s="1017"/>
      <c r="P32" s="1018">
        <f t="shared" si="73"/>
        <v>0</v>
      </c>
      <c r="Q32" s="1017"/>
      <c r="R32" s="1017"/>
      <c r="S32" s="1017"/>
      <c r="T32" s="1018">
        <f t="shared" si="74"/>
        <v>0</v>
      </c>
      <c r="U32" s="1017"/>
      <c r="V32" s="1017"/>
      <c r="W32" s="1017"/>
      <c r="X32" s="1018">
        <f t="shared" si="75"/>
        <v>0</v>
      </c>
      <c r="Y32" s="1017"/>
      <c r="Z32" s="1017"/>
      <c r="AA32" s="1017"/>
      <c r="AB32" s="1018">
        <f t="shared" si="76"/>
        <v>0</v>
      </c>
      <c r="AC32" s="330"/>
    </row>
    <row r="33" spans="1:29" ht="30">
      <c r="A33" s="941" t="s">
        <v>1464</v>
      </c>
      <c r="B33" s="541" t="s">
        <v>1471</v>
      </c>
      <c r="C33" s="346" t="s">
        <v>754</v>
      </c>
      <c r="D33" s="1017">
        <f>'NSP Detailed Budget'!G241</f>
        <v>10100</v>
      </c>
      <c r="E33" s="1017">
        <f>'NSP Detailed Budget'!H241</f>
        <v>10100</v>
      </c>
      <c r="F33" s="1017">
        <f>'NSP Detailed Budget'!I241</f>
        <v>10100</v>
      </c>
      <c r="G33" s="1018">
        <f t="shared" si="71"/>
        <v>30300</v>
      </c>
      <c r="H33" s="1017"/>
      <c r="I33" s="1017"/>
      <c r="J33" s="1017"/>
      <c r="K33" s="1018">
        <f t="shared" si="72"/>
        <v>0</v>
      </c>
      <c r="L33" s="1044"/>
      <c r="M33" s="1017"/>
      <c r="N33" s="1017"/>
      <c r="O33" s="1017"/>
      <c r="P33" s="1018">
        <f t="shared" si="73"/>
        <v>0</v>
      </c>
      <c r="Q33" s="1017"/>
      <c r="R33" s="1017"/>
      <c r="S33" s="1017"/>
      <c r="T33" s="1018">
        <f t="shared" si="74"/>
        <v>0</v>
      </c>
      <c r="U33" s="1017"/>
      <c r="V33" s="1017"/>
      <c r="W33" s="1017"/>
      <c r="X33" s="1018">
        <f t="shared" si="75"/>
        <v>0</v>
      </c>
      <c r="Y33" s="1017"/>
      <c r="Z33" s="1017"/>
      <c r="AA33" s="1017"/>
      <c r="AB33" s="1018">
        <f t="shared" si="76"/>
        <v>0</v>
      </c>
      <c r="AC33" s="330"/>
    </row>
    <row r="34" spans="1:29" ht="30">
      <c r="A34" s="941" t="s">
        <v>1465</v>
      </c>
      <c r="B34" s="541" t="s">
        <v>1472</v>
      </c>
      <c r="C34" s="346" t="s">
        <v>1000</v>
      </c>
      <c r="D34" s="1017">
        <f>'NSP Detailed Budget'!D246</f>
        <v>0</v>
      </c>
      <c r="E34" s="1017">
        <f>'NSP Detailed Budget'!E246</f>
        <v>0</v>
      </c>
      <c r="F34" s="1017">
        <f>'NSP Detailed Budget'!F246</f>
        <v>0</v>
      </c>
      <c r="G34" s="1018">
        <f t="shared" si="71"/>
        <v>0</v>
      </c>
      <c r="H34" s="1017"/>
      <c r="I34" s="1017"/>
      <c r="J34" s="1017"/>
      <c r="K34" s="1018">
        <f t="shared" si="72"/>
        <v>0</v>
      </c>
      <c r="L34" s="1044"/>
      <c r="M34" s="1017"/>
      <c r="N34" s="1017"/>
      <c r="O34" s="1017"/>
      <c r="P34" s="1018">
        <f t="shared" si="73"/>
        <v>0</v>
      </c>
      <c r="Q34" s="1017"/>
      <c r="R34" s="1017"/>
      <c r="S34" s="1017"/>
      <c r="T34" s="1018">
        <f t="shared" si="74"/>
        <v>0</v>
      </c>
      <c r="U34" s="1017"/>
      <c r="V34" s="1017"/>
      <c r="W34" s="1017"/>
      <c r="X34" s="1018">
        <f t="shared" si="75"/>
        <v>0</v>
      </c>
      <c r="Y34" s="1017"/>
      <c r="Z34" s="1017"/>
      <c r="AA34" s="1017"/>
      <c r="AB34" s="1018">
        <f t="shared" si="76"/>
        <v>0</v>
      </c>
      <c r="AC34" s="330"/>
    </row>
    <row r="35" spans="1:29" ht="30">
      <c r="A35" s="941" t="s">
        <v>1466</v>
      </c>
      <c r="B35" s="541" t="s">
        <v>1490</v>
      </c>
      <c r="C35" s="346" t="s">
        <v>49</v>
      </c>
      <c r="D35" s="1017">
        <f>'NSP Detailed Budget'!D251</f>
        <v>5500</v>
      </c>
      <c r="E35" s="1017">
        <f>'NSP Detailed Budget'!E251</f>
        <v>0</v>
      </c>
      <c r="F35" s="1017">
        <f>'NSP Detailed Budget'!F251</f>
        <v>5000</v>
      </c>
      <c r="G35" s="1018">
        <f t="shared" si="71"/>
        <v>10500</v>
      </c>
      <c r="H35" s="1017"/>
      <c r="I35" s="1017"/>
      <c r="J35" s="1017"/>
      <c r="K35" s="1018">
        <f t="shared" si="72"/>
        <v>0</v>
      </c>
      <c r="L35" s="1044"/>
      <c r="M35" s="1017"/>
      <c r="N35" s="1017"/>
      <c r="O35" s="1017"/>
      <c r="P35" s="1018">
        <f t="shared" si="73"/>
        <v>0</v>
      </c>
      <c r="Q35" s="1017"/>
      <c r="R35" s="1017"/>
      <c r="S35" s="1017"/>
      <c r="T35" s="1018">
        <f t="shared" si="74"/>
        <v>0</v>
      </c>
      <c r="U35" s="1017"/>
      <c r="V35" s="1017"/>
      <c r="W35" s="1017"/>
      <c r="X35" s="1018">
        <f t="shared" si="75"/>
        <v>0</v>
      </c>
      <c r="Y35" s="1017"/>
      <c r="Z35" s="1017"/>
      <c r="AA35" s="1017"/>
      <c r="AB35" s="1018">
        <f t="shared" si="76"/>
        <v>0</v>
      </c>
      <c r="AC35" s="330"/>
    </row>
    <row r="36" spans="1:29" ht="30">
      <c r="A36" s="941" t="s">
        <v>1467</v>
      </c>
      <c r="B36" s="541" t="s">
        <v>1491</v>
      </c>
      <c r="C36" s="346" t="s">
        <v>156</v>
      </c>
      <c r="D36" s="1017">
        <f>'NSP Detailed Budget'!D256</f>
        <v>3168</v>
      </c>
      <c r="E36" s="1017">
        <f>'NSP Detailed Budget'!E256</f>
        <v>3168</v>
      </c>
      <c r="F36" s="1017">
        <f>'NSP Detailed Budget'!F256</f>
        <v>3168</v>
      </c>
      <c r="G36" s="1018">
        <f t="shared" si="71"/>
        <v>9504</v>
      </c>
      <c r="H36" s="1017"/>
      <c r="I36" s="1017"/>
      <c r="J36" s="1017"/>
      <c r="K36" s="1018">
        <f t="shared" si="72"/>
        <v>0</v>
      </c>
      <c r="L36" s="1044"/>
      <c r="M36" s="1017"/>
      <c r="N36" s="1017"/>
      <c r="O36" s="1017"/>
      <c r="P36" s="1018">
        <f t="shared" si="73"/>
        <v>0</v>
      </c>
      <c r="Q36" s="1017"/>
      <c r="R36" s="1017"/>
      <c r="S36" s="1017"/>
      <c r="T36" s="1018">
        <f t="shared" si="74"/>
        <v>0</v>
      </c>
      <c r="U36" s="1017"/>
      <c r="V36" s="1017"/>
      <c r="W36" s="1017"/>
      <c r="X36" s="1018">
        <f t="shared" si="75"/>
        <v>0</v>
      </c>
      <c r="Y36" s="1017"/>
      <c r="Z36" s="1017"/>
      <c r="AA36" s="1017"/>
      <c r="AB36" s="1018">
        <f t="shared" si="76"/>
        <v>0</v>
      </c>
      <c r="AC36" s="330"/>
    </row>
    <row r="37" spans="1:29" ht="30">
      <c r="A37" s="941" t="s">
        <v>1468</v>
      </c>
      <c r="B37" s="541" t="s">
        <v>1474</v>
      </c>
      <c r="C37" s="346" t="s">
        <v>1002</v>
      </c>
      <c r="D37" s="1017">
        <f>'NSP Detailed Budget'!D261</f>
        <v>9800</v>
      </c>
      <c r="E37" s="1017">
        <f>'NSP Detailed Budget'!E261</f>
        <v>9800</v>
      </c>
      <c r="F37" s="1017">
        <f>'NSP Detailed Budget'!F261</f>
        <v>19600</v>
      </c>
      <c r="G37" s="1018">
        <f t="shared" si="71"/>
        <v>39200</v>
      </c>
      <c r="H37" s="1017"/>
      <c r="I37" s="1017"/>
      <c r="J37" s="1017"/>
      <c r="K37" s="1018">
        <f t="shared" si="72"/>
        <v>0</v>
      </c>
      <c r="L37" s="1044"/>
      <c r="M37" s="1017"/>
      <c r="N37" s="1017"/>
      <c r="O37" s="1017"/>
      <c r="P37" s="1018">
        <f t="shared" si="73"/>
        <v>0</v>
      </c>
      <c r="Q37" s="1017"/>
      <c r="R37" s="1017"/>
      <c r="S37" s="1017"/>
      <c r="T37" s="1018">
        <f t="shared" si="74"/>
        <v>0</v>
      </c>
      <c r="U37" s="1017"/>
      <c r="V37" s="1017"/>
      <c r="W37" s="1017"/>
      <c r="X37" s="1018">
        <f t="shared" si="75"/>
        <v>0</v>
      </c>
      <c r="Y37" s="1017"/>
      <c r="Z37" s="1017"/>
      <c r="AA37" s="1017"/>
      <c r="AB37" s="1018">
        <f t="shared" si="76"/>
        <v>0</v>
      </c>
      <c r="AC37" s="330"/>
    </row>
    <row r="38" spans="1:29">
      <c r="A38" s="941" t="s">
        <v>1475</v>
      </c>
      <c r="B38" s="962" t="s">
        <v>1620</v>
      </c>
      <c r="C38" s="346" t="s">
        <v>49</v>
      </c>
      <c r="D38" s="1017">
        <f>'NSP Detailed Budget'!D266</f>
        <v>0</v>
      </c>
      <c r="E38" s="1017">
        <f>'NSP Detailed Budget'!E266</f>
        <v>650000</v>
      </c>
      <c r="F38" s="1017">
        <f>'NSP Detailed Budget'!F266</f>
        <v>0</v>
      </c>
      <c r="G38" s="1018">
        <f t="shared" si="71"/>
        <v>650000</v>
      </c>
      <c r="H38" s="1017"/>
      <c r="I38" s="1017"/>
      <c r="J38" s="1017"/>
      <c r="K38" s="1018">
        <f t="shared" si="72"/>
        <v>0</v>
      </c>
      <c r="L38" s="1044"/>
      <c r="M38" s="1017"/>
      <c r="N38" s="1017"/>
      <c r="O38" s="1017"/>
      <c r="P38" s="1018">
        <f t="shared" si="73"/>
        <v>0</v>
      </c>
      <c r="Q38" s="1017"/>
      <c r="R38" s="1017"/>
      <c r="S38" s="1017"/>
      <c r="T38" s="1018">
        <f t="shared" si="74"/>
        <v>0</v>
      </c>
      <c r="U38" s="1017"/>
      <c r="V38" s="1017"/>
      <c r="W38" s="1017"/>
      <c r="X38" s="1018">
        <f t="shared" si="75"/>
        <v>0</v>
      </c>
      <c r="Y38" s="1017"/>
      <c r="Z38" s="1017"/>
      <c r="AA38" s="1017"/>
      <c r="AB38" s="1018">
        <f t="shared" si="76"/>
        <v>0</v>
      </c>
      <c r="AC38" s="330"/>
    </row>
    <row r="39" spans="1:29">
      <c r="A39" s="941" t="s">
        <v>1476</v>
      </c>
      <c r="B39" s="962" t="s">
        <v>1621</v>
      </c>
      <c r="C39" s="346" t="s">
        <v>156</v>
      </c>
      <c r="D39" s="1017">
        <f>'NSP Detailed Budget'!D273</f>
        <v>0</v>
      </c>
      <c r="E39" s="1017">
        <f>'NSP Detailed Budget'!E273</f>
        <v>43000</v>
      </c>
      <c r="F39" s="1017">
        <f>'NSP Detailed Budget'!F273</f>
        <v>163800</v>
      </c>
      <c r="G39" s="1018">
        <f t="shared" ref="G39" si="77">SUM(D39:F39)</f>
        <v>206800</v>
      </c>
      <c r="H39" s="1017"/>
      <c r="I39" s="1017"/>
      <c r="J39" s="1017"/>
      <c r="K39" s="1018">
        <f t="shared" ref="K39" si="78">SUM(H39:J39)</f>
        <v>0</v>
      </c>
      <c r="L39" s="1044"/>
      <c r="M39" s="1017"/>
      <c r="N39" s="1017"/>
      <c r="O39" s="1017"/>
      <c r="P39" s="1018">
        <f t="shared" ref="P39" si="79">SUM(M39:O39)</f>
        <v>0</v>
      </c>
      <c r="Q39" s="1017"/>
      <c r="R39" s="1017"/>
      <c r="S39" s="1017"/>
      <c r="T39" s="1018">
        <f t="shared" ref="T39" si="80">SUM(Q39:S39)</f>
        <v>0</v>
      </c>
      <c r="U39" s="1017"/>
      <c r="V39" s="1017"/>
      <c r="W39" s="1017"/>
      <c r="X39" s="1018">
        <f t="shared" ref="X39" si="81">SUM(U39:W39)</f>
        <v>0</v>
      </c>
      <c r="Y39" s="1017"/>
      <c r="Z39" s="1017"/>
      <c r="AA39" s="1017"/>
      <c r="AB39" s="1018">
        <f t="shared" ref="AB39" si="82">SUM(Y39:AA39)</f>
        <v>0</v>
      </c>
      <c r="AC39" s="330"/>
    </row>
    <row r="40" spans="1:29">
      <c r="A40" s="999" t="s">
        <v>1809</v>
      </c>
      <c r="B40" s="1000" t="s">
        <v>1810</v>
      </c>
      <c r="C40" s="346" t="s">
        <v>156</v>
      </c>
      <c r="D40" s="1017">
        <f>'NSP Detailed Budget'!D278</f>
        <v>0</v>
      </c>
      <c r="E40" s="1017">
        <f>'NSP Detailed Budget'!E278</f>
        <v>575000</v>
      </c>
      <c r="F40" s="1017">
        <f>'NSP Detailed Budget'!F278</f>
        <v>0</v>
      </c>
      <c r="G40" s="1018">
        <f t="shared" ref="G40" si="83">SUM(D40:F40)</f>
        <v>575000</v>
      </c>
      <c r="H40" s="1017"/>
      <c r="I40" s="1017"/>
      <c r="J40" s="1017"/>
      <c r="K40" s="1018">
        <f t="shared" ref="K40" si="84">SUM(H40:J40)</f>
        <v>0</v>
      </c>
      <c r="L40" s="1044"/>
      <c r="M40" s="1017"/>
      <c r="N40" s="1017"/>
      <c r="O40" s="1017"/>
      <c r="P40" s="1018">
        <f t="shared" ref="P40" si="85">SUM(M40:O40)</f>
        <v>0</v>
      </c>
      <c r="Q40" s="1017"/>
      <c r="R40" s="1017"/>
      <c r="S40" s="1017"/>
      <c r="T40" s="1018">
        <f t="shared" ref="T40" si="86">SUM(Q40:S40)</f>
        <v>0</v>
      </c>
      <c r="U40" s="1017"/>
      <c r="V40" s="1017"/>
      <c r="W40" s="1017"/>
      <c r="X40" s="1018">
        <f t="shared" ref="X40" si="87">SUM(U40:W40)</f>
        <v>0</v>
      </c>
      <c r="Y40" s="1017"/>
      <c r="Z40" s="1017"/>
      <c r="AA40" s="1017"/>
      <c r="AB40" s="1018">
        <f t="shared" ref="AB40" si="88">SUM(Y40:AA40)</f>
        <v>0</v>
      </c>
      <c r="AC40" s="330"/>
    </row>
    <row r="41" spans="1:29" ht="45">
      <c r="A41" s="341">
        <v>1.3</v>
      </c>
      <c r="B41" s="342" t="s">
        <v>1248</v>
      </c>
      <c r="C41" s="343"/>
      <c r="D41" s="1015">
        <f t="shared" ref="D41:AB41" si="89">SUM(D42:D45)</f>
        <v>1800</v>
      </c>
      <c r="E41" s="1015">
        <f t="shared" si="89"/>
        <v>147200</v>
      </c>
      <c r="F41" s="1015">
        <f t="shared" si="89"/>
        <v>80000</v>
      </c>
      <c r="G41" s="1016">
        <f t="shared" si="89"/>
        <v>229000</v>
      </c>
      <c r="H41" s="1015">
        <f t="shared" si="89"/>
        <v>0</v>
      </c>
      <c r="I41" s="1015">
        <f t="shared" si="89"/>
        <v>0</v>
      </c>
      <c r="J41" s="1015">
        <f t="shared" si="89"/>
        <v>0</v>
      </c>
      <c r="K41" s="1016">
        <f t="shared" si="89"/>
        <v>0</v>
      </c>
      <c r="L41" s="1043"/>
      <c r="M41" s="1015">
        <f t="shared" si="89"/>
        <v>0</v>
      </c>
      <c r="N41" s="1015">
        <f t="shared" si="89"/>
        <v>0</v>
      </c>
      <c r="O41" s="1015">
        <f t="shared" si="89"/>
        <v>0</v>
      </c>
      <c r="P41" s="1016">
        <f t="shared" si="89"/>
        <v>0</v>
      </c>
      <c r="Q41" s="1015">
        <f t="shared" si="89"/>
        <v>0</v>
      </c>
      <c r="R41" s="1015">
        <f t="shared" si="89"/>
        <v>0</v>
      </c>
      <c r="S41" s="1015">
        <f t="shared" si="89"/>
        <v>0</v>
      </c>
      <c r="T41" s="1016">
        <f t="shared" si="89"/>
        <v>0</v>
      </c>
      <c r="U41" s="1015">
        <f t="shared" si="89"/>
        <v>0</v>
      </c>
      <c r="V41" s="1015">
        <f t="shared" si="89"/>
        <v>0</v>
      </c>
      <c r="W41" s="1015">
        <f t="shared" si="89"/>
        <v>0</v>
      </c>
      <c r="X41" s="1016">
        <f t="shared" si="89"/>
        <v>0</v>
      </c>
      <c r="Y41" s="1015">
        <f t="shared" si="89"/>
        <v>0</v>
      </c>
      <c r="Z41" s="1015">
        <f t="shared" si="89"/>
        <v>0</v>
      </c>
      <c r="AA41" s="1015">
        <f t="shared" si="89"/>
        <v>0</v>
      </c>
      <c r="AB41" s="1016">
        <f t="shared" si="89"/>
        <v>0</v>
      </c>
      <c r="AC41" s="330"/>
    </row>
    <row r="42" spans="1:29" ht="30">
      <c r="A42" s="833" t="s">
        <v>333</v>
      </c>
      <c r="B42" s="714" t="s">
        <v>1492</v>
      </c>
      <c r="C42" s="346" t="s">
        <v>1000</v>
      </c>
      <c r="D42" s="1017">
        <f>'NSP Detailed Budget'!D285</f>
        <v>1800</v>
      </c>
      <c r="E42" s="1017">
        <f>'NSP Detailed Budget'!E285</f>
        <v>7200</v>
      </c>
      <c r="F42" s="1017">
        <f>'NSP Detailed Budget'!F285</f>
        <v>0</v>
      </c>
      <c r="G42" s="1018">
        <f t="shared" ref="G42" si="90">SUM(D42:F42)</f>
        <v>9000</v>
      </c>
      <c r="H42" s="1017"/>
      <c r="I42" s="1017"/>
      <c r="J42" s="1017"/>
      <c r="K42" s="1018">
        <f t="shared" ref="K42" si="91">SUM(H42:J42)</f>
        <v>0</v>
      </c>
      <c r="L42" s="1044"/>
      <c r="M42" s="1017"/>
      <c r="N42" s="1017"/>
      <c r="O42" s="1017"/>
      <c r="P42" s="1018">
        <f t="shared" ref="P42" si="92">SUM(M42:O42)</f>
        <v>0</v>
      </c>
      <c r="Q42" s="1017"/>
      <c r="R42" s="1017"/>
      <c r="S42" s="1017"/>
      <c r="T42" s="1018">
        <f t="shared" ref="T42" si="93">SUM(Q42:S42)</f>
        <v>0</v>
      </c>
      <c r="U42" s="1017"/>
      <c r="V42" s="1017"/>
      <c r="W42" s="1017"/>
      <c r="X42" s="1018">
        <f t="shared" ref="X42" si="94">SUM(U42:W42)</f>
        <v>0</v>
      </c>
      <c r="Y42" s="1017"/>
      <c r="Z42" s="1017"/>
      <c r="AA42" s="1017"/>
      <c r="AB42" s="1018">
        <f t="shared" ref="AB42" si="95">SUM(Y42:AA42)</f>
        <v>0</v>
      </c>
      <c r="AC42" s="330"/>
    </row>
    <row r="43" spans="1:29">
      <c r="A43" s="833" t="s">
        <v>334</v>
      </c>
      <c r="B43" s="541" t="s">
        <v>1493</v>
      </c>
      <c r="C43" s="346" t="s">
        <v>156</v>
      </c>
      <c r="D43" s="1017">
        <f>'NSP Detailed Budget'!D290</f>
        <v>0</v>
      </c>
      <c r="E43" s="1017">
        <f>'NSP Detailed Budget'!E290</f>
        <v>12000</v>
      </c>
      <c r="F43" s="1017">
        <f>'NSP Detailed Budget'!F290</f>
        <v>48000</v>
      </c>
      <c r="G43" s="1018">
        <f t="shared" ref="G43" si="96">SUM(D43:F43)</f>
        <v>60000</v>
      </c>
      <c r="H43" s="1017"/>
      <c r="I43" s="1017"/>
      <c r="J43" s="1017"/>
      <c r="K43" s="1018">
        <f t="shared" ref="K43" si="97">SUM(H43:J43)</f>
        <v>0</v>
      </c>
      <c r="L43" s="1044"/>
      <c r="M43" s="1017"/>
      <c r="N43" s="1017"/>
      <c r="O43" s="1017"/>
      <c r="P43" s="1018">
        <f t="shared" ref="P43" si="98">SUM(M43:O43)</f>
        <v>0</v>
      </c>
      <c r="Q43" s="1017"/>
      <c r="R43" s="1017"/>
      <c r="S43" s="1017"/>
      <c r="T43" s="1018">
        <f t="shared" ref="T43" si="99">SUM(Q43:S43)</f>
        <v>0</v>
      </c>
      <c r="U43" s="1017"/>
      <c r="V43" s="1017"/>
      <c r="W43" s="1017"/>
      <c r="X43" s="1018">
        <f t="shared" ref="X43" si="100">SUM(U43:W43)</f>
        <v>0</v>
      </c>
      <c r="Y43" s="1017"/>
      <c r="Z43" s="1017"/>
      <c r="AA43" s="1017"/>
      <c r="AB43" s="1018">
        <f t="shared" ref="AB43" si="101">SUM(Y43:AA43)</f>
        <v>0</v>
      </c>
      <c r="AC43" s="330"/>
    </row>
    <row r="44" spans="1:29">
      <c r="A44" s="999" t="s">
        <v>335</v>
      </c>
      <c r="B44" s="541" t="s">
        <v>1818</v>
      </c>
      <c r="C44" s="346" t="s">
        <v>156</v>
      </c>
      <c r="D44" s="1017">
        <f>'NSP Detailed Budget'!D295</f>
        <v>0</v>
      </c>
      <c r="E44" s="1017">
        <f>'NSP Detailed Budget'!E295</f>
        <v>120000</v>
      </c>
      <c r="F44" s="1017">
        <f>'NSP Detailed Budget'!F295</f>
        <v>0</v>
      </c>
      <c r="G44" s="1018">
        <f t="shared" ref="G44" si="102">SUM(D44:F44)</f>
        <v>120000</v>
      </c>
      <c r="H44" s="1017"/>
      <c r="I44" s="1017"/>
      <c r="J44" s="1017"/>
      <c r="K44" s="1018">
        <f t="shared" ref="K44" si="103">SUM(H44:J44)</f>
        <v>0</v>
      </c>
      <c r="L44" s="1044"/>
      <c r="M44" s="1017"/>
      <c r="N44" s="1017"/>
      <c r="O44" s="1017"/>
      <c r="P44" s="1018">
        <f t="shared" ref="P44" si="104">SUM(M44:O44)</f>
        <v>0</v>
      </c>
      <c r="Q44" s="1017"/>
      <c r="R44" s="1017"/>
      <c r="S44" s="1017"/>
      <c r="T44" s="1018">
        <f t="shared" ref="T44" si="105">SUM(Q44:S44)</f>
        <v>0</v>
      </c>
      <c r="U44" s="1017"/>
      <c r="V44" s="1017"/>
      <c r="W44" s="1017"/>
      <c r="X44" s="1018">
        <f t="shared" ref="X44" si="106">SUM(U44:W44)</f>
        <v>0</v>
      </c>
      <c r="Y44" s="1017"/>
      <c r="Z44" s="1017"/>
      <c r="AA44" s="1017"/>
      <c r="AB44" s="1018">
        <f t="shared" ref="AB44" si="107">SUM(Y44:AA44)</f>
        <v>0</v>
      </c>
      <c r="AC44" s="330"/>
    </row>
    <row r="45" spans="1:29" ht="45">
      <c r="A45" s="999" t="s">
        <v>336</v>
      </c>
      <c r="B45" s="541" t="s">
        <v>1494</v>
      </c>
      <c r="C45" s="346" t="s">
        <v>770</v>
      </c>
      <c r="D45" s="1017">
        <f>'NSP Detailed Budget'!D300</f>
        <v>0</v>
      </c>
      <c r="E45" s="1017">
        <f>'NSP Detailed Budget'!E300</f>
        <v>8000</v>
      </c>
      <c r="F45" s="1017">
        <f>'NSP Detailed Budget'!F300</f>
        <v>32000</v>
      </c>
      <c r="G45" s="1018">
        <f t="shared" ref="G45" si="108">SUM(D45:F45)</f>
        <v>40000</v>
      </c>
      <c r="H45" s="1019"/>
      <c r="I45" s="1019"/>
      <c r="J45" s="1017"/>
      <c r="K45" s="1018">
        <f t="shared" ref="K45" si="109">SUM(H45:J45)</f>
        <v>0</v>
      </c>
      <c r="L45" s="1044"/>
      <c r="M45" s="1017"/>
      <c r="N45" s="1017"/>
      <c r="O45" s="1017"/>
      <c r="P45" s="1018">
        <f t="shared" ref="P45" si="110">SUM(M45:O45)</f>
        <v>0</v>
      </c>
      <c r="Q45" s="1017"/>
      <c r="R45" s="1017"/>
      <c r="S45" s="1017"/>
      <c r="T45" s="1018">
        <f t="shared" ref="T45" si="111">SUM(Q45:S45)</f>
        <v>0</v>
      </c>
      <c r="U45" s="1017"/>
      <c r="V45" s="1017"/>
      <c r="W45" s="1017"/>
      <c r="X45" s="1018">
        <f t="shared" ref="X45" si="112">SUM(U45:W45)</f>
        <v>0</v>
      </c>
      <c r="Y45" s="1017"/>
      <c r="Z45" s="1017"/>
      <c r="AA45" s="1017"/>
      <c r="AB45" s="1018">
        <f t="shared" ref="AB45" si="113">SUM(Y45:AA45)</f>
        <v>0</v>
      </c>
      <c r="AC45" s="330"/>
    </row>
    <row r="46" spans="1:29">
      <c r="A46" s="341">
        <v>1.4</v>
      </c>
      <c r="B46" s="342" t="s">
        <v>1249</v>
      </c>
      <c r="C46" s="343"/>
      <c r="D46" s="1015">
        <f t="shared" ref="D46:AB46" si="114">SUM(D47:D48)</f>
        <v>1681386.9164464576</v>
      </c>
      <c r="E46" s="1015">
        <f t="shared" si="114"/>
        <v>1846904.2921857303</v>
      </c>
      <c r="F46" s="1015">
        <f t="shared" si="114"/>
        <v>1965294.9016308039</v>
      </c>
      <c r="G46" s="1016">
        <f t="shared" si="114"/>
        <v>5493586.1102629919</v>
      </c>
      <c r="H46" s="1015">
        <f t="shared" si="114"/>
        <v>0</v>
      </c>
      <c r="I46" s="1015">
        <f t="shared" si="114"/>
        <v>0</v>
      </c>
      <c r="J46" s="1015">
        <f t="shared" si="114"/>
        <v>0</v>
      </c>
      <c r="K46" s="1016">
        <f t="shared" si="114"/>
        <v>0</v>
      </c>
      <c r="L46" s="1043"/>
      <c r="M46" s="1015">
        <f t="shared" si="114"/>
        <v>0</v>
      </c>
      <c r="N46" s="1015">
        <f t="shared" si="114"/>
        <v>0</v>
      </c>
      <c r="O46" s="1015">
        <f t="shared" si="114"/>
        <v>0</v>
      </c>
      <c r="P46" s="1016">
        <f t="shared" si="114"/>
        <v>0</v>
      </c>
      <c r="Q46" s="1015">
        <f t="shared" si="114"/>
        <v>0</v>
      </c>
      <c r="R46" s="1015">
        <f t="shared" si="114"/>
        <v>0</v>
      </c>
      <c r="S46" s="1015">
        <f t="shared" si="114"/>
        <v>0</v>
      </c>
      <c r="T46" s="1016">
        <f t="shared" si="114"/>
        <v>0</v>
      </c>
      <c r="U46" s="1015">
        <f t="shared" si="114"/>
        <v>0</v>
      </c>
      <c r="V46" s="1015">
        <f t="shared" si="114"/>
        <v>0</v>
      </c>
      <c r="W46" s="1015">
        <f t="shared" si="114"/>
        <v>0</v>
      </c>
      <c r="X46" s="1016">
        <f t="shared" si="114"/>
        <v>0</v>
      </c>
      <c r="Y46" s="1015">
        <f t="shared" si="114"/>
        <v>0</v>
      </c>
      <c r="Z46" s="1015">
        <f t="shared" si="114"/>
        <v>0</v>
      </c>
      <c r="AA46" s="1015">
        <f t="shared" si="114"/>
        <v>0</v>
      </c>
      <c r="AB46" s="1016">
        <f t="shared" si="114"/>
        <v>0</v>
      </c>
      <c r="AC46" s="330"/>
    </row>
    <row r="47" spans="1:29">
      <c r="A47" s="941" t="s">
        <v>444</v>
      </c>
      <c r="B47" s="988" t="s">
        <v>1498</v>
      </c>
      <c r="C47" s="346" t="s">
        <v>770</v>
      </c>
      <c r="D47" s="1017">
        <f>'NSP Detailed Budget'!D308</f>
        <v>775160.5605889014</v>
      </c>
      <c r="E47" s="1017">
        <f>'NSP Detailed Budget'!E308</f>
        <v>868179.82785956957</v>
      </c>
      <c r="F47" s="1017">
        <f>'NSP Detailed Budget'!F308</f>
        <v>937634.21408833517</v>
      </c>
      <c r="G47" s="1018">
        <f>SUM(D47:F47)</f>
        <v>2580974.6025368059</v>
      </c>
      <c r="H47" s="1017"/>
      <c r="I47" s="1017"/>
      <c r="J47" s="1017"/>
      <c r="K47" s="1018">
        <f>SUM(H47:J47)</f>
        <v>0</v>
      </c>
      <c r="L47" s="1044"/>
      <c r="M47" s="1017"/>
      <c r="N47" s="1017"/>
      <c r="O47" s="1017"/>
      <c r="P47" s="1018">
        <f>SUM(M47:O47)</f>
        <v>0</v>
      </c>
      <c r="Q47" s="1017"/>
      <c r="R47" s="1017"/>
      <c r="S47" s="1017"/>
      <c r="T47" s="1018">
        <f>SUM(Q47:S47)</f>
        <v>0</v>
      </c>
      <c r="U47" s="1017"/>
      <c r="V47" s="1017"/>
      <c r="W47" s="1017"/>
      <c r="X47" s="1018">
        <f>SUM(U47:W47)</f>
        <v>0</v>
      </c>
      <c r="Y47" s="1017"/>
      <c r="Z47" s="1017"/>
      <c r="AA47" s="1017"/>
      <c r="AB47" s="1018">
        <f>SUM(Y47:AA47)</f>
        <v>0</v>
      </c>
      <c r="AC47" s="330"/>
    </row>
    <row r="48" spans="1:29">
      <c r="A48" s="941" t="s">
        <v>445</v>
      </c>
      <c r="B48" s="988" t="s">
        <v>1499</v>
      </c>
      <c r="C48" s="346" t="s">
        <v>50</v>
      </c>
      <c r="D48" s="1017">
        <f>'NSP Detailed Budget'!D314</f>
        <v>906226.35585755622</v>
      </c>
      <c r="E48" s="1017">
        <f>'NSP Detailed Budget'!E314</f>
        <v>978724.46432616073</v>
      </c>
      <c r="F48" s="1017">
        <f>'NSP Detailed Budget'!F314</f>
        <v>1027660.6875424688</v>
      </c>
      <c r="G48" s="1018">
        <f t="shared" ref="G48" si="115">SUM(D48:F48)</f>
        <v>2912611.507726186</v>
      </c>
      <c r="H48" s="1017"/>
      <c r="I48" s="1017"/>
      <c r="J48" s="1017"/>
      <c r="K48" s="1018">
        <f t="shared" ref="K48" si="116">SUM(H48:J48)</f>
        <v>0</v>
      </c>
      <c r="L48" s="1044"/>
      <c r="M48" s="1017"/>
      <c r="N48" s="1017"/>
      <c r="O48" s="1017"/>
      <c r="P48" s="1018">
        <f t="shared" ref="P48" si="117">SUM(M48:O48)</f>
        <v>0</v>
      </c>
      <c r="Q48" s="1017"/>
      <c r="R48" s="1017"/>
      <c r="S48" s="1017"/>
      <c r="T48" s="1018">
        <f t="shared" ref="T48" si="118">SUM(Q48:S48)</f>
        <v>0</v>
      </c>
      <c r="U48" s="1017"/>
      <c r="V48" s="1017"/>
      <c r="W48" s="1017"/>
      <c r="X48" s="1018">
        <f t="shared" ref="X48" si="119">SUM(U48:W48)</f>
        <v>0</v>
      </c>
      <c r="Y48" s="1017"/>
      <c r="Z48" s="1017"/>
      <c r="AA48" s="1017"/>
      <c r="AB48" s="1018">
        <f t="shared" ref="AB48" si="120">SUM(Y48:AA48)</f>
        <v>0</v>
      </c>
      <c r="AC48" s="330"/>
    </row>
    <row r="49" spans="1:35" ht="47.25">
      <c r="A49" s="336">
        <v>2</v>
      </c>
      <c r="B49" s="337" t="s">
        <v>1673</v>
      </c>
      <c r="C49" s="338"/>
      <c r="D49" s="1013">
        <f>SUM(D50,D63,D71,D80,D84,D90)</f>
        <v>8904512.4714496024</v>
      </c>
      <c r="E49" s="1013">
        <f>SUM(E50,E63,E71,E80,E84,E90)</f>
        <v>10004997.093972819</v>
      </c>
      <c r="F49" s="1013">
        <f>SUM(F50,F63,F71,F80,F84,F90)</f>
        <v>10094109.188373726</v>
      </c>
      <c r="G49" s="1014">
        <f>SUM(G50,G63,G71,G80,G84,G90)</f>
        <v>29003618.753796153</v>
      </c>
      <c r="H49" s="1013">
        <f>'Govt &amp; External'!G110</f>
        <v>5571550</v>
      </c>
      <c r="I49" s="1013">
        <f>'Govt &amp; External'!H110</f>
        <v>6100430</v>
      </c>
      <c r="J49" s="1013">
        <f>'Govt &amp; External'!I110</f>
        <v>6110860</v>
      </c>
      <c r="K49" s="1014">
        <f>SUM(H49:J49)</f>
        <v>17782840</v>
      </c>
      <c r="L49" s="1049">
        <f>1319227.6*0.7</f>
        <v>923459.32</v>
      </c>
      <c r="M49" s="1013">
        <f>1082059+25700+208383</f>
        <v>1316142</v>
      </c>
      <c r="N49" s="1013">
        <f>1610263.1+294450+324260+200000</f>
        <v>2428973.1</v>
      </c>
      <c r="O49" s="1013">
        <f>1247409+79250+206280</f>
        <v>1532939</v>
      </c>
      <c r="P49" s="1014">
        <f>SUM(L49:O49)</f>
        <v>6201513.4199999999</v>
      </c>
      <c r="Q49" s="1013">
        <f>'Govt &amp; External'!G127</f>
        <v>756650.00699999998</v>
      </c>
      <c r="R49" s="1013">
        <f>'Govt &amp; External'!H127</f>
        <v>1008211.2585616439</v>
      </c>
      <c r="S49" s="1013">
        <f>'Govt &amp; External'!I127</f>
        <v>1281495.102739726</v>
      </c>
      <c r="T49" s="1014">
        <f>SUM(Q49:S49)</f>
        <v>3046356.3683013702</v>
      </c>
      <c r="U49" s="1013">
        <f>SUM(M49,Q49,L49)</f>
        <v>2996251.327</v>
      </c>
      <c r="V49" s="1013">
        <f t="shared" ref="V49" si="121">SUM(N49,R49)</f>
        <v>3437184.3585616439</v>
      </c>
      <c r="W49" s="1013">
        <f t="shared" ref="W49" si="122">SUM(O49,S49)</f>
        <v>2814434.1027397262</v>
      </c>
      <c r="X49" s="1014">
        <f>SUM(U49:W49)</f>
        <v>9247869.788301371</v>
      </c>
      <c r="Y49" s="1013">
        <f>D49-SUM(H49,U49)</f>
        <v>336711.14444960281</v>
      </c>
      <c r="Z49" s="1013">
        <f>E49-SUM(I49,V49)</f>
        <v>467382.7354111746</v>
      </c>
      <c r="AA49" s="1013">
        <f>F49-SUM(J49,W49)</f>
        <v>1168815.0856340006</v>
      </c>
      <c r="AB49" s="1014">
        <f>SUM(Y49:AA49)</f>
        <v>1972908.965494778</v>
      </c>
      <c r="AC49" s="822"/>
      <c r="AE49" s="995"/>
      <c r="AF49" s="995"/>
      <c r="AG49" s="995"/>
      <c r="AH49" s="995"/>
      <c r="AI49" s="995"/>
    </row>
    <row r="50" spans="1:35">
      <c r="A50" s="341">
        <v>2.1</v>
      </c>
      <c r="B50" s="342" t="s">
        <v>1250</v>
      </c>
      <c r="C50" s="343"/>
      <c r="D50" s="1015">
        <f>SUM(D51:D62)</f>
        <v>1274501</v>
      </c>
      <c r="E50" s="1015">
        <f t="shared" ref="E50:F50" si="123">SUM(E51:E62)</f>
        <v>1193069.3999999999</v>
      </c>
      <c r="F50" s="1015">
        <f t="shared" si="123"/>
        <v>1170525.8</v>
      </c>
      <c r="G50" s="1016">
        <f>SUM(G51:G62)</f>
        <v>3638096.2</v>
      </c>
      <c r="H50" s="1015">
        <f>SUM(H51:H62)</f>
        <v>0</v>
      </c>
      <c r="I50" s="1015">
        <f t="shared" ref="I50" si="124">SUM(I51:I62)</f>
        <v>0</v>
      </c>
      <c r="J50" s="1015">
        <f t="shared" ref="J50" si="125">SUM(J51:J62)</f>
        <v>0</v>
      </c>
      <c r="K50" s="1016">
        <f>SUM(K51:K62)</f>
        <v>0</v>
      </c>
      <c r="L50" s="1043"/>
      <c r="M50" s="1015">
        <f t="shared" ref="M50:AB50" si="126">SUM(M51:M61)</f>
        <v>0</v>
      </c>
      <c r="N50" s="1015">
        <f t="shared" si="126"/>
        <v>0</v>
      </c>
      <c r="O50" s="1015">
        <f t="shared" si="126"/>
        <v>0</v>
      </c>
      <c r="P50" s="1016">
        <f t="shared" si="126"/>
        <v>0</v>
      </c>
      <c r="Q50" s="1015">
        <f t="shared" si="126"/>
        <v>0</v>
      </c>
      <c r="R50" s="1015">
        <f t="shared" si="126"/>
        <v>0</v>
      </c>
      <c r="S50" s="1015">
        <f t="shared" si="126"/>
        <v>0</v>
      </c>
      <c r="T50" s="1016">
        <f t="shared" si="126"/>
        <v>0</v>
      </c>
      <c r="U50" s="1015">
        <f t="shared" si="126"/>
        <v>0</v>
      </c>
      <c r="V50" s="1015">
        <f t="shared" si="126"/>
        <v>0</v>
      </c>
      <c r="W50" s="1015">
        <f t="shared" si="126"/>
        <v>0</v>
      </c>
      <c r="X50" s="1016">
        <f t="shared" si="126"/>
        <v>0</v>
      </c>
      <c r="Y50" s="1015">
        <f t="shared" si="126"/>
        <v>0</v>
      </c>
      <c r="Z50" s="1015">
        <f t="shared" si="126"/>
        <v>0</v>
      </c>
      <c r="AA50" s="1015">
        <f t="shared" si="126"/>
        <v>0</v>
      </c>
      <c r="AB50" s="1016">
        <f t="shared" si="126"/>
        <v>0</v>
      </c>
      <c r="AC50" s="330"/>
    </row>
    <row r="51" spans="1:35">
      <c r="A51" s="941" t="s">
        <v>342</v>
      </c>
      <c r="B51" s="541" t="s">
        <v>1369</v>
      </c>
      <c r="C51" s="346" t="s">
        <v>1005</v>
      </c>
      <c r="D51" s="1017">
        <f>'NSP Detailed Budget'!D321</f>
        <v>98612</v>
      </c>
      <c r="E51" s="1017">
        <f>'NSP Detailed Budget'!E321</f>
        <v>90032.400000000009</v>
      </c>
      <c r="F51" s="1017">
        <f>'NSP Detailed Budget'!F321</f>
        <v>85368.8</v>
      </c>
      <c r="G51" s="1018">
        <f>SUM(D51:F51)</f>
        <v>274013.2</v>
      </c>
      <c r="H51" s="1017"/>
      <c r="I51" s="1017"/>
      <c r="J51" s="1017"/>
      <c r="K51" s="1018">
        <f>SUM(H51:J51)</f>
        <v>0</v>
      </c>
      <c r="L51" s="1044"/>
      <c r="M51" s="1017"/>
      <c r="N51" s="1017"/>
      <c r="O51" s="1017"/>
      <c r="P51" s="1018">
        <f>SUM(M51:O51)</f>
        <v>0</v>
      </c>
      <c r="Q51" s="1017"/>
      <c r="R51" s="1017"/>
      <c r="S51" s="1017"/>
      <c r="T51" s="1018">
        <f>SUM(Q51:S51)</f>
        <v>0</v>
      </c>
      <c r="U51" s="1017"/>
      <c r="V51" s="1017"/>
      <c r="W51" s="1017"/>
      <c r="X51" s="1018">
        <f>SUM(U51:W51)</f>
        <v>0</v>
      </c>
      <c r="Y51" s="1017"/>
      <c r="Z51" s="1017"/>
      <c r="AA51" s="1017"/>
      <c r="AB51" s="1018">
        <f>SUM(Y51:AA51)</f>
        <v>0</v>
      </c>
      <c r="AC51" s="330"/>
    </row>
    <row r="52" spans="1:35">
      <c r="A52" s="941" t="s">
        <v>343</v>
      </c>
      <c r="B52" s="541" t="s">
        <v>1370</v>
      </c>
      <c r="C52" s="346" t="s">
        <v>1005</v>
      </c>
      <c r="D52" s="1017">
        <f>'NSP Detailed Budget'!D326</f>
        <v>37859</v>
      </c>
      <c r="E52" s="1017">
        <f>'NSP Detailed Budget'!E326</f>
        <v>32657</v>
      </c>
      <c r="F52" s="1017">
        <f>'NSP Detailed Budget'!F326</f>
        <v>29767</v>
      </c>
      <c r="G52" s="1018">
        <f t="shared" ref="G52" si="127">SUM(D52:F52)</f>
        <v>100283</v>
      </c>
      <c r="H52" s="1017"/>
      <c r="I52" s="1017"/>
      <c r="J52" s="1017"/>
      <c r="K52" s="1018">
        <f t="shared" ref="K52" si="128">SUM(H52:J52)</f>
        <v>0</v>
      </c>
      <c r="L52" s="1044"/>
      <c r="M52" s="1017"/>
      <c r="N52" s="1017"/>
      <c r="O52" s="1017"/>
      <c r="P52" s="1018">
        <f t="shared" ref="P52" si="129">SUM(M52:O52)</f>
        <v>0</v>
      </c>
      <c r="Q52" s="1017"/>
      <c r="R52" s="1017"/>
      <c r="S52" s="1017"/>
      <c r="T52" s="1018">
        <f t="shared" ref="T52" si="130">SUM(Q52:S52)</f>
        <v>0</v>
      </c>
      <c r="U52" s="1017"/>
      <c r="V52" s="1017"/>
      <c r="W52" s="1017"/>
      <c r="X52" s="1018">
        <f t="shared" ref="X52" si="131">SUM(U52:W52)</f>
        <v>0</v>
      </c>
      <c r="Y52" s="1017"/>
      <c r="Z52" s="1017"/>
      <c r="AA52" s="1017"/>
      <c r="AB52" s="1018">
        <f t="shared" ref="AB52" si="132">SUM(Y52:AA52)</f>
        <v>0</v>
      </c>
      <c r="AC52" s="330"/>
    </row>
    <row r="53" spans="1:35">
      <c r="A53" s="941" t="s">
        <v>344</v>
      </c>
      <c r="B53" s="541" t="s">
        <v>1371</v>
      </c>
      <c r="C53" s="346" t="s">
        <v>1005</v>
      </c>
      <c r="D53" s="1017">
        <f>'NSP Detailed Budget'!D331</f>
        <v>504240</v>
      </c>
      <c r="E53" s="1017">
        <f>'NSP Detailed Budget'!E331</f>
        <v>469860</v>
      </c>
      <c r="F53" s="1017">
        <f>'NSP Detailed Budget'!F331</f>
        <v>454580</v>
      </c>
      <c r="G53" s="1018">
        <f>SUM(D53:F53)</f>
        <v>1428680</v>
      </c>
      <c r="H53" s="1017"/>
      <c r="I53" s="1017"/>
      <c r="J53" s="1017"/>
      <c r="K53" s="1018">
        <f>SUM(H53:J53)</f>
        <v>0</v>
      </c>
      <c r="L53" s="1044"/>
      <c r="M53" s="1017"/>
      <c r="N53" s="1017"/>
      <c r="O53" s="1017"/>
      <c r="P53" s="1018">
        <f>SUM(M53:O53)</f>
        <v>0</v>
      </c>
      <c r="Q53" s="1017"/>
      <c r="R53" s="1017"/>
      <c r="S53" s="1017"/>
      <c r="T53" s="1018">
        <f>SUM(Q53:S53)</f>
        <v>0</v>
      </c>
      <c r="U53" s="1017"/>
      <c r="V53" s="1017"/>
      <c r="W53" s="1017"/>
      <c r="X53" s="1018">
        <f>SUM(U53:W53)</f>
        <v>0</v>
      </c>
      <c r="Y53" s="1017"/>
      <c r="Z53" s="1017"/>
      <c r="AA53" s="1017"/>
      <c r="AB53" s="1018">
        <f>SUM(Y53:AA53)</f>
        <v>0</v>
      </c>
      <c r="AC53" s="330"/>
    </row>
    <row r="54" spans="1:35">
      <c r="A54" s="941" t="s">
        <v>345</v>
      </c>
      <c r="B54" s="541" t="s">
        <v>1372</v>
      </c>
      <c r="C54" s="346" t="s">
        <v>1005</v>
      </c>
      <c r="D54" s="1017">
        <f>'NSP Detailed Budget'!D336</f>
        <v>35090</v>
      </c>
      <c r="E54" s="1017">
        <f>'NSP Detailed Budget'!E336</f>
        <v>32670</v>
      </c>
      <c r="F54" s="1017">
        <f>'NSP Detailed Budget'!F336</f>
        <v>32670</v>
      </c>
      <c r="G54" s="1018">
        <f t="shared" ref="G54:G55" si="133">SUM(D54:F54)</f>
        <v>100430</v>
      </c>
      <c r="H54" s="1017"/>
      <c r="I54" s="1017"/>
      <c r="J54" s="1017"/>
      <c r="K54" s="1018">
        <f t="shared" ref="K54:K55" si="134">SUM(H54:J54)</f>
        <v>0</v>
      </c>
      <c r="L54" s="1044"/>
      <c r="M54" s="1017"/>
      <c r="N54" s="1017"/>
      <c r="O54" s="1017"/>
      <c r="P54" s="1018">
        <f t="shared" ref="P54:P55" si="135">SUM(M54:O54)</f>
        <v>0</v>
      </c>
      <c r="Q54" s="1017"/>
      <c r="R54" s="1017"/>
      <c r="S54" s="1017"/>
      <c r="T54" s="1018">
        <f t="shared" ref="T54:T55" si="136">SUM(Q54:S54)</f>
        <v>0</v>
      </c>
      <c r="U54" s="1017"/>
      <c r="V54" s="1017"/>
      <c r="W54" s="1017"/>
      <c r="X54" s="1018">
        <f t="shared" ref="X54:X55" si="137">SUM(U54:W54)</f>
        <v>0</v>
      </c>
      <c r="Y54" s="1017"/>
      <c r="Z54" s="1017"/>
      <c r="AA54" s="1017"/>
      <c r="AB54" s="1018">
        <f t="shared" ref="AB54:AB55" si="138">SUM(Y54:AA54)</f>
        <v>0</v>
      </c>
      <c r="AC54" s="330"/>
    </row>
    <row r="55" spans="1:35">
      <c r="A55" s="941" t="s">
        <v>346</v>
      </c>
      <c r="B55" s="541" t="s">
        <v>1373</v>
      </c>
      <c r="C55" s="346" t="s">
        <v>1005</v>
      </c>
      <c r="D55" s="1017">
        <f>'NSP Detailed Budget'!D341</f>
        <v>505700</v>
      </c>
      <c r="E55" s="1017">
        <f>'NSP Detailed Budget'!E341</f>
        <v>486250</v>
      </c>
      <c r="F55" s="1017">
        <f>'NSP Detailed Budget'!F341</f>
        <v>490140</v>
      </c>
      <c r="G55" s="1018">
        <f t="shared" si="133"/>
        <v>1482090</v>
      </c>
      <c r="H55" s="1017"/>
      <c r="I55" s="1017"/>
      <c r="J55" s="1017"/>
      <c r="K55" s="1018">
        <f t="shared" si="134"/>
        <v>0</v>
      </c>
      <c r="L55" s="1044"/>
      <c r="M55" s="1017"/>
      <c r="N55" s="1017"/>
      <c r="O55" s="1017"/>
      <c r="P55" s="1018">
        <f t="shared" si="135"/>
        <v>0</v>
      </c>
      <c r="Q55" s="1017"/>
      <c r="R55" s="1017"/>
      <c r="S55" s="1017"/>
      <c r="T55" s="1018">
        <f t="shared" si="136"/>
        <v>0</v>
      </c>
      <c r="U55" s="1017"/>
      <c r="V55" s="1017"/>
      <c r="W55" s="1017"/>
      <c r="X55" s="1018">
        <f t="shared" si="137"/>
        <v>0</v>
      </c>
      <c r="Y55" s="1017"/>
      <c r="Z55" s="1017"/>
      <c r="AA55" s="1017"/>
      <c r="AB55" s="1018">
        <f t="shared" si="138"/>
        <v>0</v>
      </c>
      <c r="AC55" s="330"/>
    </row>
    <row r="56" spans="1:35">
      <c r="A56" s="941" t="s">
        <v>347</v>
      </c>
      <c r="B56" s="541" t="s">
        <v>1382</v>
      </c>
      <c r="C56" s="346" t="s">
        <v>1631</v>
      </c>
      <c r="D56" s="1017">
        <f>'NSP Detailed Budget'!D345</f>
        <v>6000</v>
      </c>
      <c r="E56" s="1017">
        <f>'NSP Detailed Budget'!E345</f>
        <v>6000</v>
      </c>
      <c r="F56" s="1017">
        <f>'NSP Detailed Budget'!F345</f>
        <v>6000</v>
      </c>
      <c r="G56" s="1018">
        <f>SUM(D56:F56)</f>
        <v>18000</v>
      </c>
      <c r="H56" s="1017"/>
      <c r="I56" s="1017"/>
      <c r="J56" s="1017"/>
      <c r="K56" s="1018">
        <f>SUM(H56:J56)</f>
        <v>0</v>
      </c>
      <c r="L56" s="1044"/>
      <c r="M56" s="1017"/>
      <c r="N56" s="1017"/>
      <c r="O56" s="1017"/>
      <c r="P56" s="1018">
        <f>SUM(M56:O56)</f>
        <v>0</v>
      </c>
      <c r="Q56" s="1017"/>
      <c r="R56" s="1017"/>
      <c r="S56" s="1017"/>
      <c r="T56" s="1018">
        <f>SUM(Q56:S56)</f>
        <v>0</v>
      </c>
      <c r="U56" s="1017"/>
      <c r="V56" s="1017"/>
      <c r="W56" s="1017"/>
      <c r="X56" s="1018">
        <f>SUM(U56:W56)</f>
        <v>0</v>
      </c>
      <c r="Y56" s="1017"/>
      <c r="Z56" s="1017"/>
      <c r="AA56" s="1017"/>
      <c r="AB56" s="1018">
        <f>SUM(Y56:AA56)</f>
        <v>0</v>
      </c>
      <c r="AC56" s="330"/>
    </row>
    <row r="57" spans="1:35" ht="30">
      <c r="A57" s="941" t="s">
        <v>348</v>
      </c>
      <c r="B57" s="541" t="s">
        <v>1445</v>
      </c>
      <c r="C57" s="346" t="s">
        <v>998</v>
      </c>
      <c r="D57" s="1017">
        <f>'NSP Detailed Budget'!D350</f>
        <v>30000</v>
      </c>
      <c r="E57" s="1017">
        <f>'NSP Detailed Budget'!E350</f>
        <v>15000</v>
      </c>
      <c r="F57" s="1017">
        <f>'NSP Detailed Budget'!F350</f>
        <v>15000</v>
      </c>
      <c r="G57" s="1018">
        <f t="shared" ref="G57:G58" si="139">SUM(D57:F57)</f>
        <v>60000</v>
      </c>
      <c r="H57" s="1017"/>
      <c r="I57" s="1017"/>
      <c r="J57" s="1017"/>
      <c r="K57" s="1018">
        <f t="shared" ref="K57:K58" si="140">SUM(H57:J57)</f>
        <v>0</v>
      </c>
      <c r="L57" s="1044"/>
      <c r="M57" s="1017"/>
      <c r="N57" s="1017"/>
      <c r="O57" s="1017"/>
      <c r="P57" s="1018">
        <f t="shared" ref="P57:P58" si="141">SUM(M57:O57)</f>
        <v>0</v>
      </c>
      <c r="Q57" s="1017"/>
      <c r="R57" s="1017"/>
      <c r="S57" s="1017"/>
      <c r="T57" s="1018">
        <f t="shared" ref="T57:T58" si="142">SUM(Q57:S57)</f>
        <v>0</v>
      </c>
      <c r="U57" s="1017"/>
      <c r="V57" s="1017"/>
      <c r="W57" s="1017"/>
      <c r="X57" s="1018">
        <f t="shared" ref="X57:X58" si="143">SUM(U57:W57)</f>
        <v>0</v>
      </c>
      <c r="Y57" s="1017"/>
      <c r="Z57" s="1017"/>
      <c r="AA57" s="1017"/>
      <c r="AB57" s="1018">
        <f t="shared" ref="AB57:AB58" si="144">SUM(Y57:AA57)</f>
        <v>0</v>
      </c>
      <c r="AC57" s="330"/>
    </row>
    <row r="58" spans="1:35">
      <c r="A58" s="941" t="s">
        <v>349</v>
      </c>
      <c r="B58" s="541" t="s">
        <v>1446</v>
      </c>
      <c r="C58" s="346" t="s">
        <v>1000</v>
      </c>
      <c r="D58" s="1017">
        <f>'NSP Detailed Budget'!D355</f>
        <v>7200</v>
      </c>
      <c r="E58" s="1017">
        <f>'NSP Detailed Budget'!E355</f>
        <v>10800</v>
      </c>
      <c r="F58" s="1017">
        <f>'NSP Detailed Budget'!F355</f>
        <v>7200</v>
      </c>
      <c r="G58" s="1018">
        <f t="shared" si="139"/>
        <v>25200</v>
      </c>
      <c r="H58" s="1017"/>
      <c r="I58" s="1017"/>
      <c r="J58" s="1017"/>
      <c r="K58" s="1018">
        <f t="shared" si="140"/>
        <v>0</v>
      </c>
      <c r="L58" s="1044"/>
      <c r="M58" s="1017"/>
      <c r="N58" s="1017"/>
      <c r="O58" s="1017"/>
      <c r="P58" s="1018">
        <f t="shared" si="141"/>
        <v>0</v>
      </c>
      <c r="Q58" s="1017"/>
      <c r="R58" s="1017"/>
      <c r="S58" s="1017"/>
      <c r="T58" s="1018">
        <f t="shared" si="142"/>
        <v>0</v>
      </c>
      <c r="U58" s="1017"/>
      <c r="V58" s="1017"/>
      <c r="W58" s="1017"/>
      <c r="X58" s="1018">
        <f t="shared" si="143"/>
        <v>0</v>
      </c>
      <c r="Y58" s="1017"/>
      <c r="Z58" s="1017"/>
      <c r="AA58" s="1017"/>
      <c r="AB58" s="1018">
        <f t="shared" si="144"/>
        <v>0</v>
      </c>
      <c r="AC58" s="330"/>
    </row>
    <row r="59" spans="1:35">
      <c r="A59" s="941" t="s">
        <v>1367</v>
      </c>
      <c r="B59" s="541" t="s">
        <v>1447</v>
      </c>
      <c r="C59" s="346" t="s">
        <v>1002</v>
      </c>
      <c r="D59" s="1017">
        <f>'NSP Detailed Budget'!D360</f>
        <v>7200</v>
      </c>
      <c r="E59" s="1017">
        <f>'NSP Detailed Budget'!E360</f>
        <v>7200</v>
      </c>
      <c r="F59" s="1017">
        <f>'NSP Detailed Budget'!F360</f>
        <v>7200</v>
      </c>
      <c r="G59" s="1018">
        <f>SUM(D59:F59)</f>
        <v>21600</v>
      </c>
      <c r="H59" s="1017"/>
      <c r="I59" s="1017"/>
      <c r="J59" s="1017"/>
      <c r="K59" s="1018">
        <f>SUM(H59:J59)</f>
        <v>0</v>
      </c>
      <c r="L59" s="1044"/>
      <c r="M59" s="1017"/>
      <c r="N59" s="1017"/>
      <c r="O59" s="1017"/>
      <c r="P59" s="1018">
        <f>SUM(M59:O59)</f>
        <v>0</v>
      </c>
      <c r="Q59" s="1017"/>
      <c r="R59" s="1017"/>
      <c r="S59" s="1017"/>
      <c r="T59" s="1018">
        <f>SUM(Q59:S59)</f>
        <v>0</v>
      </c>
      <c r="U59" s="1017"/>
      <c r="V59" s="1017"/>
      <c r="W59" s="1017"/>
      <c r="X59" s="1018">
        <f>SUM(U59:W59)</f>
        <v>0</v>
      </c>
      <c r="Y59" s="1017"/>
      <c r="Z59" s="1017"/>
      <c r="AA59" s="1017"/>
      <c r="AB59" s="1018">
        <f>SUM(Y59:AA59)</f>
        <v>0</v>
      </c>
      <c r="AC59" s="330"/>
    </row>
    <row r="60" spans="1:35">
      <c r="A60" s="941" t="s">
        <v>1256</v>
      </c>
      <c r="B60" s="541" t="s">
        <v>1448</v>
      </c>
      <c r="C60" s="346" t="s">
        <v>754</v>
      </c>
      <c r="D60" s="1017">
        <f>'NSP Detailed Budget'!D367</f>
        <v>7000</v>
      </c>
      <c r="E60" s="1017">
        <f>'NSP Detailed Budget'!E367</f>
        <v>7000</v>
      </c>
      <c r="F60" s="1017">
        <f>'NSP Detailed Budget'!F367</f>
        <v>7000</v>
      </c>
      <c r="G60" s="1018">
        <f t="shared" ref="G60:G61" si="145">SUM(D60:F60)</f>
        <v>21000</v>
      </c>
      <c r="H60" s="1017"/>
      <c r="I60" s="1017"/>
      <c r="J60" s="1017"/>
      <c r="K60" s="1018">
        <f t="shared" ref="K60:K61" si="146">SUM(H60:J60)</f>
        <v>0</v>
      </c>
      <c r="L60" s="1044"/>
      <c r="M60" s="1017"/>
      <c r="N60" s="1017"/>
      <c r="O60" s="1017"/>
      <c r="P60" s="1018">
        <f t="shared" ref="P60:P61" si="147">SUM(M60:O60)</f>
        <v>0</v>
      </c>
      <c r="Q60" s="1017"/>
      <c r="R60" s="1017"/>
      <c r="S60" s="1017"/>
      <c r="T60" s="1018">
        <f t="shared" ref="T60:T61" si="148">SUM(Q60:S60)</f>
        <v>0</v>
      </c>
      <c r="U60" s="1017"/>
      <c r="V60" s="1017"/>
      <c r="W60" s="1017"/>
      <c r="X60" s="1018">
        <f t="shared" ref="X60:X61" si="149">SUM(U60:W60)</f>
        <v>0</v>
      </c>
      <c r="Y60" s="1017"/>
      <c r="Z60" s="1017"/>
      <c r="AA60" s="1017"/>
      <c r="AB60" s="1018">
        <f t="shared" ref="AB60:AB61" si="150">SUM(Y60:AA60)</f>
        <v>0</v>
      </c>
      <c r="AC60" s="330"/>
    </row>
    <row r="61" spans="1:35">
      <c r="A61" s="941" t="s">
        <v>1368</v>
      </c>
      <c r="B61" s="345" t="s">
        <v>1452</v>
      </c>
      <c r="C61" s="346" t="s">
        <v>1001</v>
      </c>
      <c r="D61" s="1017">
        <f>'NSP Detailed Budget'!D371</f>
        <v>20000</v>
      </c>
      <c r="E61" s="1017">
        <f>'NSP Detailed Budget'!E371</f>
        <v>20000</v>
      </c>
      <c r="F61" s="1017">
        <f>'NSP Detailed Budget'!F371</f>
        <v>20000</v>
      </c>
      <c r="G61" s="1018">
        <f t="shared" si="145"/>
        <v>60000</v>
      </c>
      <c r="H61" s="1017"/>
      <c r="I61" s="1017"/>
      <c r="J61" s="1017"/>
      <c r="K61" s="1018">
        <f t="shared" si="146"/>
        <v>0</v>
      </c>
      <c r="L61" s="1044"/>
      <c r="M61" s="1017"/>
      <c r="N61" s="1017"/>
      <c r="O61" s="1017"/>
      <c r="P61" s="1018">
        <f t="shared" si="147"/>
        <v>0</v>
      </c>
      <c r="Q61" s="1017"/>
      <c r="R61" s="1017"/>
      <c r="S61" s="1017"/>
      <c r="T61" s="1018">
        <f t="shared" si="148"/>
        <v>0</v>
      </c>
      <c r="U61" s="1017"/>
      <c r="V61" s="1017"/>
      <c r="W61" s="1017"/>
      <c r="X61" s="1018">
        <f t="shared" si="149"/>
        <v>0</v>
      </c>
      <c r="Y61" s="1017"/>
      <c r="Z61" s="1017"/>
      <c r="AA61" s="1017"/>
      <c r="AB61" s="1018">
        <f t="shared" si="150"/>
        <v>0</v>
      </c>
      <c r="AC61" s="330"/>
    </row>
    <row r="62" spans="1:35" ht="30">
      <c r="A62" s="833" t="s">
        <v>1805</v>
      </c>
      <c r="B62" s="966" t="s">
        <v>1806</v>
      </c>
      <c r="C62" s="346" t="s">
        <v>1001</v>
      </c>
      <c r="D62" s="1017">
        <f>'NSP Detailed Budget'!D375</f>
        <v>15600</v>
      </c>
      <c r="E62" s="1017">
        <f>'NSP Detailed Budget'!E375</f>
        <v>15600</v>
      </c>
      <c r="F62" s="1017">
        <f>'NSP Detailed Budget'!F375</f>
        <v>15600</v>
      </c>
      <c r="G62" s="1018">
        <f t="shared" ref="G62" si="151">SUM(D62:F62)</f>
        <v>46800</v>
      </c>
      <c r="H62" s="1017"/>
      <c r="I62" s="1017"/>
      <c r="J62" s="1017"/>
      <c r="K62" s="1018">
        <f t="shared" ref="K62" si="152">SUM(H62:J62)</f>
        <v>0</v>
      </c>
      <c r="L62" s="1044"/>
      <c r="M62" s="1017"/>
      <c r="N62" s="1017"/>
      <c r="O62" s="1017"/>
      <c r="P62" s="1018">
        <f t="shared" ref="P62" si="153">SUM(M62:O62)</f>
        <v>0</v>
      </c>
      <c r="Q62" s="1017"/>
      <c r="R62" s="1017"/>
      <c r="S62" s="1017"/>
      <c r="T62" s="1018">
        <f t="shared" ref="T62" si="154">SUM(Q62:S62)</f>
        <v>0</v>
      </c>
      <c r="U62" s="1017"/>
      <c r="V62" s="1017"/>
      <c r="W62" s="1017"/>
      <c r="X62" s="1018">
        <f t="shared" ref="X62" si="155">SUM(U62:W62)</f>
        <v>0</v>
      </c>
      <c r="Y62" s="1017"/>
      <c r="Z62" s="1017"/>
      <c r="AA62" s="1017"/>
      <c r="AB62" s="1018">
        <f t="shared" ref="AB62" si="156">SUM(Y62:AA62)</f>
        <v>0</v>
      </c>
      <c r="AC62" s="330"/>
    </row>
    <row r="63" spans="1:35">
      <c r="A63" s="341">
        <v>2.2000000000000002</v>
      </c>
      <c r="B63" s="342" t="s">
        <v>1251</v>
      </c>
      <c r="C63" s="343"/>
      <c r="D63" s="1015">
        <f t="shared" ref="D63:AB63" si="157">SUM(D64:D70)</f>
        <v>874429.6</v>
      </c>
      <c r="E63" s="1015">
        <f t="shared" si="157"/>
        <v>953178.88</v>
      </c>
      <c r="F63" s="1015">
        <f t="shared" si="157"/>
        <v>981909.76</v>
      </c>
      <c r="G63" s="1016">
        <f t="shared" si="157"/>
        <v>2809518.24</v>
      </c>
      <c r="H63" s="1015">
        <f t="shared" si="157"/>
        <v>0</v>
      </c>
      <c r="I63" s="1015">
        <f t="shared" si="157"/>
        <v>0</v>
      </c>
      <c r="J63" s="1015">
        <f t="shared" si="157"/>
        <v>0</v>
      </c>
      <c r="K63" s="1016">
        <f t="shared" si="157"/>
        <v>0</v>
      </c>
      <c r="L63" s="1043"/>
      <c r="M63" s="1015">
        <f t="shared" si="157"/>
        <v>0</v>
      </c>
      <c r="N63" s="1015">
        <f t="shared" si="157"/>
        <v>0</v>
      </c>
      <c r="O63" s="1015">
        <f t="shared" si="157"/>
        <v>0</v>
      </c>
      <c r="P63" s="1016">
        <f t="shared" si="157"/>
        <v>0</v>
      </c>
      <c r="Q63" s="1015">
        <f t="shared" si="157"/>
        <v>0</v>
      </c>
      <c r="R63" s="1015">
        <f t="shared" si="157"/>
        <v>0</v>
      </c>
      <c r="S63" s="1015">
        <f t="shared" si="157"/>
        <v>0</v>
      </c>
      <c r="T63" s="1016">
        <f t="shared" si="157"/>
        <v>0</v>
      </c>
      <c r="U63" s="1015">
        <f t="shared" si="157"/>
        <v>0</v>
      </c>
      <c r="V63" s="1015">
        <f t="shared" si="157"/>
        <v>0</v>
      </c>
      <c r="W63" s="1015">
        <f t="shared" si="157"/>
        <v>0</v>
      </c>
      <c r="X63" s="1016">
        <f t="shared" si="157"/>
        <v>0</v>
      </c>
      <c r="Y63" s="1015">
        <f t="shared" si="157"/>
        <v>0</v>
      </c>
      <c r="Z63" s="1015">
        <f t="shared" si="157"/>
        <v>0</v>
      </c>
      <c r="AA63" s="1015">
        <f t="shared" si="157"/>
        <v>0</v>
      </c>
      <c r="AB63" s="1016">
        <f t="shared" si="157"/>
        <v>0</v>
      </c>
      <c r="AC63" s="330"/>
    </row>
    <row r="64" spans="1:35">
      <c r="A64" s="833" t="s">
        <v>350</v>
      </c>
      <c r="B64" s="345" t="s">
        <v>1500</v>
      </c>
      <c r="C64" s="346" t="s">
        <v>1632</v>
      </c>
      <c r="D64" s="1017">
        <f>'NSP Detailed Budget'!D425</f>
        <v>570837.6</v>
      </c>
      <c r="E64" s="1017">
        <f>'NSP Detailed Budget'!E425</f>
        <v>529812</v>
      </c>
      <c r="F64" s="1017">
        <f>'NSP Detailed Budget'!F425</f>
        <v>513067.2</v>
      </c>
      <c r="G64" s="1018">
        <f t="shared" ref="G64" si="158">SUM(D64:F64)</f>
        <v>1613716.8</v>
      </c>
      <c r="H64" s="1017"/>
      <c r="I64" s="1017"/>
      <c r="J64" s="1017"/>
      <c r="K64" s="1018">
        <f t="shared" ref="K64" si="159">SUM(H64:J64)</f>
        <v>0</v>
      </c>
      <c r="L64" s="1044"/>
      <c r="M64" s="1017"/>
      <c r="N64" s="1017"/>
      <c r="O64" s="1017"/>
      <c r="P64" s="1018">
        <f t="shared" ref="P64" si="160">SUM(M64:O64)</f>
        <v>0</v>
      </c>
      <c r="Q64" s="1017"/>
      <c r="R64" s="1017"/>
      <c r="S64" s="1017"/>
      <c r="T64" s="1018">
        <f t="shared" ref="T64" si="161">SUM(Q64:S64)</f>
        <v>0</v>
      </c>
      <c r="U64" s="1017"/>
      <c r="V64" s="1017"/>
      <c r="W64" s="1017"/>
      <c r="X64" s="1018">
        <f t="shared" ref="X64" si="162">SUM(U64:W64)</f>
        <v>0</v>
      </c>
      <c r="Y64" s="1017"/>
      <c r="Z64" s="1017"/>
      <c r="AA64" s="1017"/>
      <c r="AB64" s="1018">
        <f t="shared" ref="AB64" si="163">SUM(Y64:AA64)</f>
        <v>0</v>
      </c>
      <c r="AC64" s="330"/>
    </row>
    <row r="65" spans="1:29">
      <c r="A65" s="833" t="s">
        <v>351</v>
      </c>
      <c r="B65" s="345" t="s">
        <v>1501</v>
      </c>
      <c r="C65" s="346" t="s">
        <v>1632</v>
      </c>
      <c r="D65" s="1017">
        <f>'NSP Detailed Budget'!D473</f>
        <v>86682</v>
      </c>
      <c r="E65" s="1017">
        <f>'NSP Detailed Budget'!E473</f>
        <v>80456.88</v>
      </c>
      <c r="F65" s="1017">
        <f>'NSP Detailed Budget'!F473</f>
        <v>77932.560000000012</v>
      </c>
      <c r="G65" s="1018">
        <f t="shared" ref="G65:G69" si="164">SUM(D65:F65)</f>
        <v>245071.44</v>
      </c>
      <c r="H65" s="1017"/>
      <c r="I65" s="1017"/>
      <c r="J65" s="1017"/>
      <c r="K65" s="1018">
        <f t="shared" ref="K65:K69" si="165">SUM(H65:J65)</f>
        <v>0</v>
      </c>
      <c r="L65" s="1044"/>
      <c r="M65" s="1017"/>
      <c r="N65" s="1017"/>
      <c r="O65" s="1017"/>
      <c r="P65" s="1018">
        <f t="shared" ref="P65:P69" si="166">SUM(M65:O65)</f>
        <v>0</v>
      </c>
      <c r="Q65" s="1017"/>
      <c r="R65" s="1017"/>
      <c r="S65" s="1017"/>
      <c r="T65" s="1018">
        <f t="shared" ref="T65:T69" si="167">SUM(Q65:S65)</f>
        <v>0</v>
      </c>
      <c r="U65" s="1017"/>
      <c r="V65" s="1017"/>
      <c r="W65" s="1017"/>
      <c r="X65" s="1018">
        <f t="shared" ref="X65:X69" si="168">SUM(U65:W65)</f>
        <v>0</v>
      </c>
      <c r="Y65" s="1017"/>
      <c r="Z65" s="1017"/>
      <c r="AA65" s="1017"/>
      <c r="AB65" s="1018">
        <f t="shared" ref="AB65:AB69" si="169">SUM(Y65:AA65)</f>
        <v>0</v>
      </c>
      <c r="AC65" s="330"/>
    </row>
    <row r="66" spans="1:29">
      <c r="A66" s="833" t="s">
        <v>352</v>
      </c>
      <c r="B66" s="1012" t="s">
        <v>1819</v>
      </c>
      <c r="C66" s="346" t="s">
        <v>1632</v>
      </c>
      <c r="D66" s="1017">
        <f>'NSP Detailed Budget'!D478</f>
        <v>80500</v>
      </c>
      <c r="E66" s="1017">
        <f>'NSP Detailed Budget'!E478</f>
        <v>80500</v>
      </c>
      <c r="F66" s="1017">
        <f>'NSP Detailed Budget'!F478</f>
        <v>80500</v>
      </c>
      <c r="G66" s="1018">
        <f t="shared" si="164"/>
        <v>241500</v>
      </c>
      <c r="H66" s="1017"/>
      <c r="I66" s="1017"/>
      <c r="J66" s="1017"/>
      <c r="K66" s="1018">
        <f t="shared" si="165"/>
        <v>0</v>
      </c>
      <c r="L66" s="1044"/>
      <c r="M66" s="1017"/>
      <c r="N66" s="1017"/>
      <c r="O66" s="1017"/>
      <c r="P66" s="1018">
        <f t="shared" si="166"/>
        <v>0</v>
      </c>
      <c r="Q66" s="1017"/>
      <c r="R66" s="1017"/>
      <c r="S66" s="1017"/>
      <c r="T66" s="1018">
        <f t="shared" si="167"/>
        <v>0</v>
      </c>
      <c r="U66" s="1017"/>
      <c r="V66" s="1017"/>
      <c r="W66" s="1017"/>
      <c r="X66" s="1018">
        <f t="shared" si="168"/>
        <v>0</v>
      </c>
      <c r="Y66" s="1017"/>
      <c r="Z66" s="1017"/>
      <c r="AA66" s="1017"/>
      <c r="AB66" s="1018">
        <f t="shared" si="169"/>
        <v>0</v>
      </c>
      <c r="AC66" s="330"/>
    </row>
    <row r="67" spans="1:29">
      <c r="A67" s="833" t="s">
        <v>353</v>
      </c>
      <c r="B67" s="1012" t="s">
        <v>1821</v>
      </c>
      <c r="C67" s="346" t="s">
        <v>770</v>
      </c>
      <c r="D67" s="1017">
        <f>'NSP Detailed Budget'!D483</f>
        <v>26410</v>
      </c>
      <c r="E67" s="1017">
        <f>'NSP Detailed Budget'!E483</f>
        <v>26410</v>
      </c>
      <c r="F67" s="1017">
        <f>'NSP Detailed Budget'!F483</f>
        <v>26410</v>
      </c>
      <c r="G67" s="1018">
        <f t="shared" ref="G67" si="170">SUM(D67:F67)</f>
        <v>79230</v>
      </c>
      <c r="H67" s="1017"/>
      <c r="I67" s="1017"/>
      <c r="J67" s="1017"/>
      <c r="K67" s="1018">
        <f t="shared" ref="K67" si="171">SUM(H67:J67)</f>
        <v>0</v>
      </c>
      <c r="L67" s="1044"/>
      <c r="M67" s="1017"/>
      <c r="N67" s="1017"/>
      <c r="O67" s="1017"/>
      <c r="P67" s="1018">
        <f t="shared" ref="P67" si="172">SUM(M67:O67)</f>
        <v>0</v>
      </c>
      <c r="Q67" s="1017"/>
      <c r="R67" s="1017"/>
      <c r="S67" s="1017"/>
      <c r="T67" s="1018">
        <f t="shared" ref="T67" si="173">SUM(Q67:S67)</f>
        <v>0</v>
      </c>
      <c r="U67" s="1017"/>
      <c r="V67" s="1017"/>
      <c r="W67" s="1017"/>
      <c r="X67" s="1018">
        <f t="shared" ref="X67" si="174">SUM(U67:W67)</f>
        <v>0</v>
      </c>
      <c r="Y67" s="1017"/>
      <c r="Z67" s="1017"/>
      <c r="AA67" s="1017"/>
      <c r="AB67" s="1018">
        <f t="shared" ref="AB67" si="175">SUM(Y67:AA67)</f>
        <v>0</v>
      </c>
      <c r="AC67" s="330"/>
    </row>
    <row r="68" spans="1:29">
      <c r="A68" s="833" t="s">
        <v>354</v>
      </c>
      <c r="B68" s="966" t="s">
        <v>1787</v>
      </c>
      <c r="C68" s="346" t="s">
        <v>1632</v>
      </c>
      <c r="D68" s="1017">
        <f>'NSP Detailed Budget'!D488</f>
        <v>80000</v>
      </c>
      <c r="E68" s="1017">
        <f>'NSP Detailed Budget'!E488</f>
        <v>160000</v>
      </c>
      <c r="F68" s="1017">
        <f>'NSP Detailed Budget'!F488</f>
        <v>160000</v>
      </c>
      <c r="G68" s="1018">
        <f t="shared" si="164"/>
        <v>400000</v>
      </c>
      <c r="H68" s="1017"/>
      <c r="I68" s="1017"/>
      <c r="J68" s="1017"/>
      <c r="K68" s="1018">
        <f t="shared" si="165"/>
        <v>0</v>
      </c>
      <c r="L68" s="1044"/>
      <c r="M68" s="1017"/>
      <c r="N68" s="1017"/>
      <c r="O68" s="1017"/>
      <c r="P68" s="1018">
        <f t="shared" si="166"/>
        <v>0</v>
      </c>
      <c r="Q68" s="1017"/>
      <c r="R68" s="1017"/>
      <c r="S68" s="1017"/>
      <c r="T68" s="1018">
        <f t="shared" si="167"/>
        <v>0</v>
      </c>
      <c r="U68" s="1017"/>
      <c r="V68" s="1017"/>
      <c r="W68" s="1017"/>
      <c r="X68" s="1018">
        <f t="shared" si="168"/>
        <v>0</v>
      </c>
      <c r="Y68" s="1017"/>
      <c r="Z68" s="1017"/>
      <c r="AA68" s="1017"/>
      <c r="AB68" s="1018">
        <f t="shared" si="169"/>
        <v>0</v>
      </c>
      <c r="AC68" s="330"/>
    </row>
    <row r="69" spans="1:29" ht="30">
      <c r="A69" s="833" t="s">
        <v>355</v>
      </c>
      <c r="B69" s="345" t="s">
        <v>1502</v>
      </c>
      <c r="C69" s="346" t="s">
        <v>1632</v>
      </c>
      <c r="D69" s="1017">
        <f>'NSP Detailed Budget'!D493</f>
        <v>30000</v>
      </c>
      <c r="E69" s="1017">
        <f>'NSP Detailed Budget'!E493</f>
        <v>60000</v>
      </c>
      <c r="F69" s="1017">
        <f>'NSP Detailed Budget'!F493</f>
        <v>60000</v>
      </c>
      <c r="G69" s="1018">
        <f t="shared" si="164"/>
        <v>150000</v>
      </c>
      <c r="H69" s="1017"/>
      <c r="I69" s="1017"/>
      <c r="J69" s="1017"/>
      <c r="K69" s="1018">
        <f t="shared" si="165"/>
        <v>0</v>
      </c>
      <c r="L69" s="1044"/>
      <c r="M69" s="1017"/>
      <c r="N69" s="1017"/>
      <c r="O69" s="1017"/>
      <c r="P69" s="1018">
        <f t="shared" si="166"/>
        <v>0</v>
      </c>
      <c r="Q69" s="1017"/>
      <c r="R69" s="1017"/>
      <c r="S69" s="1017"/>
      <c r="T69" s="1018">
        <f t="shared" si="167"/>
        <v>0</v>
      </c>
      <c r="U69" s="1017"/>
      <c r="V69" s="1017"/>
      <c r="W69" s="1017"/>
      <c r="X69" s="1018">
        <f t="shared" si="168"/>
        <v>0</v>
      </c>
      <c r="Y69" s="1017"/>
      <c r="Z69" s="1017"/>
      <c r="AA69" s="1017"/>
      <c r="AB69" s="1018">
        <f t="shared" si="169"/>
        <v>0</v>
      </c>
      <c r="AC69" s="330"/>
    </row>
    <row r="70" spans="1:29" ht="30">
      <c r="A70" s="833" t="s">
        <v>356</v>
      </c>
      <c r="B70" s="541" t="s">
        <v>1518</v>
      </c>
      <c r="C70" s="346" t="s">
        <v>770</v>
      </c>
      <c r="D70" s="1017">
        <f>'NSP Detailed Budget'!D498</f>
        <v>0</v>
      </c>
      <c r="E70" s="1017">
        <f>'NSP Detailed Budget'!E498</f>
        <v>16000</v>
      </c>
      <c r="F70" s="1017">
        <f>'NSP Detailed Budget'!F498</f>
        <v>64000</v>
      </c>
      <c r="G70" s="1018">
        <f t="shared" ref="G70" si="176">SUM(D70:F70)</f>
        <v>80000</v>
      </c>
      <c r="H70" s="1017"/>
      <c r="I70" s="1017"/>
      <c r="J70" s="1017"/>
      <c r="K70" s="1018">
        <f t="shared" ref="K70" si="177">SUM(H70:J70)</f>
        <v>0</v>
      </c>
      <c r="L70" s="1044"/>
      <c r="M70" s="1017"/>
      <c r="N70" s="1017"/>
      <c r="O70" s="1017"/>
      <c r="P70" s="1018">
        <f t="shared" ref="P70" si="178">SUM(M70:O70)</f>
        <v>0</v>
      </c>
      <c r="Q70" s="1017"/>
      <c r="R70" s="1017"/>
      <c r="S70" s="1017"/>
      <c r="T70" s="1018">
        <f t="shared" ref="T70" si="179">SUM(Q70:S70)</f>
        <v>0</v>
      </c>
      <c r="U70" s="1017"/>
      <c r="V70" s="1017"/>
      <c r="W70" s="1017"/>
      <c r="X70" s="1018">
        <f t="shared" ref="X70" si="180">SUM(U70:W70)</f>
        <v>0</v>
      </c>
      <c r="Y70" s="1017"/>
      <c r="Z70" s="1017"/>
      <c r="AA70" s="1017"/>
      <c r="AB70" s="1018">
        <f t="shared" ref="AB70" si="181">SUM(Y70:AA70)</f>
        <v>0</v>
      </c>
      <c r="AC70" s="330"/>
    </row>
    <row r="71" spans="1:29" ht="30">
      <c r="A71" s="341">
        <v>2.2999999999999998</v>
      </c>
      <c r="B71" s="342" t="s">
        <v>1252</v>
      </c>
      <c r="C71" s="343"/>
      <c r="D71" s="1015">
        <f t="shared" ref="D71:AB71" si="182">SUM(D72:D79)</f>
        <v>243418.01999999996</v>
      </c>
      <c r="E71" s="1015">
        <f t="shared" si="182"/>
        <v>232084.61599999998</v>
      </c>
      <c r="F71" s="1015">
        <f t="shared" si="182"/>
        <v>224042.383</v>
      </c>
      <c r="G71" s="1016">
        <f t="shared" si="182"/>
        <v>699545.01899999997</v>
      </c>
      <c r="H71" s="1015">
        <f t="shared" si="182"/>
        <v>0</v>
      </c>
      <c r="I71" s="1015">
        <f t="shared" si="182"/>
        <v>0</v>
      </c>
      <c r="J71" s="1015">
        <f t="shared" si="182"/>
        <v>0</v>
      </c>
      <c r="K71" s="1016">
        <f t="shared" si="182"/>
        <v>0</v>
      </c>
      <c r="L71" s="1043"/>
      <c r="M71" s="1015">
        <f t="shared" si="182"/>
        <v>0</v>
      </c>
      <c r="N71" s="1015">
        <f t="shared" si="182"/>
        <v>0</v>
      </c>
      <c r="O71" s="1015">
        <f t="shared" si="182"/>
        <v>0</v>
      </c>
      <c r="P71" s="1016">
        <f t="shared" si="182"/>
        <v>0</v>
      </c>
      <c r="Q71" s="1015">
        <f t="shared" si="182"/>
        <v>0</v>
      </c>
      <c r="R71" s="1015">
        <f t="shared" si="182"/>
        <v>0</v>
      </c>
      <c r="S71" s="1015">
        <f t="shared" si="182"/>
        <v>0</v>
      </c>
      <c r="T71" s="1016">
        <f t="shared" si="182"/>
        <v>0</v>
      </c>
      <c r="U71" s="1015">
        <f t="shared" si="182"/>
        <v>0</v>
      </c>
      <c r="V71" s="1015">
        <f t="shared" si="182"/>
        <v>0</v>
      </c>
      <c r="W71" s="1015">
        <f t="shared" si="182"/>
        <v>0</v>
      </c>
      <c r="X71" s="1016">
        <f t="shared" si="182"/>
        <v>0</v>
      </c>
      <c r="Y71" s="1015">
        <f t="shared" si="182"/>
        <v>0</v>
      </c>
      <c r="Z71" s="1015">
        <f t="shared" si="182"/>
        <v>0</v>
      </c>
      <c r="AA71" s="1015">
        <f t="shared" si="182"/>
        <v>0</v>
      </c>
      <c r="AB71" s="1016">
        <f t="shared" si="182"/>
        <v>0</v>
      </c>
      <c r="AC71" s="330"/>
    </row>
    <row r="72" spans="1:29" ht="30">
      <c r="A72" s="941" t="s">
        <v>358</v>
      </c>
      <c r="B72" s="596" t="s">
        <v>1527</v>
      </c>
      <c r="C72" s="346" t="s">
        <v>156</v>
      </c>
      <c r="D72" s="1017">
        <v>0</v>
      </c>
      <c r="E72" s="1017">
        <v>0</v>
      </c>
      <c r="F72" s="1017">
        <v>0</v>
      </c>
      <c r="G72" s="1018">
        <f>SUM(D72:F72)</f>
        <v>0</v>
      </c>
      <c r="H72" s="1017"/>
      <c r="I72" s="1017"/>
      <c r="J72" s="1017"/>
      <c r="K72" s="1018">
        <f>SUM(H72:J72)</f>
        <v>0</v>
      </c>
      <c r="L72" s="1044"/>
      <c r="M72" s="1017"/>
      <c r="N72" s="1017"/>
      <c r="O72" s="1017"/>
      <c r="P72" s="1018">
        <f>SUM(M72:O72)</f>
        <v>0</v>
      </c>
      <c r="Q72" s="1017"/>
      <c r="R72" s="1017"/>
      <c r="S72" s="1017"/>
      <c r="T72" s="1018">
        <f>SUM(Q72:S72)</f>
        <v>0</v>
      </c>
      <c r="U72" s="1017"/>
      <c r="V72" s="1017"/>
      <c r="W72" s="1017"/>
      <c r="X72" s="1018">
        <f>SUM(U72:W72)</f>
        <v>0</v>
      </c>
      <c r="Y72" s="1017"/>
      <c r="Z72" s="1017"/>
      <c r="AA72" s="1017"/>
      <c r="AB72" s="1018">
        <f>SUM(Y72:AA72)</f>
        <v>0</v>
      </c>
      <c r="AC72" s="330"/>
    </row>
    <row r="73" spans="1:29">
      <c r="A73" s="941" t="s">
        <v>359</v>
      </c>
      <c r="B73" s="596" t="s">
        <v>1528</v>
      </c>
      <c r="C73" s="346" t="s">
        <v>156</v>
      </c>
      <c r="D73" s="1017">
        <f>'NSP Detailed Budget'!D513</f>
        <v>131310</v>
      </c>
      <c r="E73" s="1017">
        <f>'NSP Detailed Budget'!E513</f>
        <v>121385</v>
      </c>
      <c r="F73" s="1017">
        <f>'NSP Detailed Budget'!F513</f>
        <v>116930</v>
      </c>
      <c r="G73" s="1018">
        <f t="shared" ref="G73" si="183">SUM(D73:F73)</f>
        <v>369625</v>
      </c>
      <c r="H73" s="1017"/>
      <c r="I73" s="1017"/>
      <c r="J73" s="1017"/>
      <c r="K73" s="1018">
        <f t="shared" ref="K73" si="184">SUM(H73:J73)</f>
        <v>0</v>
      </c>
      <c r="L73" s="1044"/>
      <c r="M73" s="1017"/>
      <c r="N73" s="1017"/>
      <c r="O73" s="1017"/>
      <c r="P73" s="1018">
        <f t="shared" ref="P73" si="185">SUM(M73:O73)</f>
        <v>0</v>
      </c>
      <c r="Q73" s="1017"/>
      <c r="R73" s="1017"/>
      <c r="S73" s="1017"/>
      <c r="T73" s="1018">
        <f t="shared" ref="T73" si="186">SUM(Q73:S73)</f>
        <v>0</v>
      </c>
      <c r="U73" s="1017"/>
      <c r="V73" s="1017"/>
      <c r="W73" s="1017"/>
      <c r="X73" s="1018">
        <f t="shared" ref="X73" si="187">SUM(U73:W73)</f>
        <v>0</v>
      </c>
      <c r="Y73" s="1017"/>
      <c r="Z73" s="1017"/>
      <c r="AA73" s="1017"/>
      <c r="AB73" s="1018">
        <f t="shared" ref="AB73" si="188">SUM(Y73:AA73)</f>
        <v>0</v>
      </c>
      <c r="AC73" s="330"/>
    </row>
    <row r="74" spans="1:29">
      <c r="A74" s="972" t="s">
        <v>360</v>
      </c>
      <c r="B74" s="596" t="s">
        <v>1544</v>
      </c>
      <c r="C74" s="346" t="s">
        <v>754</v>
      </c>
      <c r="D74" s="1017">
        <f>'NSP Detailed Budget'!D520</f>
        <v>7200</v>
      </c>
      <c r="E74" s="1017">
        <f>'NSP Detailed Budget'!E520</f>
        <v>14400</v>
      </c>
      <c r="F74" s="1017">
        <f>'NSP Detailed Budget'!F520</f>
        <v>7200</v>
      </c>
      <c r="G74" s="1018">
        <f>SUM(D74:F74)</f>
        <v>28800</v>
      </c>
      <c r="H74" s="1017"/>
      <c r="I74" s="1017"/>
      <c r="J74" s="1017"/>
      <c r="K74" s="1018">
        <f>SUM(H74:J74)</f>
        <v>0</v>
      </c>
      <c r="L74" s="1044"/>
      <c r="M74" s="1017"/>
      <c r="N74" s="1017"/>
      <c r="O74" s="1017"/>
      <c r="P74" s="1018">
        <f>SUM(M74:O74)</f>
        <v>0</v>
      </c>
      <c r="Q74" s="1017"/>
      <c r="R74" s="1017"/>
      <c r="S74" s="1017"/>
      <c r="T74" s="1018">
        <f>SUM(Q74:S74)</f>
        <v>0</v>
      </c>
      <c r="U74" s="1017"/>
      <c r="V74" s="1017"/>
      <c r="W74" s="1017"/>
      <c r="X74" s="1018">
        <f>SUM(U74:W74)</f>
        <v>0</v>
      </c>
      <c r="Y74" s="1017"/>
      <c r="Z74" s="1017"/>
      <c r="AA74" s="1017"/>
      <c r="AB74" s="1018">
        <f>SUM(Y74:AA74)</f>
        <v>0</v>
      </c>
      <c r="AC74" s="330"/>
    </row>
    <row r="75" spans="1:29">
      <c r="A75" s="972" t="s">
        <v>361</v>
      </c>
      <c r="B75" s="596" t="s">
        <v>1529</v>
      </c>
      <c r="C75" s="346" t="s">
        <v>156</v>
      </c>
      <c r="D75" s="1017">
        <f>'NSP Detailed Budget'!D527</f>
        <v>4948.0199999999995</v>
      </c>
      <c r="E75" s="1017">
        <f>'NSP Detailed Budget'!E527</f>
        <v>4829.616</v>
      </c>
      <c r="F75" s="1017">
        <f>'NSP Detailed Budget'!F527</f>
        <v>4882.3829999999998</v>
      </c>
      <c r="G75" s="1018">
        <f t="shared" ref="G75:G79" si="189">SUM(D75:F75)</f>
        <v>14660.018999999998</v>
      </c>
      <c r="H75" s="1017"/>
      <c r="I75" s="1017"/>
      <c r="J75" s="1017"/>
      <c r="K75" s="1018">
        <f t="shared" ref="K75:K79" si="190">SUM(H75:J75)</f>
        <v>0</v>
      </c>
      <c r="L75" s="1044"/>
      <c r="M75" s="1017"/>
      <c r="N75" s="1017"/>
      <c r="O75" s="1017"/>
      <c r="P75" s="1018">
        <f t="shared" ref="P75:P79" si="191">SUM(M75:O75)</f>
        <v>0</v>
      </c>
      <c r="Q75" s="1017"/>
      <c r="R75" s="1017"/>
      <c r="S75" s="1017"/>
      <c r="T75" s="1018">
        <f t="shared" ref="T75:T79" si="192">SUM(Q75:S75)</f>
        <v>0</v>
      </c>
      <c r="U75" s="1017"/>
      <c r="V75" s="1017"/>
      <c r="W75" s="1017"/>
      <c r="X75" s="1018">
        <f t="shared" ref="X75:X79" si="193">SUM(U75:W75)</f>
        <v>0</v>
      </c>
      <c r="Y75" s="1017"/>
      <c r="Z75" s="1017"/>
      <c r="AA75" s="1017"/>
      <c r="AB75" s="1018">
        <f t="shared" ref="AB75:AB79" si="194">SUM(Y75:AA75)</f>
        <v>0</v>
      </c>
      <c r="AC75" s="330"/>
    </row>
    <row r="76" spans="1:29" ht="30">
      <c r="A76" s="972" t="s">
        <v>362</v>
      </c>
      <c r="B76" s="596" t="s">
        <v>1531</v>
      </c>
      <c r="C76" s="346" t="s">
        <v>1020</v>
      </c>
      <c r="D76" s="1017">
        <v>0</v>
      </c>
      <c r="E76" s="1017">
        <v>0</v>
      </c>
      <c r="F76" s="1017">
        <v>0</v>
      </c>
      <c r="G76" s="1018">
        <f>SUM(D76:F76)</f>
        <v>0</v>
      </c>
      <c r="H76" s="1017"/>
      <c r="I76" s="1017"/>
      <c r="J76" s="1017"/>
      <c r="K76" s="1018">
        <f>SUM(H76:J76)</f>
        <v>0</v>
      </c>
      <c r="L76" s="1044"/>
      <c r="M76" s="1017"/>
      <c r="N76" s="1017"/>
      <c r="O76" s="1017"/>
      <c r="P76" s="1018">
        <f>SUM(M76:O76)</f>
        <v>0</v>
      </c>
      <c r="Q76" s="1017"/>
      <c r="R76" s="1017"/>
      <c r="S76" s="1017"/>
      <c r="T76" s="1018">
        <f>SUM(Q76:S76)</f>
        <v>0</v>
      </c>
      <c r="U76" s="1017"/>
      <c r="V76" s="1017"/>
      <c r="W76" s="1017"/>
      <c r="X76" s="1018">
        <f>SUM(U76:W76)</f>
        <v>0</v>
      </c>
      <c r="Y76" s="1017"/>
      <c r="Z76" s="1017"/>
      <c r="AA76" s="1017"/>
      <c r="AB76" s="1018">
        <f>SUM(Y76:AA76)</f>
        <v>0</v>
      </c>
      <c r="AC76" s="330"/>
    </row>
    <row r="77" spans="1:29" ht="30">
      <c r="A77" s="972" t="s">
        <v>363</v>
      </c>
      <c r="B77" s="596" t="s">
        <v>1530</v>
      </c>
      <c r="C77" s="346" t="s">
        <v>156</v>
      </c>
      <c r="D77" s="1017">
        <v>0</v>
      </c>
      <c r="E77" s="1017">
        <v>0</v>
      </c>
      <c r="F77" s="1017">
        <v>0</v>
      </c>
      <c r="G77" s="1018">
        <f>SUM(D77:F77)</f>
        <v>0</v>
      </c>
      <c r="H77" s="1017"/>
      <c r="I77" s="1017"/>
      <c r="J77" s="1017"/>
      <c r="K77" s="1018">
        <f>SUM(H77:J77)</f>
        <v>0</v>
      </c>
      <c r="L77" s="1044"/>
      <c r="M77" s="1017"/>
      <c r="N77" s="1017"/>
      <c r="O77" s="1017"/>
      <c r="P77" s="1018">
        <f>SUM(M77:O77)</f>
        <v>0</v>
      </c>
      <c r="Q77" s="1017"/>
      <c r="R77" s="1017"/>
      <c r="S77" s="1017"/>
      <c r="T77" s="1018">
        <f>SUM(Q77:S77)</f>
        <v>0</v>
      </c>
      <c r="U77" s="1017"/>
      <c r="V77" s="1017"/>
      <c r="W77" s="1017"/>
      <c r="X77" s="1018">
        <f>SUM(U77:W77)</f>
        <v>0</v>
      </c>
      <c r="Y77" s="1017"/>
      <c r="Z77" s="1017"/>
      <c r="AA77" s="1017"/>
      <c r="AB77" s="1018">
        <f>SUM(Y77:AA77)</f>
        <v>0</v>
      </c>
      <c r="AC77" s="330"/>
    </row>
    <row r="78" spans="1:29" ht="30">
      <c r="A78" s="972" t="s">
        <v>364</v>
      </c>
      <c r="B78" s="966" t="s">
        <v>1794</v>
      </c>
      <c r="C78" s="346" t="s">
        <v>754</v>
      </c>
      <c r="D78" s="1017">
        <f>'NSP Detailed Budget'!D534</f>
        <v>0</v>
      </c>
      <c r="E78" s="1017">
        <f>'NSP Detailed Budget'!E534</f>
        <v>0</v>
      </c>
      <c r="F78" s="1017">
        <f>'NSP Detailed Budget'!F534</f>
        <v>8000</v>
      </c>
      <c r="G78" s="1018">
        <f>SUM(D78:F78)</f>
        <v>8000</v>
      </c>
      <c r="H78" s="1017"/>
      <c r="I78" s="1017"/>
      <c r="J78" s="1017"/>
      <c r="K78" s="1018">
        <f>SUM(H78:J78)</f>
        <v>0</v>
      </c>
      <c r="L78" s="1044"/>
      <c r="M78" s="1017"/>
      <c r="N78" s="1017"/>
      <c r="O78" s="1017"/>
      <c r="P78" s="1018">
        <f>SUM(M78:O78)</f>
        <v>0</v>
      </c>
      <c r="Q78" s="1017"/>
      <c r="R78" s="1017"/>
      <c r="S78" s="1017"/>
      <c r="T78" s="1018">
        <f>SUM(Q78:S78)</f>
        <v>0</v>
      </c>
      <c r="U78" s="1017"/>
      <c r="V78" s="1017"/>
      <c r="W78" s="1017"/>
      <c r="X78" s="1018">
        <f>SUM(U78:W78)</f>
        <v>0</v>
      </c>
      <c r="Y78" s="1017"/>
      <c r="Z78" s="1017"/>
      <c r="AA78" s="1017"/>
      <c r="AB78" s="1018">
        <f>SUM(Y78:AA78)</f>
        <v>0</v>
      </c>
      <c r="AC78" s="330"/>
    </row>
    <row r="79" spans="1:29" ht="30">
      <c r="A79" s="972" t="s">
        <v>365</v>
      </c>
      <c r="B79" s="966" t="s">
        <v>1793</v>
      </c>
      <c r="C79" s="346" t="s">
        <v>1020</v>
      </c>
      <c r="D79" s="1017">
        <f>'NSP Detailed Budget'!D539</f>
        <v>99959.999999999985</v>
      </c>
      <c r="E79" s="1017">
        <f>'NSP Detailed Budget'!E539</f>
        <v>91469.999999999985</v>
      </c>
      <c r="F79" s="1017">
        <f>'NSP Detailed Budget'!F539</f>
        <v>87030</v>
      </c>
      <c r="G79" s="1018">
        <f t="shared" si="189"/>
        <v>278460</v>
      </c>
      <c r="H79" s="1017"/>
      <c r="I79" s="1017"/>
      <c r="J79" s="1017"/>
      <c r="K79" s="1018">
        <f t="shared" si="190"/>
        <v>0</v>
      </c>
      <c r="L79" s="1044"/>
      <c r="M79" s="1017"/>
      <c r="N79" s="1017"/>
      <c r="O79" s="1017"/>
      <c r="P79" s="1018">
        <f t="shared" si="191"/>
        <v>0</v>
      </c>
      <c r="Q79" s="1017"/>
      <c r="R79" s="1017"/>
      <c r="S79" s="1017"/>
      <c r="T79" s="1018">
        <f t="shared" si="192"/>
        <v>0</v>
      </c>
      <c r="U79" s="1017"/>
      <c r="V79" s="1017"/>
      <c r="W79" s="1017"/>
      <c r="X79" s="1018">
        <f t="shared" si="193"/>
        <v>0</v>
      </c>
      <c r="Y79" s="1017"/>
      <c r="Z79" s="1017"/>
      <c r="AA79" s="1017"/>
      <c r="AB79" s="1018">
        <f t="shared" si="194"/>
        <v>0</v>
      </c>
      <c r="AC79" s="330"/>
    </row>
    <row r="80" spans="1:29">
      <c r="A80" s="341">
        <v>2.4</v>
      </c>
      <c r="B80" s="342" t="s">
        <v>1253</v>
      </c>
      <c r="C80" s="343"/>
      <c r="D80" s="1015">
        <f t="shared" ref="D80:AB80" si="195">SUM(D81:D83)</f>
        <v>17472</v>
      </c>
      <c r="E80" s="1015">
        <f t="shared" si="195"/>
        <v>87922</v>
      </c>
      <c r="F80" s="1015">
        <f t="shared" si="195"/>
        <v>44272</v>
      </c>
      <c r="G80" s="1016">
        <f t="shared" si="195"/>
        <v>149666</v>
      </c>
      <c r="H80" s="1015">
        <f t="shared" si="195"/>
        <v>0</v>
      </c>
      <c r="I80" s="1015">
        <f t="shared" si="195"/>
        <v>0</v>
      </c>
      <c r="J80" s="1015">
        <f t="shared" si="195"/>
        <v>0</v>
      </c>
      <c r="K80" s="1016">
        <f t="shared" si="195"/>
        <v>0</v>
      </c>
      <c r="L80" s="1043"/>
      <c r="M80" s="1015">
        <f t="shared" si="195"/>
        <v>0</v>
      </c>
      <c r="N80" s="1015">
        <f t="shared" si="195"/>
        <v>0</v>
      </c>
      <c r="O80" s="1015">
        <f t="shared" si="195"/>
        <v>0</v>
      </c>
      <c r="P80" s="1016">
        <f t="shared" si="195"/>
        <v>0</v>
      </c>
      <c r="Q80" s="1015">
        <f t="shared" si="195"/>
        <v>0</v>
      </c>
      <c r="R80" s="1015">
        <f t="shared" si="195"/>
        <v>0</v>
      </c>
      <c r="S80" s="1015">
        <f t="shared" si="195"/>
        <v>0</v>
      </c>
      <c r="T80" s="1016">
        <f t="shared" si="195"/>
        <v>0</v>
      </c>
      <c r="U80" s="1015">
        <f t="shared" si="195"/>
        <v>0</v>
      </c>
      <c r="V80" s="1015">
        <f t="shared" si="195"/>
        <v>0</v>
      </c>
      <c r="W80" s="1015">
        <f t="shared" si="195"/>
        <v>0</v>
      </c>
      <c r="X80" s="1016">
        <f t="shared" si="195"/>
        <v>0</v>
      </c>
      <c r="Y80" s="1015">
        <f t="shared" si="195"/>
        <v>0</v>
      </c>
      <c r="Z80" s="1015">
        <f t="shared" si="195"/>
        <v>0</v>
      </c>
      <c r="AA80" s="1015">
        <f t="shared" si="195"/>
        <v>0</v>
      </c>
      <c r="AB80" s="1016">
        <f t="shared" si="195"/>
        <v>0</v>
      </c>
      <c r="AC80" s="330"/>
    </row>
    <row r="81" spans="1:35">
      <c r="A81" s="941" t="s">
        <v>519</v>
      </c>
      <c r="B81" s="596" t="s">
        <v>1545</v>
      </c>
      <c r="C81" s="346" t="s">
        <v>1000</v>
      </c>
      <c r="D81" s="1017">
        <f>'NSP Detailed Budget'!D546</f>
        <v>0</v>
      </c>
      <c r="E81" s="1017">
        <f>'NSP Detailed Budget'!E546</f>
        <v>7200</v>
      </c>
      <c r="F81" s="1017">
        <f>'NSP Detailed Budget'!F546</f>
        <v>10800</v>
      </c>
      <c r="G81" s="1018">
        <f>SUM(D81:F81)</f>
        <v>18000</v>
      </c>
      <c r="H81" s="1017"/>
      <c r="I81" s="1017"/>
      <c r="J81" s="1017"/>
      <c r="K81" s="1018">
        <f>SUM(H81:J81)</f>
        <v>0</v>
      </c>
      <c r="L81" s="1044"/>
      <c r="M81" s="1017"/>
      <c r="N81" s="1017"/>
      <c r="O81" s="1017"/>
      <c r="P81" s="1018">
        <f>SUM(M81:O81)</f>
        <v>0</v>
      </c>
      <c r="Q81" s="1017"/>
      <c r="R81" s="1017"/>
      <c r="S81" s="1017"/>
      <c r="T81" s="1018">
        <f>SUM(Q81:S81)</f>
        <v>0</v>
      </c>
      <c r="U81" s="1017"/>
      <c r="V81" s="1017"/>
      <c r="W81" s="1017"/>
      <c r="X81" s="1018">
        <f>SUM(U81:W81)</f>
        <v>0</v>
      </c>
      <c r="Y81" s="1017"/>
      <c r="Z81" s="1017"/>
      <c r="AA81" s="1017"/>
      <c r="AB81" s="1018">
        <f>SUM(Y81:AA81)</f>
        <v>0</v>
      </c>
      <c r="AC81" s="330"/>
    </row>
    <row r="82" spans="1:35" ht="30">
      <c r="A82" s="833" t="s">
        <v>520</v>
      </c>
      <c r="B82" s="345" t="s">
        <v>1546</v>
      </c>
      <c r="C82" s="346" t="s">
        <v>49</v>
      </c>
      <c r="D82" s="1017">
        <f>'NSP Detailed Budget'!D551</f>
        <v>0</v>
      </c>
      <c r="E82" s="1017">
        <f>'NSP Detailed Budget'!E551</f>
        <v>63250</v>
      </c>
      <c r="F82" s="1017">
        <f>'NSP Detailed Budget'!F551</f>
        <v>16000</v>
      </c>
      <c r="G82" s="1018">
        <f t="shared" ref="G82:G83" si="196">SUM(D82:F82)</f>
        <v>79250</v>
      </c>
      <c r="H82" s="1017"/>
      <c r="I82" s="1017"/>
      <c r="J82" s="1017"/>
      <c r="K82" s="1018">
        <f t="shared" ref="K82:K83" si="197">SUM(H82:J82)</f>
        <v>0</v>
      </c>
      <c r="L82" s="1044"/>
      <c r="M82" s="1017"/>
      <c r="N82" s="1017"/>
      <c r="O82" s="1017"/>
      <c r="P82" s="1018">
        <f t="shared" ref="P82:P83" si="198">SUM(M82:O82)</f>
        <v>0</v>
      </c>
      <c r="Q82" s="1017"/>
      <c r="R82" s="1017"/>
      <c r="S82" s="1017"/>
      <c r="T82" s="1018">
        <f t="shared" ref="T82:T83" si="199">SUM(Q82:S82)</f>
        <v>0</v>
      </c>
      <c r="U82" s="1017"/>
      <c r="V82" s="1017"/>
      <c r="W82" s="1017"/>
      <c r="X82" s="1018">
        <f t="shared" ref="X82:X83" si="200">SUM(U82:W82)</f>
        <v>0</v>
      </c>
      <c r="Y82" s="1017"/>
      <c r="Z82" s="1017"/>
      <c r="AA82" s="1017"/>
      <c r="AB82" s="1018">
        <f t="shared" ref="AB82:AB83" si="201">SUM(Y82:AA82)</f>
        <v>0</v>
      </c>
      <c r="AC82" s="330"/>
    </row>
    <row r="83" spans="1:35" ht="30">
      <c r="A83" s="833" t="s">
        <v>521</v>
      </c>
      <c r="B83" s="345" t="s">
        <v>1547</v>
      </c>
      <c r="C83" s="346" t="s">
        <v>156</v>
      </c>
      <c r="D83" s="1017">
        <f>'NSP Detailed Budget'!D556</f>
        <v>17472</v>
      </c>
      <c r="E83" s="1017">
        <f>'NSP Detailed Budget'!E556</f>
        <v>17472</v>
      </c>
      <c r="F83" s="1017">
        <f>'NSP Detailed Budget'!F556</f>
        <v>17472</v>
      </c>
      <c r="G83" s="1018">
        <f t="shared" si="196"/>
        <v>52416</v>
      </c>
      <c r="H83" s="1017"/>
      <c r="I83" s="1017"/>
      <c r="J83" s="1017"/>
      <c r="K83" s="1018">
        <f t="shared" si="197"/>
        <v>0</v>
      </c>
      <c r="L83" s="1044"/>
      <c r="M83" s="1017"/>
      <c r="N83" s="1017"/>
      <c r="O83" s="1017"/>
      <c r="P83" s="1018">
        <f t="shared" si="198"/>
        <v>0</v>
      </c>
      <c r="Q83" s="1017"/>
      <c r="R83" s="1017"/>
      <c r="S83" s="1017"/>
      <c r="T83" s="1018">
        <f t="shared" si="199"/>
        <v>0</v>
      </c>
      <c r="U83" s="1017"/>
      <c r="V83" s="1017"/>
      <c r="W83" s="1017"/>
      <c r="X83" s="1018">
        <f t="shared" si="200"/>
        <v>0</v>
      </c>
      <c r="Y83" s="1017"/>
      <c r="Z83" s="1017"/>
      <c r="AA83" s="1017"/>
      <c r="AB83" s="1018">
        <f t="shared" si="201"/>
        <v>0</v>
      </c>
      <c r="AC83" s="330"/>
    </row>
    <row r="84" spans="1:35">
      <c r="A84" s="341">
        <v>2.5</v>
      </c>
      <c r="B84" s="342" t="s">
        <v>1254</v>
      </c>
      <c r="C84" s="343"/>
      <c r="D84" s="1015">
        <f t="shared" ref="D84:AB84" si="202">SUM(D85:D89)</f>
        <v>61555.76</v>
      </c>
      <c r="E84" s="1015">
        <f t="shared" si="202"/>
        <v>89511.32</v>
      </c>
      <c r="F84" s="1015">
        <f t="shared" si="202"/>
        <v>136669.15</v>
      </c>
      <c r="G84" s="1016">
        <f t="shared" si="202"/>
        <v>287736.23</v>
      </c>
      <c r="H84" s="1015">
        <f t="shared" si="202"/>
        <v>0</v>
      </c>
      <c r="I84" s="1015">
        <f t="shared" si="202"/>
        <v>0</v>
      </c>
      <c r="J84" s="1015">
        <f t="shared" si="202"/>
        <v>0</v>
      </c>
      <c r="K84" s="1016">
        <f t="shared" si="202"/>
        <v>0</v>
      </c>
      <c r="L84" s="1043"/>
      <c r="M84" s="1015">
        <f t="shared" si="202"/>
        <v>0</v>
      </c>
      <c r="N84" s="1015">
        <f t="shared" si="202"/>
        <v>0</v>
      </c>
      <c r="O84" s="1015">
        <f t="shared" si="202"/>
        <v>0</v>
      </c>
      <c r="P84" s="1016">
        <f t="shared" si="202"/>
        <v>0</v>
      </c>
      <c r="Q84" s="1015">
        <f t="shared" si="202"/>
        <v>0</v>
      </c>
      <c r="R84" s="1015">
        <f t="shared" si="202"/>
        <v>0</v>
      </c>
      <c r="S84" s="1015">
        <f t="shared" si="202"/>
        <v>0</v>
      </c>
      <c r="T84" s="1016">
        <f t="shared" si="202"/>
        <v>0</v>
      </c>
      <c r="U84" s="1015">
        <f t="shared" si="202"/>
        <v>0</v>
      </c>
      <c r="V84" s="1015">
        <f t="shared" si="202"/>
        <v>0</v>
      </c>
      <c r="W84" s="1015">
        <f t="shared" si="202"/>
        <v>0</v>
      </c>
      <c r="X84" s="1016">
        <f t="shared" si="202"/>
        <v>0</v>
      </c>
      <c r="Y84" s="1015">
        <f t="shared" si="202"/>
        <v>0</v>
      </c>
      <c r="Z84" s="1015">
        <f t="shared" si="202"/>
        <v>0</v>
      </c>
      <c r="AA84" s="1015">
        <f t="shared" si="202"/>
        <v>0</v>
      </c>
      <c r="AB84" s="1016">
        <f t="shared" si="202"/>
        <v>0</v>
      </c>
      <c r="AC84" s="330"/>
    </row>
    <row r="85" spans="1:35" ht="30">
      <c r="A85" s="941" t="s">
        <v>528</v>
      </c>
      <c r="B85" s="989" t="s">
        <v>1554</v>
      </c>
      <c r="C85" s="346" t="s">
        <v>1000</v>
      </c>
      <c r="D85" s="1017">
        <f>'NSP Detailed Budget'!D563</f>
        <v>1800</v>
      </c>
      <c r="E85" s="1017">
        <f>'NSP Detailed Budget'!E563</f>
        <v>3600</v>
      </c>
      <c r="F85" s="1017">
        <f>'NSP Detailed Budget'!F563</f>
        <v>0</v>
      </c>
      <c r="G85" s="1018">
        <f>SUM(D85:F85)</f>
        <v>5400</v>
      </c>
      <c r="H85" s="1017"/>
      <c r="I85" s="1017"/>
      <c r="J85" s="1017"/>
      <c r="K85" s="1018">
        <f>SUM(H85:J85)</f>
        <v>0</v>
      </c>
      <c r="L85" s="1044"/>
      <c r="M85" s="1017"/>
      <c r="N85" s="1017"/>
      <c r="O85" s="1017"/>
      <c r="P85" s="1018">
        <f>SUM(M85:O85)</f>
        <v>0</v>
      </c>
      <c r="Q85" s="1017"/>
      <c r="R85" s="1017"/>
      <c r="S85" s="1017"/>
      <c r="T85" s="1018">
        <f>SUM(Q85:S85)</f>
        <v>0</v>
      </c>
      <c r="U85" s="1017"/>
      <c r="V85" s="1017"/>
      <c r="W85" s="1017"/>
      <c r="X85" s="1018">
        <f>SUM(U85:W85)</f>
        <v>0</v>
      </c>
      <c r="Y85" s="1017"/>
      <c r="Z85" s="1017"/>
      <c r="AA85" s="1017"/>
      <c r="AB85" s="1018">
        <f>SUM(Y85:AA85)</f>
        <v>0</v>
      </c>
      <c r="AC85" s="330"/>
    </row>
    <row r="86" spans="1:35" ht="30">
      <c r="A86" s="941" t="s">
        <v>529</v>
      </c>
      <c r="B86" s="989" t="s">
        <v>1548</v>
      </c>
      <c r="C86" s="346" t="s">
        <v>754</v>
      </c>
      <c r="D86" s="1017">
        <f>'NSP Detailed Budget'!D570</f>
        <v>6400</v>
      </c>
      <c r="E86" s="1017">
        <f>'NSP Detailed Budget'!E570</f>
        <v>14400</v>
      </c>
      <c r="F86" s="1017">
        <f>'NSP Detailed Budget'!F570</f>
        <v>8000</v>
      </c>
      <c r="G86" s="1018">
        <f t="shared" ref="G86" si="203">SUM(D86:F86)</f>
        <v>28800</v>
      </c>
      <c r="H86" s="1017"/>
      <c r="I86" s="1017"/>
      <c r="J86" s="1017"/>
      <c r="K86" s="1018">
        <f t="shared" ref="K86" si="204">SUM(H86:J86)</f>
        <v>0</v>
      </c>
      <c r="L86" s="1044"/>
      <c r="M86" s="1017"/>
      <c r="N86" s="1017"/>
      <c r="O86" s="1017"/>
      <c r="P86" s="1018">
        <f t="shared" ref="P86" si="205">SUM(M86:O86)</f>
        <v>0</v>
      </c>
      <c r="Q86" s="1017"/>
      <c r="R86" s="1017"/>
      <c r="S86" s="1017"/>
      <c r="T86" s="1018">
        <f t="shared" ref="T86" si="206">SUM(Q86:S86)</f>
        <v>0</v>
      </c>
      <c r="U86" s="1017"/>
      <c r="V86" s="1017"/>
      <c r="W86" s="1017"/>
      <c r="X86" s="1018">
        <f t="shared" ref="X86" si="207">SUM(U86:W86)</f>
        <v>0</v>
      </c>
      <c r="Y86" s="1017"/>
      <c r="Z86" s="1017"/>
      <c r="AA86" s="1017"/>
      <c r="AB86" s="1018">
        <f t="shared" ref="AB86" si="208">SUM(Y86:AA86)</f>
        <v>0</v>
      </c>
      <c r="AC86" s="330"/>
    </row>
    <row r="87" spans="1:35">
      <c r="A87" s="941" t="s">
        <v>530</v>
      </c>
      <c r="B87" s="989" t="s">
        <v>1549</v>
      </c>
      <c r="C87" s="346" t="s">
        <v>156</v>
      </c>
      <c r="D87" s="1017">
        <f>'NSP Detailed Budget'!D582</f>
        <v>10000</v>
      </c>
      <c r="E87" s="1017">
        <f>'NSP Detailed Budget'!E582</f>
        <v>17400.000000000007</v>
      </c>
      <c r="F87" s="1017">
        <f>'NSP Detailed Budget'!F582</f>
        <v>34200</v>
      </c>
      <c r="G87" s="1018">
        <f t="shared" ref="G87:G88" si="209">SUM(D87:F87)</f>
        <v>61600.000000000007</v>
      </c>
      <c r="H87" s="1017"/>
      <c r="I87" s="1017"/>
      <c r="J87" s="1017"/>
      <c r="K87" s="1018">
        <f t="shared" ref="K87:K88" si="210">SUM(H87:J87)</f>
        <v>0</v>
      </c>
      <c r="L87" s="1044"/>
      <c r="M87" s="1017"/>
      <c r="N87" s="1017"/>
      <c r="O87" s="1017"/>
      <c r="P87" s="1018">
        <f t="shared" ref="P87:P88" si="211">SUM(M87:O87)</f>
        <v>0</v>
      </c>
      <c r="Q87" s="1017"/>
      <c r="R87" s="1017"/>
      <c r="S87" s="1017"/>
      <c r="T87" s="1018">
        <f t="shared" ref="T87:T88" si="212">SUM(Q87:S87)</f>
        <v>0</v>
      </c>
      <c r="U87" s="1017"/>
      <c r="V87" s="1017"/>
      <c r="W87" s="1017"/>
      <c r="X87" s="1018">
        <f t="shared" ref="X87:X88" si="213">SUM(U87:W87)</f>
        <v>0</v>
      </c>
      <c r="Y87" s="1017"/>
      <c r="Z87" s="1017"/>
      <c r="AA87" s="1017"/>
      <c r="AB87" s="1018">
        <f t="shared" ref="AB87:AB88" si="214">SUM(Y87:AA87)</f>
        <v>0</v>
      </c>
      <c r="AC87" s="330"/>
    </row>
    <row r="88" spans="1:35">
      <c r="A88" s="941" t="s">
        <v>531</v>
      </c>
      <c r="B88" s="989" t="s">
        <v>1550</v>
      </c>
      <c r="C88" s="346" t="s">
        <v>1005</v>
      </c>
      <c r="D88" s="1017">
        <f>'NSP Detailed Budget'!D594</f>
        <v>27000</v>
      </c>
      <c r="E88" s="1017">
        <f>'NSP Detailed Budget'!E594</f>
        <v>37400</v>
      </c>
      <c r="F88" s="1017">
        <f>'NSP Detailed Budget'!F594</f>
        <v>77600</v>
      </c>
      <c r="G88" s="1018">
        <f t="shared" si="209"/>
        <v>142000</v>
      </c>
      <c r="H88" s="1017"/>
      <c r="I88" s="1017"/>
      <c r="J88" s="1017"/>
      <c r="K88" s="1018">
        <f t="shared" si="210"/>
        <v>0</v>
      </c>
      <c r="L88" s="1044"/>
      <c r="M88" s="1017"/>
      <c r="N88" s="1017"/>
      <c r="O88" s="1017"/>
      <c r="P88" s="1018">
        <f t="shared" si="211"/>
        <v>0</v>
      </c>
      <c r="Q88" s="1017"/>
      <c r="R88" s="1017"/>
      <c r="S88" s="1017"/>
      <c r="T88" s="1018">
        <f t="shared" si="212"/>
        <v>0</v>
      </c>
      <c r="U88" s="1017"/>
      <c r="V88" s="1017"/>
      <c r="W88" s="1017"/>
      <c r="X88" s="1018">
        <f t="shared" si="213"/>
        <v>0</v>
      </c>
      <c r="Y88" s="1017"/>
      <c r="Z88" s="1017"/>
      <c r="AA88" s="1017"/>
      <c r="AB88" s="1018">
        <f t="shared" si="214"/>
        <v>0</v>
      </c>
      <c r="AC88" s="330"/>
    </row>
    <row r="89" spans="1:35">
      <c r="A89" s="941" t="s">
        <v>532</v>
      </c>
      <c r="B89" s="989" t="s">
        <v>1551</v>
      </c>
      <c r="C89" s="346" t="s">
        <v>1020</v>
      </c>
      <c r="D89" s="1017">
        <f>'NSP Detailed Budget'!D601</f>
        <v>16355.760000000004</v>
      </c>
      <c r="E89" s="1017">
        <f>'NSP Detailed Budget'!E601</f>
        <v>16711.32</v>
      </c>
      <c r="F89" s="1017">
        <f>'NSP Detailed Budget'!F601</f>
        <v>16869.150000000001</v>
      </c>
      <c r="G89" s="1018">
        <f t="shared" ref="G89" si="215">SUM(D89:F89)</f>
        <v>49936.23</v>
      </c>
      <c r="H89" s="1017"/>
      <c r="I89" s="1017"/>
      <c r="J89" s="1017"/>
      <c r="K89" s="1018">
        <f t="shared" ref="K89" si="216">SUM(H89:J89)</f>
        <v>0</v>
      </c>
      <c r="L89" s="1044"/>
      <c r="M89" s="1017"/>
      <c r="N89" s="1017"/>
      <c r="O89" s="1017"/>
      <c r="P89" s="1018">
        <f t="shared" ref="P89" si="217">SUM(M89:O89)</f>
        <v>0</v>
      </c>
      <c r="Q89" s="1017"/>
      <c r="R89" s="1017"/>
      <c r="S89" s="1017"/>
      <c r="T89" s="1018">
        <f t="shared" ref="T89" si="218">SUM(Q89:S89)</f>
        <v>0</v>
      </c>
      <c r="U89" s="1017"/>
      <c r="V89" s="1017"/>
      <c r="W89" s="1017"/>
      <c r="X89" s="1018">
        <f t="shared" ref="X89" si="219">SUM(U89:W89)</f>
        <v>0</v>
      </c>
      <c r="Y89" s="1017"/>
      <c r="Z89" s="1017"/>
      <c r="AA89" s="1017"/>
      <c r="AB89" s="1018">
        <f t="shared" ref="AB89" si="220">SUM(Y89:AA89)</f>
        <v>0</v>
      </c>
      <c r="AC89" s="330"/>
    </row>
    <row r="90" spans="1:35">
      <c r="A90" s="341">
        <v>2.6</v>
      </c>
      <c r="B90" s="342" t="s">
        <v>1255</v>
      </c>
      <c r="C90" s="343"/>
      <c r="D90" s="1015">
        <f t="shared" ref="D90:AB90" si="221">SUM(D91:D93)</f>
        <v>6433136.0914496034</v>
      </c>
      <c r="E90" s="1015">
        <f t="shared" si="221"/>
        <v>7449230.8779728189</v>
      </c>
      <c r="F90" s="1015">
        <f t="shared" si="221"/>
        <v>7536690.0953737255</v>
      </c>
      <c r="G90" s="1016">
        <f t="shared" si="221"/>
        <v>21419057.06479615</v>
      </c>
      <c r="H90" s="1015">
        <f t="shared" si="221"/>
        <v>0</v>
      </c>
      <c r="I90" s="1015">
        <f t="shared" si="221"/>
        <v>0</v>
      </c>
      <c r="J90" s="1015">
        <f t="shared" si="221"/>
        <v>0</v>
      </c>
      <c r="K90" s="1016">
        <f t="shared" si="221"/>
        <v>0</v>
      </c>
      <c r="L90" s="1043"/>
      <c r="M90" s="1015">
        <f t="shared" si="221"/>
        <v>0</v>
      </c>
      <c r="N90" s="1015">
        <f t="shared" si="221"/>
        <v>0</v>
      </c>
      <c r="O90" s="1015">
        <f t="shared" si="221"/>
        <v>0</v>
      </c>
      <c r="P90" s="1016">
        <f t="shared" si="221"/>
        <v>0</v>
      </c>
      <c r="Q90" s="1015">
        <f t="shared" si="221"/>
        <v>0</v>
      </c>
      <c r="R90" s="1015">
        <f t="shared" si="221"/>
        <v>0</v>
      </c>
      <c r="S90" s="1015">
        <f t="shared" si="221"/>
        <v>0</v>
      </c>
      <c r="T90" s="1016">
        <f t="shared" si="221"/>
        <v>0</v>
      </c>
      <c r="U90" s="1015">
        <f t="shared" si="221"/>
        <v>0</v>
      </c>
      <c r="V90" s="1015">
        <f t="shared" si="221"/>
        <v>0</v>
      </c>
      <c r="W90" s="1015">
        <f t="shared" si="221"/>
        <v>0</v>
      </c>
      <c r="X90" s="1016">
        <f t="shared" si="221"/>
        <v>0</v>
      </c>
      <c r="Y90" s="1015">
        <f t="shared" si="221"/>
        <v>0</v>
      </c>
      <c r="Z90" s="1015">
        <f t="shared" si="221"/>
        <v>0</v>
      </c>
      <c r="AA90" s="1015">
        <f t="shared" si="221"/>
        <v>0</v>
      </c>
      <c r="AB90" s="1016">
        <f t="shared" si="221"/>
        <v>0</v>
      </c>
      <c r="AC90" s="330"/>
    </row>
    <row r="91" spans="1:35">
      <c r="A91" s="941" t="s">
        <v>537</v>
      </c>
      <c r="B91" s="990" t="s">
        <v>1578</v>
      </c>
      <c r="C91" s="346" t="s">
        <v>770</v>
      </c>
      <c r="D91" s="1017">
        <f>'NSP Detailed Budget'!D609</f>
        <v>2618536.6930917324</v>
      </c>
      <c r="E91" s="1017">
        <f>'NSP Detailed Budget'!E609</f>
        <v>2749463.5277463188</v>
      </c>
      <c r="F91" s="1017">
        <f>'NSP Detailed Budget'!F609</f>
        <v>2886936.7041336349</v>
      </c>
      <c r="G91" s="1018">
        <f>SUM(D91:F91)</f>
        <v>8254936.9249716867</v>
      </c>
      <c r="H91" s="1017"/>
      <c r="I91" s="1017"/>
      <c r="J91" s="1017"/>
      <c r="K91" s="1018">
        <f>SUM(H91:J91)</f>
        <v>0</v>
      </c>
      <c r="L91" s="1044"/>
      <c r="M91" s="1017"/>
      <c r="N91" s="1017"/>
      <c r="O91" s="1017"/>
      <c r="P91" s="1018">
        <f>SUM(M91:O91)</f>
        <v>0</v>
      </c>
      <c r="Q91" s="1017"/>
      <c r="R91" s="1017"/>
      <c r="S91" s="1017"/>
      <c r="T91" s="1018">
        <f>SUM(Q91:S91)</f>
        <v>0</v>
      </c>
      <c r="U91" s="1017"/>
      <c r="V91" s="1017"/>
      <c r="W91" s="1017"/>
      <c r="X91" s="1018">
        <f>SUM(U91:W91)</f>
        <v>0</v>
      </c>
      <c r="Y91" s="1017"/>
      <c r="Z91" s="1017"/>
      <c r="AA91" s="1017"/>
      <c r="AB91" s="1018">
        <f>SUM(Y91:AA91)</f>
        <v>0</v>
      </c>
      <c r="AC91" s="330"/>
    </row>
    <row r="92" spans="1:35">
      <c r="A92" s="941" t="s">
        <v>538</v>
      </c>
      <c r="B92" s="991" t="s">
        <v>1662</v>
      </c>
      <c r="C92" s="346" t="s">
        <v>757</v>
      </c>
      <c r="D92" s="1017">
        <f>'NSP Detailed Budget'!D612</f>
        <v>1500000</v>
      </c>
      <c r="E92" s="1017">
        <f>'NSP Detailed Budget'!E612</f>
        <v>2200000</v>
      </c>
      <c r="F92" s="1017">
        <f>'NSP Detailed Budget'!F612</f>
        <v>2000000</v>
      </c>
      <c r="G92" s="1018">
        <f t="shared" ref="G92" si="222">SUM(D92:F92)</f>
        <v>5700000</v>
      </c>
      <c r="H92" s="1017"/>
      <c r="I92" s="1017"/>
      <c r="J92" s="1017"/>
      <c r="K92" s="1018">
        <f t="shared" ref="K92" si="223">SUM(H92:J92)</f>
        <v>0</v>
      </c>
      <c r="L92" s="1044"/>
      <c r="M92" s="1017"/>
      <c r="N92" s="1017"/>
      <c r="O92" s="1017"/>
      <c r="P92" s="1018">
        <f t="shared" ref="P92" si="224">SUM(M92:O92)</f>
        <v>0</v>
      </c>
      <c r="Q92" s="1017"/>
      <c r="R92" s="1017"/>
      <c r="S92" s="1017"/>
      <c r="T92" s="1018">
        <f t="shared" ref="T92" si="225">SUM(Q92:S92)</f>
        <v>0</v>
      </c>
      <c r="U92" s="1017"/>
      <c r="V92" s="1017"/>
      <c r="W92" s="1017"/>
      <c r="X92" s="1018">
        <f t="shared" ref="X92" si="226">SUM(U92:W92)</f>
        <v>0</v>
      </c>
      <c r="Y92" s="1017"/>
      <c r="Z92" s="1017"/>
      <c r="AA92" s="1017"/>
      <c r="AB92" s="1018">
        <f t="shared" ref="AB92" si="227">SUM(Y92:AA92)</f>
        <v>0</v>
      </c>
      <c r="AC92" s="330"/>
    </row>
    <row r="93" spans="1:35">
      <c r="A93" s="941" t="s">
        <v>539</v>
      </c>
      <c r="B93" s="990" t="s">
        <v>1577</v>
      </c>
      <c r="C93" s="346" t="s">
        <v>50</v>
      </c>
      <c r="D93" s="1017">
        <f>'NSP Detailed Budget'!D619</f>
        <v>2314599.398357871</v>
      </c>
      <c r="E93" s="1017">
        <f>'NSP Detailed Budget'!E619</f>
        <v>2499767.3502265005</v>
      </c>
      <c r="F93" s="1017">
        <f>'NSP Detailed Budget'!F619</f>
        <v>2649753.3912400906</v>
      </c>
      <c r="G93" s="1018">
        <f t="shared" ref="G93" si="228">SUM(D93:F93)</f>
        <v>7464120.1398244612</v>
      </c>
      <c r="H93" s="1017"/>
      <c r="I93" s="1017"/>
      <c r="J93" s="1017"/>
      <c r="K93" s="1018">
        <f t="shared" ref="K93" si="229">SUM(H93:J93)</f>
        <v>0</v>
      </c>
      <c r="L93" s="1044"/>
      <c r="M93" s="1017"/>
      <c r="N93" s="1017"/>
      <c r="O93" s="1017"/>
      <c r="P93" s="1018">
        <f t="shared" ref="P93" si="230">SUM(M93:O93)</f>
        <v>0</v>
      </c>
      <c r="Q93" s="1017"/>
      <c r="R93" s="1017"/>
      <c r="S93" s="1017"/>
      <c r="T93" s="1018">
        <f t="shared" ref="T93" si="231">SUM(Q93:S93)</f>
        <v>0</v>
      </c>
      <c r="U93" s="1017"/>
      <c r="V93" s="1017"/>
      <c r="W93" s="1017"/>
      <c r="X93" s="1018">
        <f t="shared" ref="X93" si="232">SUM(U93:W93)</f>
        <v>0</v>
      </c>
      <c r="Y93" s="1017"/>
      <c r="Z93" s="1017"/>
      <c r="AA93" s="1017"/>
      <c r="AB93" s="1018">
        <f t="shared" ref="AB93" si="233">SUM(Y93:AA93)</f>
        <v>0</v>
      </c>
      <c r="AC93" s="330"/>
    </row>
    <row r="94" spans="1:35" ht="31.5">
      <c r="A94" s="336">
        <v>3</v>
      </c>
      <c r="B94" s="337" t="s">
        <v>1674</v>
      </c>
      <c r="C94" s="338"/>
      <c r="D94" s="1013">
        <f t="shared" ref="D94:G94" si="234">SUM(D95,D105,D116,D126)</f>
        <v>3764771</v>
      </c>
      <c r="E94" s="1013">
        <f t="shared" si="234"/>
        <v>4219690</v>
      </c>
      <c r="F94" s="1013">
        <f t="shared" si="234"/>
        <v>3962110</v>
      </c>
      <c r="G94" s="1014">
        <f t="shared" si="234"/>
        <v>11946571</v>
      </c>
      <c r="H94" s="1013">
        <f>'Govt &amp; External'!G111</f>
        <v>80550</v>
      </c>
      <c r="I94" s="1013">
        <f>'Govt &amp; External'!H111</f>
        <v>89380</v>
      </c>
      <c r="J94" s="1013">
        <f>'Govt &amp; External'!I111</f>
        <v>142990</v>
      </c>
      <c r="K94" s="1014">
        <f>SUM(H94:J94)</f>
        <v>312920</v>
      </c>
      <c r="L94" s="1049">
        <f>1319227.6*0.1</f>
        <v>131922.76</v>
      </c>
      <c r="M94" s="1013">
        <v>505515</v>
      </c>
      <c r="N94" s="1013">
        <v>1264110</v>
      </c>
      <c r="O94" s="1013">
        <v>1179560</v>
      </c>
      <c r="P94" s="1014">
        <f>SUM(L94:O94)</f>
        <v>3081107.76</v>
      </c>
      <c r="Q94" s="1013">
        <f>'Govt &amp; External'!G128</f>
        <v>4340961.0389999999</v>
      </c>
      <c r="R94" s="1013">
        <f>'Govt &amp; External'!H128</f>
        <v>4313634.2044831254</v>
      </c>
      <c r="S94" s="1013">
        <f>'Govt &amp; External'!I128</f>
        <v>2820974.1312231636</v>
      </c>
      <c r="T94" s="1014">
        <f>SUM(Q94:S94)</f>
        <v>11475569.374706291</v>
      </c>
      <c r="U94" s="1013">
        <f>SUM(M94,Q94,L94)</f>
        <v>4978398.7989999996</v>
      </c>
      <c r="V94" s="1013">
        <f t="shared" ref="V94" si="235">SUM(N94,R94)</f>
        <v>5577744.2044831254</v>
      </c>
      <c r="W94" s="1013">
        <f t="shared" ref="W94" si="236">SUM(O94,S94)</f>
        <v>4000534.1312231636</v>
      </c>
      <c r="X94" s="1014">
        <f>SUM(U94:W94)</f>
        <v>14556677.134706289</v>
      </c>
      <c r="Y94" s="1013">
        <f>D94-SUM(H94,U94)</f>
        <v>-1294177.7989999996</v>
      </c>
      <c r="Z94" s="1013">
        <f>E94-SUM(I94,V94)</f>
        <v>-1447434.2044831254</v>
      </c>
      <c r="AA94" s="1013">
        <f>F94-SUM(J94,W94)</f>
        <v>-181414.13122316357</v>
      </c>
      <c r="AB94" s="1014">
        <f>SUM(Y94:AA94)</f>
        <v>-2923026.1347062886</v>
      </c>
      <c r="AC94" s="822"/>
      <c r="AE94" s="995"/>
      <c r="AF94" s="995"/>
      <c r="AG94" s="995"/>
      <c r="AH94" s="995"/>
      <c r="AI94" s="995"/>
    </row>
    <row r="95" spans="1:35">
      <c r="A95" s="341">
        <v>3.1</v>
      </c>
      <c r="B95" s="342" t="s">
        <v>1258</v>
      </c>
      <c r="C95" s="343"/>
      <c r="D95" s="1015">
        <f>SUM(D96:D104)</f>
        <v>106100</v>
      </c>
      <c r="E95" s="1015">
        <f t="shared" ref="E95:AB95" si="237">SUM(E96:E104)</f>
        <v>407500</v>
      </c>
      <c r="F95" s="1015">
        <f t="shared" si="237"/>
        <v>335200</v>
      </c>
      <c r="G95" s="1016">
        <f t="shared" si="237"/>
        <v>848800</v>
      </c>
      <c r="H95" s="1015">
        <f t="shared" si="237"/>
        <v>0</v>
      </c>
      <c r="I95" s="1015">
        <f t="shared" si="237"/>
        <v>0</v>
      </c>
      <c r="J95" s="1015">
        <f t="shared" si="237"/>
        <v>0</v>
      </c>
      <c r="K95" s="1016">
        <f t="shared" si="237"/>
        <v>0</v>
      </c>
      <c r="L95" s="1043"/>
      <c r="M95" s="1015">
        <f t="shared" si="237"/>
        <v>0</v>
      </c>
      <c r="N95" s="1015">
        <f t="shared" si="237"/>
        <v>0</v>
      </c>
      <c r="O95" s="1015">
        <f t="shared" si="237"/>
        <v>0</v>
      </c>
      <c r="P95" s="1016">
        <f t="shared" si="237"/>
        <v>0</v>
      </c>
      <c r="Q95" s="1015">
        <f t="shared" si="237"/>
        <v>0</v>
      </c>
      <c r="R95" s="1015">
        <f t="shared" si="237"/>
        <v>0</v>
      </c>
      <c r="S95" s="1015">
        <f t="shared" si="237"/>
        <v>0</v>
      </c>
      <c r="T95" s="1016">
        <f t="shared" si="237"/>
        <v>0</v>
      </c>
      <c r="U95" s="1015">
        <f t="shared" si="237"/>
        <v>0</v>
      </c>
      <c r="V95" s="1015">
        <f t="shared" si="237"/>
        <v>0</v>
      </c>
      <c r="W95" s="1015">
        <f t="shared" si="237"/>
        <v>0</v>
      </c>
      <c r="X95" s="1016">
        <f t="shared" si="237"/>
        <v>0</v>
      </c>
      <c r="Y95" s="1015">
        <f t="shared" si="237"/>
        <v>0</v>
      </c>
      <c r="Z95" s="1015">
        <f t="shared" si="237"/>
        <v>0</v>
      </c>
      <c r="AA95" s="1015">
        <f t="shared" si="237"/>
        <v>0</v>
      </c>
      <c r="AB95" s="1016">
        <f t="shared" si="237"/>
        <v>0</v>
      </c>
      <c r="AC95" s="330"/>
    </row>
    <row r="96" spans="1:35" ht="30">
      <c r="A96" s="941" t="s">
        <v>368</v>
      </c>
      <c r="B96" s="603" t="s">
        <v>1579</v>
      </c>
      <c r="C96" s="346" t="s">
        <v>998</v>
      </c>
      <c r="D96" s="1017">
        <f>'NSP Detailed Budget'!D626</f>
        <v>18700</v>
      </c>
      <c r="E96" s="1017">
        <f>'NSP Detailed Budget'!E626</f>
        <v>18700</v>
      </c>
      <c r="F96" s="1017">
        <f>'NSP Detailed Budget'!F626</f>
        <v>0</v>
      </c>
      <c r="G96" s="1018">
        <f>SUM(D96:F96)</f>
        <v>37400</v>
      </c>
      <c r="H96" s="1017"/>
      <c r="I96" s="1017"/>
      <c r="J96" s="1017"/>
      <c r="K96" s="1018">
        <f>SUM(H96:J96)</f>
        <v>0</v>
      </c>
      <c r="L96" s="1044"/>
      <c r="M96" s="1017"/>
      <c r="N96" s="1017"/>
      <c r="O96" s="1017"/>
      <c r="P96" s="1018">
        <f>SUM(M96:O96)</f>
        <v>0</v>
      </c>
      <c r="Q96" s="1017"/>
      <c r="R96" s="1017"/>
      <c r="S96" s="1017"/>
      <c r="T96" s="1018">
        <f>SUM(Q96:S96)</f>
        <v>0</v>
      </c>
      <c r="U96" s="1017"/>
      <c r="V96" s="1017"/>
      <c r="W96" s="1017"/>
      <c r="X96" s="1018">
        <f>SUM(U96:W96)</f>
        <v>0</v>
      </c>
      <c r="Y96" s="1017"/>
      <c r="Z96" s="1017"/>
      <c r="AA96" s="1017"/>
      <c r="AB96" s="1018">
        <f>SUM(Y96:AA96)</f>
        <v>0</v>
      </c>
      <c r="AC96" s="330"/>
    </row>
    <row r="97" spans="1:29" ht="30">
      <c r="A97" s="833" t="s">
        <v>369</v>
      </c>
      <c r="B97" s="701" t="s">
        <v>1622</v>
      </c>
      <c r="C97" s="346" t="s">
        <v>1000</v>
      </c>
      <c r="D97" s="1017">
        <f>'NSP Detailed Budget'!D631</f>
        <v>9000</v>
      </c>
      <c r="E97" s="1017">
        <f>'NSP Detailed Budget'!E631</f>
        <v>25200</v>
      </c>
      <c r="F97" s="1017">
        <f>'NSP Detailed Budget'!F631</f>
        <v>10800</v>
      </c>
      <c r="G97" s="1018">
        <f t="shared" ref="G97:G98" si="238">SUM(D97:F97)</f>
        <v>45000</v>
      </c>
      <c r="H97" s="1017"/>
      <c r="I97" s="1017"/>
      <c r="J97" s="1017"/>
      <c r="K97" s="1018">
        <f t="shared" ref="K97:K98" si="239">SUM(H97:J97)</f>
        <v>0</v>
      </c>
      <c r="L97" s="1044"/>
      <c r="M97" s="1017"/>
      <c r="N97" s="1017"/>
      <c r="O97" s="1017"/>
      <c r="P97" s="1018">
        <f t="shared" ref="P97:P98" si="240">SUM(M97:O97)</f>
        <v>0</v>
      </c>
      <c r="Q97" s="1017"/>
      <c r="R97" s="1017"/>
      <c r="S97" s="1017"/>
      <c r="T97" s="1018">
        <f t="shared" ref="T97:T98" si="241">SUM(Q97:S97)</f>
        <v>0</v>
      </c>
      <c r="U97" s="1017"/>
      <c r="V97" s="1017"/>
      <c r="W97" s="1017"/>
      <c r="X97" s="1018">
        <f t="shared" ref="X97:X98" si="242">SUM(U97:W97)</f>
        <v>0</v>
      </c>
      <c r="Y97" s="1017"/>
      <c r="Z97" s="1017"/>
      <c r="AA97" s="1017"/>
      <c r="AB97" s="1018">
        <f t="shared" ref="AB97:AB98" si="243">SUM(Y97:AA97)</f>
        <v>0</v>
      </c>
      <c r="AC97" s="330"/>
    </row>
    <row r="98" spans="1:29" ht="30">
      <c r="A98" s="833" t="s">
        <v>370</v>
      </c>
      <c r="B98" s="603" t="s">
        <v>1581</v>
      </c>
      <c r="C98" s="346" t="s">
        <v>1002</v>
      </c>
      <c r="D98" s="1017">
        <f>'NSP Detailed Budget'!D637</f>
        <v>24000</v>
      </c>
      <c r="E98" s="1017">
        <f>'NSP Detailed Budget'!E637</f>
        <v>24000</v>
      </c>
      <c r="F98" s="1017">
        <f>'NSP Detailed Budget'!F637</f>
        <v>24000</v>
      </c>
      <c r="G98" s="1018">
        <f t="shared" si="238"/>
        <v>72000</v>
      </c>
      <c r="H98" s="1017"/>
      <c r="I98" s="1017"/>
      <c r="J98" s="1017"/>
      <c r="K98" s="1018">
        <f t="shared" si="239"/>
        <v>0</v>
      </c>
      <c r="L98" s="1044"/>
      <c r="M98" s="1017"/>
      <c r="N98" s="1017"/>
      <c r="O98" s="1017"/>
      <c r="P98" s="1018">
        <f t="shared" si="240"/>
        <v>0</v>
      </c>
      <c r="Q98" s="1017"/>
      <c r="R98" s="1017"/>
      <c r="S98" s="1017"/>
      <c r="T98" s="1018">
        <f t="shared" si="241"/>
        <v>0</v>
      </c>
      <c r="U98" s="1017"/>
      <c r="V98" s="1017"/>
      <c r="W98" s="1017"/>
      <c r="X98" s="1018">
        <f t="shared" si="242"/>
        <v>0</v>
      </c>
      <c r="Y98" s="1017"/>
      <c r="Z98" s="1017"/>
      <c r="AA98" s="1017"/>
      <c r="AB98" s="1018">
        <f t="shared" si="243"/>
        <v>0</v>
      </c>
      <c r="AC98" s="330"/>
    </row>
    <row r="99" spans="1:29" ht="30">
      <c r="A99" s="833" t="s">
        <v>371</v>
      </c>
      <c r="B99" s="603" t="s">
        <v>1582</v>
      </c>
      <c r="C99" s="346" t="s">
        <v>754</v>
      </c>
      <c r="D99" s="1017">
        <f>'NSP Detailed Budget'!D644</f>
        <v>5100</v>
      </c>
      <c r="E99" s="1017">
        <f>'NSP Detailed Budget'!E644</f>
        <v>5100</v>
      </c>
      <c r="F99" s="1017">
        <f>'NSP Detailed Budget'!F644</f>
        <v>5100</v>
      </c>
      <c r="G99" s="1018">
        <f t="shared" ref="G99:G107" si="244">SUM(D99:F99)</f>
        <v>15300</v>
      </c>
      <c r="H99" s="1017"/>
      <c r="I99" s="1017"/>
      <c r="J99" s="1017"/>
      <c r="K99" s="1018">
        <f t="shared" ref="K99:K107" si="245">SUM(H99:J99)</f>
        <v>0</v>
      </c>
      <c r="L99" s="1044"/>
      <c r="M99" s="1017"/>
      <c r="N99" s="1017"/>
      <c r="O99" s="1017"/>
      <c r="P99" s="1018">
        <f t="shared" ref="P99:P107" si="246">SUM(M99:O99)</f>
        <v>0</v>
      </c>
      <c r="Q99" s="1017"/>
      <c r="R99" s="1017"/>
      <c r="S99" s="1017"/>
      <c r="T99" s="1018">
        <f t="shared" ref="T99:T107" si="247">SUM(Q99:S99)</f>
        <v>0</v>
      </c>
      <c r="U99" s="1017"/>
      <c r="V99" s="1017"/>
      <c r="W99" s="1017"/>
      <c r="X99" s="1018">
        <f t="shared" ref="X99:X107" si="248">SUM(U99:W99)</f>
        <v>0</v>
      </c>
      <c r="Y99" s="1017"/>
      <c r="Z99" s="1017"/>
      <c r="AA99" s="1017"/>
      <c r="AB99" s="1018">
        <f t="shared" ref="AB99:AB107" si="249">SUM(Y99:AA99)</f>
        <v>0</v>
      </c>
      <c r="AC99" s="330"/>
    </row>
    <row r="100" spans="1:29">
      <c r="A100" s="833" t="s">
        <v>372</v>
      </c>
      <c r="B100" s="603" t="s">
        <v>1587</v>
      </c>
      <c r="C100" s="346" t="s">
        <v>754</v>
      </c>
      <c r="D100" s="1017">
        <f>'NSP Detailed Budget'!D651</f>
        <v>24000</v>
      </c>
      <c r="E100" s="1017">
        <f>'NSP Detailed Budget'!E651</f>
        <v>39200</v>
      </c>
      <c r="F100" s="1017">
        <f>'NSP Detailed Budget'!F651</f>
        <v>39200</v>
      </c>
      <c r="G100" s="1018">
        <f t="shared" si="244"/>
        <v>102400</v>
      </c>
      <c r="H100" s="1017"/>
      <c r="I100" s="1017"/>
      <c r="J100" s="1017"/>
      <c r="K100" s="1018">
        <f t="shared" si="245"/>
        <v>0</v>
      </c>
      <c r="L100" s="1044"/>
      <c r="M100" s="1017"/>
      <c r="N100" s="1017"/>
      <c r="O100" s="1017"/>
      <c r="P100" s="1018">
        <f t="shared" si="246"/>
        <v>0</v>
      </c>
      <c r="Q100" s="1017"/>
      <c r="R100" s="1017"/>
      <c r="S100" s="1017"/>
      <c r="T100" s="1018">
        <f t="shared" si="247"/>
        <v>0</v>
      </c>
      <c r="U100" s="1017"/>
      <c r="V100" s="1017"/>
      <c r="W100" s="1017"/>
      <c r="X100" s="1018">
        <f t="shared" si="248"/>
        <v>0</v>
      </c>
      <c r="Y100" s="1017"/>
      <c r="Z100" s="1017"/>
      <c r="AA100" s="1017"/>
      <c r="AB100" s="1018">
        <f t="shared" si="249"/>
        <v>0</v>
      </c>
      <c r="AC100" s="330"/>
    </row>
    <row r="101" spans="1:29">
      <c r="A101" s="833" t="s">
        <v>373</v>
      </c>
      <c r="B101" s="603" t="s">
        <v>1588</v>
      </c>
      <c r="C101" s="346" t="s">
        <v>754</v>
      </c>
      <c r="D101" s="1017">
        <f>'NSP Detailed Budget'!D658</f>
        <v>22400</v>
      </c>
      <c r="E101" s="1017">
        <f>'NSP Detailed Budget'!E658</f>
        <v>44800</v>
      </c>
      <c r="F101" s="1017">
        <f>'NSP Detailed Budget'!F658</f>
        <v>44800</v>
      </c>
      <c r="G101" s="1018">
        <f t="shared" ref="G101:G102" si="250">SUM(D101:F101)</f>
        <v>112000</v>
      </c>
      <c r="H101" s="1017"/>
      <c r="I101" s="1017"/>
      <c r="J101" s="1017"/>
      <c r="K101" s="1018">
        <f t="shared" ref="K101:K102" si="251">SUM(H101:J101)</f>
        <v>0</v>
      </c>
      <c r="L101" s="1044"/>
      <c r="M101" s="1017"/>
      <c r="N101" s="1017"/>
      <c r="O101" s="1017"/>
      <c r="P101" s="1018">
        <f t="shared" ref="P101:P102" si="252">SUM(M101:O101)</f>
        <v>0</v>
      </c>
      <c r="Q101" s="1017"/>
      <c r="R101" s="1017"/>
      <c r="S101" s="1017"/>
      <c r="T101" s="1018">
        <f t="shared" ref="T101:T102" si="253">SUM(Q101:S101)</f>
        <v>0</v>
      </c>
      <c r="U101" s="1017"/>
      <c r="V101" s="1017"/>
      <c r="W101" s="1017"/>
      <c r="X101" s="1018">
        <f t="shared" ref="X101:X102" si="254">SUM(U101:W101)</f>
        <v>0</v>
      </c>
      <c r="Y101" s="1017"/>
      <c r="Z101" s="1017"/>
      <c r="AA101" s="1017"/>
      <c r="AB101" s="1018">
        <f t="shared" ref="AB101:AB102" si="255">SUM(Y101:AA101)</f>
        <v>0</v>
      </c>
      <c r="AC101" s="330"/>
    </row>
    <row r="102" spans="1:29">
      <c r="A102" s="833" t="s">
        <v>374</v>
      </c>
      <c r="B102" s="603" t="s">
        <v>1589</v>
      </c>
      <c r="C102" s="346" t="s">
        <v>754</v>
      </c>
      <c r="D102" s="1017">
        <f>'NSP Detailed Budget'!D665</f>
        <v>2900</v>
      </c>
      <c r="E102" s="1017">
        <f>'NSP Detailed Budget'!E665</f>
        <v>194900</v>
      </c>
      <c r="F102" s="1017">
        <f>'NSP Detailed Budget'!F665</f>
        <v>194900</v>
      </c>
      <c r="G102" s="1018">
        <f t="shared" si="250"/>
        <v>392700</v>
      </c>
      <c r="H102" s="1017"/>
      <c r="I102" s="1017"/>
      <c r="J102" s="1017"/>
      <c r="K102" s="1018">
        <f t="shared" si="251"/>
        <v>0</v>
      </c>
      <c r="L102" s="1044"/>
      <c r="M102" s="1017"/>
      <c r="N102" s="1017"/>
      <c r="O102" s="1017"/>
      <c r="P102" s="1018">
        <f t="shared" si="252"/>
        <v>0</v>
      </c>
      <c r="Q102" s="1017"/>
      <c r="R102" s="1017"/>
      <c r="S102" s="1017"/>
      <c r="T102" s="1018">
        <f t="shared" si="253"/>
        <v>0</v>
      </c>
      <c r="U102" s="1017"/>
      <c r="V102" s="1017"/>
      <c r="W102" s="1017"/>
      <c r="X102" s="1018">
        <f t="shared" si="254"/>
        <v>0</v>
      </c>
      <c r="Y102" s="1017"/>
      <c r="Z102" s="1017"/>
      <c r="AA102" s="1017"/>
      <c r="AB102" s="1018">
        <f t="shared" si="255"/>
        <v>0</v>
      </c>
      <c r="AC102" s="330"/>
    </row>
    <row r="103" spans="1:29">
      <c r="A103" s="833" t="s">
        <v>375</v>
      </c>
      <c r="B103" s="621" t="s">
        <v>1606</v>
      </c>
      <c r="C103" s="346" t="s">
        <v>1000</v>
      </c>
      <c r="D103" s="1017">
        <f>'NSP Detailed Budget'!D670</f>
        <v>0</v>
      </c>
      <c r="E103" s="1017">
        <f>'NSP Detailed Budget'!E670</f>
        <v>10800</v>
      </c>
      <c r="F103" s="1017">
        <f>'NSP Detailed Budget'!F670</f>
        <v>10800</v>
      </c>
      <c r="G103" s="1018">
        <f>SUM(D103:F103)</f>
        <v>21600</v>
      </c>
      <c r="H103" s="1017"/>
      <c r="I103" s="1017"/>
      <c r="J103" s="1017"/>
      <c r="K103" s="1018">
        <f>SUM(H103:J103)</f>
        <v>0</v>
      </c>
      <c r="L103" s="1044"/>
      <c r="M103" s="1017"/>
      <c r="N103" s="1017"/>
      <c r="O103" s="1017"/>
      <c r="P103" s="1018">
        <f>SUM(M103:O103)</f>
        <v>0</v>
      </c>
      <c r="Q103" s="1017"/>
      <c r="R103" s="1017"/>
      <c r="S103" s="1017"/>
      <c r="T103" s="1018">
        <f>SUM(Q103:S103)</f>
        <v>0</v>
      </c>
      <c r="U103" s="1017"/>
      <c r="V103" s="1017"/>
      <c r="W103" s="1017"/>
      <c r="X103" s="1018">
        <f>SUM(U103:W103)</f>
        <v>0</v>
      </c>
      <c r="Y103" s="1017"/>
      <c r="Z103" s="1017"/>
      <c r="AA103" s="1017"/>
      <c r="AB103" s="1018">
        <f>SUM(Y103:AA103)</f>
        <v>0</v>
      </c>
      <c r="AC103" s="330"/>
    </row>
    <row r="104" spans="1:29">
      <c r="A104" s="833" t="s">
        <v>1580</v>
      </c>
      <c r="B104" s="621" t="s">
        <v>1607</v>
      </c>
      <c r="C104" s="346" t="s">
        <v>754</v>
      </c>
      <c r="D104" s="1017">
        <f>'NSP Detailed Budget'!D677</f>
        <v>0</v>
      </c>
      <c r="E104" s="1017">
        <f>'NSP Detailed Budget'!E677</f>
        <v>44800</v>
      </c>
      <c r="F104" s="1017">
        <f>'NSP Detailed Budget'!F677</f>
        <v>5600</v>
      </c>
      <c r="G104" s="1018">
        <f>SUM(D104:F104)</f>
        <v>50400</v>
      </c>
      <c r="H104" s="1017"/>
      <c r="I104" s="1017"/>
      <c r="J104" s="1017"/>
      <c r="K104" s="1018">
        <f>SUM(H104:J104)</f>
        <v>0</v>
      </c>
      <c r="L104" s="1044"/>
      <c r="M104" s="1017"/>
      <c r="N104" s="1017"/>
      <c r="O104" s="1017"/>
      <c r="P104" s="1018">
        <f>SUM(M104:O104)</f>
        <v>0</v>
      </c>
      <c r="Q104" s="1017"/>
      <c r="R104" s="1017"/>
      <c r="S104" s="1017"/>
      <c r="T104" s="1018">
        <f>SUM(Q104:S104)</f>
        <v>0</v>
      </c>
      <c r="U104" s="1017"/>
      <c r="V104" s="1017"/>
      <c r="W104" s="1017"/>
      <c r="X104" s="1018">
        <f>SUM(U104:W104)</f>
        <v>0</v>
      </c>
      <c r="Y104" s="1017"/>
      <c r="Z104" s="1017"/>
      <c r="AA104" s="1017"/>
      <c r="AB104" s="1018">
        <f>SUM(Y104:AA104)</f>
        <v>0</v>
      </c>
      <c r="AC104" s="330"/>
    </row>
    <row r="105" spans="1:29" ht="30">
      <c r="A105" s="341">
        <v>3.2</v>
      </c>
      <c r="B105" s="342" t="s">
        <v>1795</v>
      </c>
      <c r="C105" s="343"/>
      <c r="D105" s="1015">
        <f>SUM(D106:D115)</f>
        <v>704946</v>
      </c>
      <c r="E105" s="1015">
        <f t="shared" ref="E105:AB105" si="256">SUM(E106:E115)</f>
        <v>709740</v>
      </c>
      <c r="F105" s="1015">
        <f t="shared" si="256"/>
        <v>494460</v>
      </c>
      <c r="G105" s="1016">
        <f t="shared" si="256"/>
        <v>1909146</v>
      </c>
      <c r="H105" s="1015">
        <f t="shared" si="256"/>
        <v>0</v>
      </c>
      <c r="I105" s="1015">
        <f t="shared" si="256"/>
        <v>0</v>
      </c>
      <c r="J105" s="1015">
        <f t="shared" si="256"/>
        <v>0</v>
      </c>
      <c r="K105" s="1016">
        <f t="shared" si="256"/>
        <v>0</v>
      </c>
      <c r="L105" s="1043"/>
      <c r="M105" s="1015">
        <f t="shared" si="256"/>
        <v>0</v>
      </c>
      <c r="N105" s="1015">
        <f t="shared" si="256"/>
        <v>0</v>
      </c>
      <c r="O105" s="1015">
        <f t="shared" si="256"/>
        <v>0</v>
      </c>
      <c r="P105" s="1016">
        <f t="shared" si="256"/>
        <v>0</v>
      </c>
      <c r="Q105" s="1015">
        <f t="shared" si="256"/>
        <v>0</v>
      </c>
      <c r="R105" s="1015">
        <f t="shared" si="256"/>
        <v>0</v>
      </c>
      <c r="S105" s="1015">
        <f t="shared" si="256"/>
        <v>0</v>
      </c>
      <c r="T105" s="1016">
        <f t="shared" si="256"/>
        <v>0</v>
      </c>
      <c r="U105" s="1015">
        <f t="shared" si="256"/>
        <v>0</v>
      </c>
      <c r="V105" s="1015">
        <f t="shared" si="256"/>
        <v>0</v>
      </c>
      <c r="W105" s="1015">
        <f t="shared" si="256"/>
        <v>0</v>
      </c>
      <c r="X105" s="1016">
        <f t="shared" si="256"/>
        <v>0</v>
      </c>
      <c r="Y105" s="1015">
        <f t="shared" si="256"/>
        <v>0</v>
      </c>
      <c r="Z105" s="1015">
        <f t="shared" si="256"/>
        <v>0</v>
      </c>
      <c r="AA105" s="1015">
        <f t="shared" si="256"/>
        <v>0</v>
      </c>
      <c r="AB105" s="1016">
        <f t="shared" si="256"/>
        <v>0</v>
      </c>
      <c r="AC105" s="330"/>
    </row>
    <row r="106" spans="1:29">
      <c r="A106" s="833" t="s">
        <v>376</v>
      </c>
      <c r="B106" s="603" t="s">
        <v>1583</v>
      </c>
      <c r="C106" s="346" t="s">
        <v>1001</v>
      </c>
      <c r="D106" s="1017">
        <f>'NSP Detailed Budget'!D688</f>
        <v>25000</v>
      </c>
      <c r="E106" s="1017">
        <f>'NSP Detailed Budget'!E688</f>
        <v>25000</v>
      </c>
      <c r="F106" s="1017">
        <f>'NSP Detailed Budget'!F688</f>
        <v>25000</v>
      </c>
      <c r="G106" s="1018">
        <f t="shared" si="244"/>
        <v>75000</v>
      </c>
      <c r="H106" s="1017"/>
      <c r="I106" s="1017"/>
      <c r="J106" s="1017"/>
      <c r="K106" s="1018">
        <f t="shared" si="245"/>
        <v>0</v>
      </c>
      <c r="L106" s="1044"/>
      <c r="M106" s="1017"/>
      <c r="N106" s="1017"/>
      <c r="O106" s="1017"/>
      <c r="P106" s="1018">
        <f t="shared" si="246"/>
        <v>0</v>
      </c>
      <c r="Q106" s="1017"/>
      <c r="R106" s="1017"/>
      <c r="S106" s="1017"/>
      <c r="T106" s="1018">
        <f t="shared" si="247"/>
        <v>0</v>
      </c>
      <c r="U106" s="1017"/>
      <c r="V106" s="1017"/>
      <c r="W106" s="1017"/>
      <c r="X106" s="1018">
        <f t="shared" si="248"/>
        <v>0</v>
      </c>
      <c r="Y106" s="1017"/>
      <c r="Z106" s="1017"/>
      <c r="AA106" s="1017"/>
      <c r="AB106" s="1018">
        <f t="shared" si="249"/>
        <v>0</v>
      </c>
      <c r="AC106" s="330"/>
    </row>
    <row r="107" spans="1:29">
      <c r="A107" s="833" t="s">
        <v>377</v>
      </c>
      <c r="B107" s="603" t="s">
        <v>1584</v>
      </c>
      <c r="C107" s="346" t="s">
        <v>1001</v>
      </c>
      <c r="D107" s="1017">
        <f>'NSP Detailed Budget'!D693</f>
        <v>10000</v>
      </c>
      <c r="E107" s="1017">
        <f>'NSP Detailed Budget'!E693</f>
        <v>10000</v>
      </c>
      <c r="F107" s="1017">
        <f>'NSP Detailed Budget'!F693</f>
        <v>10000</v>
      </c>
      <c r="G107" s="1018">
        <f t="shared" si="244"/>
        <v>30000</v>
      </c>
      <c r="H107" s="1017"/>
      <c r="I107" s="1017"/>
      <c r="J107" s="1017"/>
      <c r="K107" s="1018">
        <f t="shared" si="245"/>
        <v>0</v>
      </c>
      <c r="L107" s="1044"/>
      <c r="M107" s="1017"/>
      <c r="N107" s="1017"/>
      <c r="O107" s="1017"/>
      <c r="P107" s="1018">
        <f t="shared" si="246"/>
        <v>0</v>
      </c>
      <c r="Q107" s="1017"/>
      <c r="R107" s="1017"/>
      <c r="S107" s="1017"/>
      <c r="T107" s="1018">
        <f t="shared" si="247"/>
        <v>0</v>
      </c>
      <c r="U107" s="1017"/>
      <c r="V107" s="1017"/>
      <c r="W107" s="1017"/>
      <c r="X107" s="1018">
        <f t="shared" si="248"/>
        <v>0</v>
      </c>
      <c r="Y107" s="1017"/>
      <c r="Z107" s="1017"/>
      <c r="AA107" s="1017"/>
      <c r="AB107" s="1018">
        <f t="shared" si="249"/>
        <v>0</v>
      </c>
      <c r="AC107" s="330"/>
    </row>
    <row r="108" spans="1:29">
      <c r="A108" s="833" t="s">
        <v>378</v>
      </c>
      <c r="B108" s="603" t="s">
        <v>1597</v>
      </c>
      <c r="C108" s="346" t="s">
        <v>1001</v>
      </c>
      <c r="D108" s="1017">
        <f>'NSP Detailed Budget'!D698</f>
        <v>5480</v>
      </c>
      <c r="E108" s="1017">
        <f>'NSP Detailed Budget'!E698</f>
        <v>5480</v>
      </c>
      <c r="F108" s="1017">
        <f>'NSP Detailed Budget'!F698</f>
        <v>5480</v>
      </c>
      <c r="G108" s="1018">
        <f t="shared" ref="G108" si="257">SUM(D108:F108)</f>
        <v>16440</v>
      </c>
      <c r="H108" s="1017"/>
      <c r="I108" s="1017"/>
      <c r="J108" s="1017"/>
      <c r="K108" s="1018">
        <f t="shared" ref="K108" si="258">SUM(H108:J108)</f>
        <v>0</v>
      </c>
      <c r="L108" s="1044"/>
      <c r="M108" s="1017"/>
      <c r="N108" s="1017"/>
      <c r="O108" s="1017"/>
      <c r="P108" s="1018">
        <f t="shared" ref="P108" si="259">SUM(M108:O108)</f>
        <v>0</v>
      </c>
      <c r="Q108" s="1017"/>
      <c r="R108" s="1017"/>
      <c r="S108" s="1017"/>
      <c r="T108" s="1018">
        <f t="shared" ref="T108" si="260">SUM(Q108:S108)</f>
        <v>0</v>
      </c>
      <c r="U108" s="1017"/>
      <c r="V108" s="1017"/>
      <c r="W108" s="1017"/>
      <c r="X108" s="1018">
        <f t="shared" ref="X108" si="261">SUM(U108:W108)</f>
        <v>0</v>
      </c>
      <c r="Y108" s="1017"/>
      <c r="Z108" s="1017"/>
      <c r="AA108" s="1017"/>
      <c r="AB108" s="1018">
        <f t="shared" ref="AB108" si="262">SUM(Y108:AA108)</f>
        <v>0</v>
      </c>
      <c r="AC108" s="330"/>
    </row>
    <row r="109" spans="1:29">
      <c r="A109" s="833" t="s">
        <v>379</v>
      </c>
      <c r="B109" s="603" t="s">
        <v>1585</v>
      </c>
      <c r="C109" s="346" t="s">
        <v>1001</v>
      </c>
      <c r="D109" s="1017">
        <f>'NSP Detailed Budget'!D703</f>
        <v>2200</v>
      </c>
      <c r="E109" s="1017">
        <f>'NSP Detailed Budget'!E703</f>
        <v>2200</v>
      </c>
      <c r="F109" s="1017">
        <f>'NSP Detailed Budget'!F703</f>
        <v>2200</v>
      </c>
      <c r="G109" s="1018">
        <f t="shared" ref="G109:G114" si="263">SUM(D109:F109)</f>
        <v>6600</v>
      </c>
      <c r="H109" s="1017"/>
      <c r="I109" s="1017"/>
      <c r="J109" s="1017"/>
      <c r="K109" s="1018">
        <f t="shared" ref="K109:K114" si="264">SUM(H109:J109)</f>
        <v>0</v>
      </c>
      <c r="L109" s="1044"/>
      <c r="M109" s="1017"/>
      <c r="N109" s="1017"/>
      <c r="O109" s="1017"/>
      <c r="P109" s="1018">
        <f t="shared" ref="P109:P114" si="265">SUM(M109:O109)</f>
        <v>0</v>
      </c>
      <c r="Q109" s="1017"/>
      <c r="R109" s="1017"/>
      <c r="S109" s="1017"/>
      <c r="T109" s="1018">
        <f t="shared" ref="T109:T114" si="266">SUM(Q109:S109)</f>
        <v>0</v>
      </c>
      <c r="U109" s="1017"/>
      <c r="V109" s="1017"/>
      <c r="W109" s="1017"/>
      <c r="X109" s="1018">
        <f t="shared" ref="X109:X114" si="267">SUM(U109:W109)</f>
        <v>0</v>
      </c>
      <c r="Y109" s="1017"/>
      <c r="Z109" s="1017"/>
      <c r="AA109" s="1017"/>
      <c r="AB109" s="1018">
        <f t="shared" ref="AB109:AB114" si="268">SUM(Y109:AA109)</f>
        <v>0</v>
      </c>
      <c r="AC109" s="330"/>
    </row>
    <row r="110" spans="1:29">
      <c r="A110" s="833" t="s">
        <v>380</v>
      </c>
      <c r="B110" s="603" t="s">
        <v>1592</v>
      </c>
      <c r="C110" s="346" t="s">
        <v>1000</v>
      </c>
      <c r="D110" s="1017">
        <f>'NSP Detailed Budget'!D708</f>
        <v>10800</v>
      </c>
      <c r="E110" s="1017">
        <f>'NSP Detailed Budget'!E708</f>
        <v>10800</v>
      </c>
      <c r="F110" s="1017">
        <f>'NSP Detailed Budget'!F708</f>
        <v>10800</v>
      </c>
      <c r="G110" s="1018">
        <f t="shared" ref="G110" si="269">SUM(D110:F110)</f>
        <v>32400</v>
      </c>
      <c r="H110" s="1017"/>
      <c r="I110" s="1017"/>
      <c r="J110" s="1017"/>
      <c r="K110" s="1018">
        <f t="shared" ref="K110" si="270">SUM(H110:J110)</f>
        <v>0</v>
      </c>
      <c r="L110" s="1044"/>
      <c r="M110" s="1017"/>
      <c r="N110" s="1017"/>
      <c r="O110" s="1017"/>
      <c r="P110" s="1018">
        <f t="shared" ref="P110" si="271">SUM(M110:O110)</f>
        <v>0</v>
      </c>
      <c r="Q110" s="1017"/>
      <c r="R110" s="1017"/>
      <c r="S110" s="1017"/>
      <c r="T110" s="1018">
        <f t="shared" ref="T110" si="272">SUM(Q110:S110)</f>
        <v>0</v>
      </c>
      <c r="U110" s="1017"/>
      <c r="V110" s="1017"/>
      <c r="W110" s="1017"/>
      <c r="X110" s="1018">
        <f t="shared" ref="X110" si="273">SUM(U110:W110)</f>
        <v>0</v>
      </c>
      <c r="Y110" s="1017"/>
      <c r="Z110" s="1017"/>
      <c r="AA110" s="1017"/>
      <c r="AB110" s="1018">
        <f t="shared" ref="AB110" si="274">SUM(Y110:AA110)</f>
        <v>0</v>
      </c>
      <c r="AC110" s="330"/>
    </row>
    <row r="111" spans="1:29">
      <c r="A111" s="833" t="s">
        <v>381</v>
      </c>
      <c r="B111" s="966" t="s">
        <v>1796</v>
      </c>
      <c r="C111" s="346" t="s">
        <v>1001</v>
      </c>
      <c r="D111" s="1017">
        <f>'NSP Detailed Budget'!D712</f>
        <v>20000</v>
      </c>
      <c r="E111" s="1017">
        <f>'NSP Detailed Budget'!E712</f>
        <v>20000</v>
      </c>
      <c r="F111" s="1017">
        <f>'NSP Detailed Budget'!F712</f>
        <v>20000</v>
      </c>
      <c r="G111" s="1018">
        <f t="shared" ref="G111" si="275">SUM(D111:F111)</f>
        <v>60000</v>
      </c>
      <c r="H111" s="1017"/>
      <c r="I111" s="1017"/>
      <c r="J111" s="1017"/>
      <c r="K111" s="1018">
        <f t="shared" ref="K111" si="276">SUM(H111:J111)</f>
        <v>0</v>
      </c>
      <c r="L111" s="1044"/>
      <c r="M111" s="1017"/>
      <c r="N111" s="1017"/>
      <c r="O111" s="1017"/>
      <c r="P111" s="1018">
        <f t="shared" ref="P111" si="277">SUM(M111:O111)</f>
        <v>0</v>
      </c>
      <c r="Q111" s="1017"/>
      <c r="R111" s="1017"/>
      <c r="S111" s="1017"/>
      <c r="T111" s="1018">
        <f t="shared" ref="T111" si="278">SUM(Q111:S111)</f>
        <v>0</v>
      </c>
      <c r="U111" s="1017"/>
      <c r="V111" s="1017"/>
      <c r="W111" s="1017"/>
      <c r="X111" s="1018">
        <f t="shared" ref="X111" si="279">SUM(U111:W111)</f>
        <v>0</v>
      </c>
      <c r="Y111" s="1017"/>
      <c r="Z111" s="1017"/>
      <c r="AA111" s="1017"/>
      <c r="AB111" s="1018">
        <f t="shared" ref="AB111" si="280">SUM(Y111:AA111)</f>
        <v>0</v>
      </c>
      <c r="AC111" s="330"/>
    </row>
    <row r="112" spans="1:29">
      <c r="A112" s="833" t="s">
        <v>382</v>
      </c>
      <c r="B112" s="603" t="s">
        <v>1590</v>
      </c>
      <c r="C112" s="346" t="s">
        <v>1001</v>
      </c>
      <c r="D112" s="1017">
        <f>'NSP Detailed Budget'!D716</f>
        <v>12000</v>
      </c>
      <c r="E112" s="1017">
        <f>'NSP Detailed Budget'!E716</f>
        <v>12000</v>
      </c>
      <c r="F112" s="1017">
        <f>'NSP Detailed Budget'!F716</f>
        <v>12000</v>
      </c>
      <c r="G112" s="1018">
        <f t="shared" ref="G112" si="281">SUM(D112:F112)</f>
        <v>36000</v>
      </c>
      <c r="H112" s="1017"/>
      <c r="I112" s="1017"/>
      <c r="J112" s="1017"/>
      <c r="K112" s="1018">
        <f t="shared" ref="K112" si="282">SUM(H112:J112)</f>
        <v>0</v>
      </c>
      <c r="L112" s="1044"/>
      <c r="M112" s="1017"/>
      <c r="N112" s="1017"/>
      <c r="O112" s="1017"/>
      <c r="P112" s="1018">
        <f t="shared" ref="P112" si="283">SUM(M112:O112)</f>
        <v>0</v>
      </c>
      <c r="Q112" s="1017"/>
      <c r="R112" s="1017"/>
      <c r="S112" s="1017"/>
      <c r="T112" s="1018">
        <f t="shared" ref="T112" si="284">SUM(Q112:S112)</f>
        <v>0</v>
      </c>
      <c r="U112" s="1017"/>
      <c r="V112" s="1017"/>
      <c r="W112" s="1017"/>
      <c r="X112" s="1018">
        <f t="shared" ref="X112" si="285">SUM(U112:W112)</f>
        <v>0</v>
      </c>
      <c r="Y112" s="1017"/>
      <c r="Z112" s="1017"/>
      <c r="AA112" s="1017"/>
      <c r="AB112" s="1018">
        <f t="shared" ref="AB112" si="286">SUM(Y112:AA112)</f>
        <v>0</v>
      </c>
      <c r="AC112" s="330"/>
    </row>
    <row r="113" spans="1:29">
      <c r="A113" s="833" t="s">
        <v>383</v>
      </c>
      <c r="B113" s="603" t="s">
        <v>1797</v>
      </c>
      <c r="C113" s="346" t="s">
        <v>770</v>
      </c>
      <c r="D113" s="1017">
        <f>'NSP Detailed Budget'!D720</f>
        <v>202700</v>
      </c>
      <c r="E113" s="1017">
        <f>'NSP Detailed Budget'!E720</f>
        <v>202700</v>
      </c>
      <c r="F113" s="1017">
        <f>'NSP Detailed Budget'!F720</f>
        <v>202700</v>
      </c>
      <c r="G113" s="1018">
        <f t="shared" ref="G113" si="287">SUM(D113:F113)</f>
        <v>608100</v>
      </c>
      <c r="H113" s="1017"/>
      <c r="I113" s="1017"/>
      <c r="J113" s="1017"/>
      <c r="K113" s="1018">
        <f t="shared" ref="K113" si="288">SUM(H113:J113)</f>
        <v>0</v>
      </c>
      <c r="L113" s="1044"/>
      <c r="M113" s="1017"/>
      <c r="N113" s="1017"/>
      <c r="O113" s="1017"/>
      <c r="P113" s="1018">
        <f t="shared" ref="P113" si="289">SUM(M113:O113)</f>
        <v>0</v>
      </c>
      <c r="Q113" s="1017"/>
      <c r="R113" s="1017"/>
      <c r="S113" s="1017"/>
      <c r="T113" s="1018">
        <f t="shared" ref="T113" si="290">SUM(Q113:S113)</f>
        <v>0</v>
      </c>
      <c r="U113" s="1017"/>
      <c r="V113" s="1017"/>
      <c r="W113" s="1017"/>
      <c r="X113" s="1018">
        <f t="shared" ref="X113" si="291">SUM(U113:W113)</f>
        <v>0</v>
      </c>
      <c r="Y113" s="1017"/>
      <c r="Z113" s="1017"/>
      <c r="AA113" s="1017"/>
      <c r="AB113" s="1018">
        <f t="shared" ref="AB113" si="292">SUM(Y113:AA113)</f>
        <v>0</v>
      </c>
      <c r="AC113" s="330"/>
    </row>
    <row r="114" spans="1:29">
      <c r="A114" s="833" t="s">
        <v>1605</v>
      </c>
      <c r="B114" s="603" t="s">
        <v>1586</v>
      </c>
      <c r="C114" s="346" t="s">
        <v>998</v>
      </c>
      <c r="D114" s="1017">
        <f>'NSP Detailed Budget'!D725</f>
        <v>0</v>
      </c>
      <c r="E114" s="1017">
        <f>'NSP Detailed Budget'!E725</f>
        <v>97300</v>
      </c>
      <c r="F114" s="1017">
        <f>'NSP Detailed Budget'!F725</f>
        <v>0</v>
      </c>
      <c r="G114" s="1018">
        <f t="shared" si="263"/>
        <v>97300</v>
      </c>
      <c r="H114" s="1017"/>
      <c r="I114" s="1017"/>
      <c r="J114" s="1017"/>
      <c r="K114" s="1018">
        <f t="shared" si="264"/>
        <v>0</v>
      </c>
      <c r="L114" s="1044"/>
      <c r="M114" s="1017"/>
      <c r="N114" s="1017"/>
      <c r="O114" s="1017"/>
      <c r="P114" s="1018">
        <f t="shared" si="265"/>
        <v>0</v>
      </c>
      <c r="Q114" s="1017"/>
      <c r="R114" s="1017"/>
      <c r="S114" s="1017"/>
      <c r="T114" s="1018">
        <f t="shared" si="266"/>
        <v>0</v>
      </c>
      <c r="U114" s="1017"/>
      <c r="V114" s="1017"/>
      <c r="W114" s="1017"/>
      <c r="X114" s="1018">
        <f t="shared" si="267"/>
        <v>0</v>
      </c>
      <c r="Y114" s="1017"/>
      <c r="Z114" s="1017"/>
      <c r="AA114" s="1017"/>
      <c r="AB114" s="1018">
        <f t="shared" si="268"/>
        <v>0</v>
      </c>
      <c r="AC114" s="330"/>
    </row>
    <row r="115" spans="1:29" ht="30">
      <c r="A115" s="833" t="s">
        <v>1257</v>
      </c>
      <c r="B115" s="603" t="s">
        <v>1591</v>
      </c>
      <c r="C115" s="346" t="s">
        <v>1001</v>
      </c>
      <c r="D115" s="1017">
        <f>'NSP Detailed Budget'!D729</f>
        <v>416766</v>
      </c>
      <c r="E115" s="1017">
        <f>'NSP Detailed Budget'!E729</f>
        <v>324260</v>
      </c>
      <c r="F115" s="1017">
        <f>'NSP Detailed Budget'!F729</f>
        <v>206280</v>
      </c>
      <c r="G115" s="1018">
        <f t="shared" ref="G115" si="293">SUM(D115:F115)</f>
        <v>947306</v>
      </c>
      <c r="H115" s="1017"/>
      <c r="I115" s="1017"/>
      <c r="J115" s="1017"/>
      <c r="K115" s="1018">
        <f t="shared" ref="K115" si="294">SUM(H115:J115)</f>
        <v>0</v>
      </c>
      <c r="L115" s="1044"/>
      <c r="M115" s="1017"/>
      <c r="N115" s="1017"/>
      <c r="O115" s="1017"/>
      <c r="P115" s="1018">
        <f t="shared" ref="P115" si="295">SUM(M115:O115)</f>
        <v>0</v>
      </c>
      <c r="Q115" s="1017"/>
      <c r="R115" s="1017"/>
      <c r="S115" s="1017"/>
      <c r="T115" s="1018">
        <f t="shared" ref="T115" si="296">SUM(Q115:S115)</f>
        <v>0</v>
      </c>
      <c r="U115" s="1017"/>
      <c r="V115" s="1017"/>
      <c r="W115" s="1017"/>
      <c r="X115" s="1018">
        <f t="shared" ref="X115" si="297">SUM(U115:W115)</f>
        <v>0</v>
      </c>
      <c r="Y115" s="1017"/>
      <c r="Z115" s="1017"/>
      <c r="AA115" s="1017"/>
      <c r="AB115" s="1018">
        <f t="shared" ref="AB115" si="298">SUM(Y115:AA115)</f>
        <v>0</v>
      </c>
      <c r="AC115" s="330"/>
    </row>
    <row r="116" spans="1:29" ht="30">
      <c r="A116" s="341">
        <v>3.3</v>
      </c>
      <c r="B116" s="342" t="s">
        <v>1259</v>
      </c>
      <c r="C116" s="343"/>
      <c r="D116" s="1015">
        <f>SUM(D117:D125)</f>
        <v>333725</v>
      </c>
      <c r="E116" s="1015">
        <f t="shared" ref="E116:G116" si="299">SUM(E117:E125)</f>
        <v>482450</v>
      </c>
      <c r="F116" s="1015">
        <f t="shared" si="299"/>
        <v>512450</v>
      </c>
      <c r="G116" s="1016">
        <f t="shared" si="299"/>
        <v>1328625</v>
      </c>
      <c r="H116" s="1015">
        <f t="shared" ref="H116:AB116" si="300">SUM(H117:H124)</f>
        <v>0</v>
      </c>
      <c r="I116" s="1015">
        <f t="shared" si="300"/>
        <v>0</v>
      </c>
      <c r="J116" s="1015">
        <f t="shared" si="300"/>
        <v>0</v>
      </c>
      <c r="K116" s="1016">
        <f t="shared" si="300"/>
        <v>0</v>
      </c>
      <c r="L116" s="1043"/>
      <c r="M116" s="1015">
        <f t="shared" si="300"/>
        <v>0</v>
      </c>
      <c r="N116" s="1015">
        <f t="shared" si="300"/>
        <v>0</v>
      </c>
      <c r="O116" s="1015">
        <f t="shared" si="300"/>
        <v>0</v>
      </c>
      <c r="P116" s="1016">
        <f t="shared" si="300"/>
        <v>0</v>
      </c>
      <c r="Q116" s="1015">
        <f t="shared" si="300"/>
        <v>0</v>
      </c>
      <c r="R116" s="1015">
        <f t="shared" si="300"/>
        <v>0</v>
      </c>
      <c r="S116" s="1015">
        <f t="shared" si="300"/>
        <v>0</v>
      </c>
      <c r="T116" s="1016">
        <f t="shared" si="300"/>
        <v>0</v>
      </c>
      <c r="U116" s="1015">
        <f t="shared" si="300"/>
        <v>0</v>
      </c>
      <c r="V116" s="1015">
        <f t="shared" si="300"/>
        <v>0</v>
      </c>
      <c r="W116" s="1015">
        <f t="shared" si="300"/>
        <v>0</v>
      </c>
      <c r="X116" s="1016">
        <f t="shared" si="300"/>
        <v>0</v>
      </c>
      <c r="Y116" s="1015">
        <f t="shared" si="300"/>
        <v>0</v>
      </c>
      <c r="Z116" s="1015">
        <f t="shared" si="300"/>
        <v>0</v>
      </c>
      <c r="AA116" s="1015">
        <f t="shared" si="300"/>
        <v>0</v>
      </c>
      <c r="AB116" s="1016">
        <f t="shared" si="300"/>
        <v>0</v>
      </c>
      <c r="AC116" s="330"/>
    </row>
    <row r="117" spans="1:29">
      <c r="A117" s="999" t="s">
        <v>384</v>
      </c>
      <c r="B117" s="621" t="s">
        <v>1610</v>
      </c>
      <c r="C117" s="346" t="s">
        <v>999</v>
      </c>
      <c r="D117" s="1017">
        <f>'NSP Detailed Budget'!D736</f>
        <v>6000</v>
      </c>
      <c r="E117" s="1017">
        <f>'NSP Detailed Budget'!E736</f>
        <v>12000</v>
      </c>
      <c r="F117" s="1017">
        <f>'NSP Detailed Budget'!F736</f>
        <v>12000</v>
      </c>
      <c r="G117" s="1018">
        <f>SUM(D117:F117)</f>
        <v>30000</v>
      </c>
      <c r="H117" s="1017"/>
      <c r="I117" s="1017"/>
      <c r="J117" s="1017"/>
      <c r="K117" s="1018">
        <f>SUM(H117:J117)</f>
        <v>0</v>
      </c>
      <c r="L117" s="1044"/>
      <c r="M117" s="1017"/>
      <c r="N117" s="1017"/>
      <c r="O117" s="1017"/>
      <c r="P117" s="1018">
        <f>SUM(M117:O117)</f>
        <v>0</v>
      </c>
      <c r="Q117" s="1017"/>
      <c r="R117" s="1017"/>
      <c r="S117" s="1017"/>
      <c r="T117" s="1018">
        <f>SUM(Q117:S117)</f>
        <v>0</v>
      </c>
      <c r="U117" s="1017"/>
      <c r="V117" s="1017"/>
      <c r="W117" s="1017"/>
      <c r="X117" s="1018">
        <f>SUM(U117:W117)</f>
        <v>0</v>
      </c>
      <c r="Y117" s="1017"/>
      <c r="Z117" s="1017"/>
      <c r="AA117" s="1017"/>
      <c r="AB117" s="1018">
        <f>SUM(Y117:AA117)</f>
        <v>0</v>
      </c>
      <c r="AC117" s="330"/>
    </row>
    <row r="118" spans="1:29" ht="30">
      <c r="A118" s="999" t="s">
        <v>385</v>
      </c>
      <c r="B118" s="966" t="s">
        <v>1801</v>
      </c>
      <c r="C118" s="346" t="s">
        <v>1006</v>
      </c>
      <c r="D118" s="1017">
        <f>'NSP Detailed Budget'!D741</f>
        <v>120000</v>
      </c>
      <c r="E118" s="1017">
        <f>'NSP Detailed Budget'!E741</f>
        <v>240000</v>
      </c>
      <c r="F118" s="1017">
        <f>'NSP Detailed Budget'!F741</f>
        <v>240000</v>
      </c>
      <c r="G118" s="1018">
        <f t="shared" ref="G118" si="301">SUM(D118:F118)</f>
        <v>600000</v>
      </c>
      <c r="H118" s="1017"/>
      <c r="I118" s="1017"/>
      <c r="J118" s="1017"/>
      <c r="K118" s="1018">
        <f t="shared" ref="K118" si="302">SUM(H118:J118)</f>
        <v>0</v>
      </c>
      <c r="L118" s="1044"/>
      <c r="M118" s="1017"/>
      <c r="N118" s="1017"/>
      <c r="O118" s="1017"/>
      <c r="P118" s="1018">
        <f t="shared" ref="P118" si="303">SUM(M118:O118)</f>
        <v>0</v>
      </c>
      <c r="Q118" s="1017"/>
      <c r="R118" s="1017"/>
      <c r="S118" s="1017"/>
      <c r="T118" s="1018">
        <f t="shared" ref="T118" si="304">SUM(Q118:S118)</f>
        <v>0</v>
      </c>
      <c r="U118" s="1017"/>
      <c r="V118" s="1017"/>
      <c r="W118" s="1017"/>
      <c r="X118" s="1018">
        <f t="shared" ref="X118" si="305">SUM(U118:W118)</f>
        <v>0</v>
      </c>
      <c r="Y118" s="1017"/>
      <c r="Z118" s="1017"/>
      <c r="AA118" s="1017"/>
      <c r="AB118" s="1018">
        <f t="shared" ref="AB118" si="306">SUM(Y118:AA118)</f>
        <v>0</v>
      </c>
      <c r="AC118" s="330"/>
    </row>
    <row r="119" spans="1:29" ht="30">
      <c r="A119" s="999" t="s">
        <v>386</v>
      </c>
      <c r="B119" s="966" t="s">
        <v>1800</v>
      </c>
      <c r="C119" s="346" t="s">
        <v>1006</v>
      </c>
      <c r="D119" s="1017">
        <f>'NSP Detailed Budget'!D746</f>
        <v>120000</v>
      </c>
      <c r="E119" s="1017">
        <f>'NSP Detailed Budget'!E746</f>
        <v>120000</v>
      </c>
      <c r="F119" s="1017">
        <f>'NSP Detailed Budget'!F746</f>
        <v>120000</v>
      </c>
      <c r="G119" s="1018">
        <f t="shared" ref="G119:G121" si="307">SUM(D119:F119)</f>
        <v>360000</v>
      </c>
      <c r="H119" s="1017"/>
      <c r="I119" s="1017"/>
      <c r="J119" s="1017"/>
      <c r="K119" s="1018">
        <f t="shared" ref="K119:K121" si="308">SUM(H119:J119)</f>
        <v>0</v>
      </c>
      <c r="L119" s="1044"/>
      <c r="M119" s="1017"/>
      <c r="N119" s="1017"/>
      <c r="O119" s="1017"/>
      <c r="P119" s="1018">
        <f t="shared" ref="P119:P121" si="309">SUM(M119:O119)</f>
        <v>0</v>
      </c>
      <c r="Q119" s="1017"/>
      <c r="R119" s="1017"/>
      <c r="S119" s="1017"/>
      <c r="T119" s="1018">
        <f t="shared" ref="T119:T121" si="310">SUM(Q119:S119)</f>
        <v>0</v>
      </c>
      <c r="U119" s="1017"/>
      <c r="V119" s="1017"/>
      <c r="W119" s="1017"/>
      <c r="X119" s="1018">
        <f t="shared" ref="X119:X121" si="311">SUM(U119:W119)</f>
        <v>0</v>
      </c>
      <c r="Y119" s="1017"/>
      <c r="Z119" s="1017"/>
      <c r="AA119" s="1017"/>
      <c r="AB119" s="1018">
        <f t="shared" ref="AB119:AB121" si="312">SUM(Y119:AA119)</f>
        <v>0</v>
      </c>
      <c r="AC119" s="330"/>
    </row>
    <row r="120" spans="1:29" ht="30">
      <c r="A120" s="999" t="s">
        <v>387</v>
      </c>
      <c r="B120" s="621" t="s">
        <v>1611</v>
      </c>
      <c r="C120" s="346" t="s">
        <v>754</v>
      </c>
      <c r="D120" s="1017">
        <f>'NSP Detailed Budget'!D751</f>
        <v>7000</v>
      </c>
      <c r="E120" s="1017">
        <f>'NSP Detailed Budget'!E751</f>
        <v>7000</v>
      </c>
      <c r="F120" s="1017">
        <f>'NSP Detailed Budget'!F751</f>
        <v>7000</v>
      </c>
      <c r="G120" s="1018">
        <f t="shared" si="307"/>
        <v>21000</v>
      </c>
      <c r="H120" s="1017"/>
      <c r="I120" s="1017"/>
      <c r="J120" s="1017"/>
      <c r="K120" s="1018">
        <f t="shared" si="308"/>
        <v>0</v>
      </c>
      <c r="L120" s="1044"/>
      <c r="M120" s="1017"/>
      <c r="N120" s="1017"/>
      <c r="O120" s="1017"/>
      <c r="P120" s="1018">
        <f t="shared" si="309"/>
        <v>0</v>
      </c>
      <c r="Q120" s="1017"/>
      <c r="R120" s="1017"/>
      <c r="S120" s="1017"/>
      <c r="T120" s="1018">
        <f t="shared" si="310"/>
        <v>0</v>
      </c>
      <c r="U120" s="1017"/>
      <c r="V120" s="1017"/>
      <c r="W120" s="1017"/>
      <c r="X120" s="1018">
        <f t="shared" si="311"/>
        <v>0</v>
      </c>
      <c r="Y120" s="1017"/>
      <c r="Z120" s="1017"/>
      <c r="AA120" s="1017"/>
      <c r="AB120" s="1018">
        <f t="shared" si="312"/>
        <v>0</v>
      </c>
      <c r="AC120" s="330"/>
    </row>
    <row r="121" spans="1:29">
      <c r="A121" s="999" t="s">
        <v>388</v>
      </c>
      <c r="B121" s="621" t="s">
        <v>1612</v>
      </c>
      <c r="C121" s="346" t="s">
        <v>1007</v>
      </c>
      <c r="D121" s="1017">
        <f>'NSP Detailed Budget'!D756</f>
        <v>0</v>
      </c>
      <c r="E121" s="1017">
        <f>'NSP Detailed Budget'!E756</f>
        <v>0</v>
      </c>
      <c r="F121" s="1017">
        <f>'NSP Detailed Budget'!F756</f>
        <v>30000</v>
      </c>
      <c r="G121" s="1018">
        <f t="shared" si="307"/>
        <v>30000</v>
      </c>
      <c r="H121" s="1017"/>
      <c r="I121" s="1017"/>
      <c r="J121" s="1017"/>
      <c r="K121" s="1018">
        <f t="shared" si="308"/>
        <v>0</v>
      </c>
      <c r="L121" s="1044"/>
      <c r="M121" s="1017"/>
      <c r="N121" s="1017"/>
      <c r="O121" s="1017"/>
      <c r="P121" s="1018">
        <f t="shared" si="309"/>
        <v>0</v>
      </c>
      <c r="Q121" s="1017"/>
      <c r="R121" s="1017"/>
      <c r="S121" s="1017"/>
      <c r="T121" s="1018">
        <f t="shared" si="310"/>
        <v>0</v>
      </c>
      <c r="U121" s="1017"/>
      <c r="V121" s="1017"/>
      <c r="W121" s="1017"/>
      <c r="X121" s="1018">
        <f t="shared" si="311"/>
        <v>0</v>
      </c>
      <c r="Y121" s="1017"/>
      <c r="Z121" s="1017"/>
      <c r="AA121" s="1017"/>
      <c r="AB121" s="1018">
        <f t="shared" si="312"/>
        <v>0</v>
      </c>
      <c r="AC121" s="330"/>
    </row>
    <row r="122" spans="1:29">
      <c r="A122" s="999" t="s">
        <v>389</v>
      </c>
      <c r="B122" s="621" t="s">
        <v>1613</v>
      </c>
      <c r="C122" s="346" t="s">
        <v>1007</v>
      </c>
      <c r="D122" s="1017">
        <f>'NSP Detailed Budget'!D761</f>
        <v>25000</v>
      </c>
      <c r="E122" s="1017">
        <f>'NSP Detailed Budget'!E761</f>
        <v>25000</v>
      </c>
      <c r="F122" s="1017">
        <f>'NSP Detailed Budget'!F761</f>
        <v>25000</v>
      </c>
      <c r="G122" s="1018">
        <f t="shared" ref="G122:G124" si="313">SUM(D122:F122)</f>
        <v>75000</v>
      </c>
      <c r="H122" s="1017"/>
      <c r="I122" s="1017"/>
      <c r="J122" s="1017"/>
      <c r="K122" s="1018">
        <f t="shared" ref="K122:K124" si="314">SUM(H122:J122)</f>
        <v>0</v>
      </c>
      <c r="L122" s="1044"/>
      <c r="M122" s="1017"/>
      <c r="N122" s="1017"/>
      <c r="O122" s="1017"/>
      <c r="P122" s="1018">
        <f t="shared" ref="P122:P124" si="315">SUM(M122:O122)</f>
        <v>0</v>
      </c>
      <c r="Q122" s="1017"/>
      <c r="R122" s="1017"/>
      <c r="S122" s="1017"/>
      <c r="T122" s="1018">
        <f t="shared" ref="T122:T124" si="316">SUM(Q122:S122)</f>
        <v>0</v>
      </c>
      <c r="U122" s="1017"/>
      <c r="V122" s="1017"/>
      <c r="W122" s="1017"/>
      <c r="X122" s="1018">
        <f t="shared" ref="X122:X124" si="317">SUM(U122:W122)</f>
        <v>0</v>
      </c>
      <c r="Y122" s="1017"/>
      <c r="Z122" s="1017"/>
      <c r="AA122" s="1017"/>
      <c r="AB122" s="1018">
        <f t="shared" ref="AB122:AB124" si="318">SUM(Y122:AA122)</f>
        <v>0</v>
      </c>
      <c r="AC122" s="330"/>
    </row>
    <row r="123" spans="1:29">
      <c r="A123" s="999" t="s">
        <v>390</v>
      </c>
      <c r="B123" s="621" t="s">
        <v>1614</v>
      </c>
      <c r="C123" s="346" t="s">
        <v>754</v>
      </c>
      <c r="D123" s="1017">
        <f>'NSP Detailed Budget'!D768</f>
        <v>13000</v>
      </c>
      <c r="E123" s="1017">
        <f>'NSP Detailed Budget'!E768</f>
        <v>13000</v>
      </c>
      <c r="F123" s="1017">
        <f>'NSP Detailed Budget'!F768</f>
        <v>13000</v>
      </c>
      <c r="G123" s="1018">
        <f t="shared" si="313"/>
        <v>39000</v>
      </c>
      <c r="H123" s="1017"/>
      <c r="I123" s="1017"/>
      <c r="J123" s="1017"/>
      <c r="K123" s="1018">
        <f t="shared" si="314"/>
        <v>0</v>
      </c>
      <c r="L123" s="1044"/>
      <c r="M123" s="1017"/>
      <c r="N123" s="1017"/>
      <c r="O123" s="1017"/>
      <c r="P123" s="1018">
        <f t="shared" si="315"/>
        <v>0</v>
      </c>
      <c r="Q123" s="1017"/>
      <c r="R123" s="1017"/>
      <c r="S123" s="1017"/>
      <c r="T123" s="1018">
        <f t="shared" si="316"/>
        <v>0</v>
      </c>
      <c r="U123" s="1017"/>
      <c r="V123" s="1017"/>
      <c r="W123" s="1017"/>
      <c r="X123" s="1018">
        <f t="shared" si="317"/>
        <v>0</v>
      </c>
      <c r="Y123" s="1017"/>
      <c r="Z123" s="1017"/>
      <c r="AA123" s="1017"/>
      <c r="AB123" s="1018">
        <f t="shared" si="318"/>
        <v>0</v>
      </c>
      <c r="AC123" s="330"/>
    </row>
    <row r="124" spans="1:29">
      <c r="A124" s="999" t="s">
        <v>391</v>
      </c>
      <c r="B124" s="621" t="s">
        <v>1615</v>
      </c>
      <c r="C124" s="346" t="s">
        <v>1007</v>
      </c>
      <c r="D124" s="1017">
        <f>'NSP Detailed Budget'!D772</f>
        <v>20000</v>
      </c>
      <c r="E124" s="1017">
        <f>'NSP Detailed Budget'!E772</f>
        <v>20000</v>
      </c>
      <c r="F124" s="1017">
        <f>'NSP Detailed Budget'!F772</f>
        <v>20000</v>
      </c>
      <c r="G124" s="1018">
        <f t="shared" si="313"/>
        <v>60000</v>
      </c>
      <c r="H124" s="1017"/>
      <c r="I124" s="1017"/>
      <c r="J124" s="1017"/>
      <c r="K124" s="1018">
        <f t="shared" si="314"/>
        <v>0</v>
      </c>
      <c r="L124" s="1044"/>
      <c r="M124" s="1017"/>
      <c r="N124" s="1017"/>
      <c r="O124" s="1017"/>
      <c r="P124" s="1018">
        <f t="shared" si="315"/>
        <v>0</v>
      </c>
      <c r="Q124" s="1017"/>
      <c r="R124" s="1017"/>
      <c r="S124" s="1017"/>
      <c r="T124" s="1018">
        <f t="shared" si="316"/>
        <v>0</v>
      </c>
      <c r="U124" s="1017"/>
      <c r="V124" s="1017"/>
      <c r="W124" s="1017"/>
      <c r="X124" s="1018">
        <f t="shared" si="317"/>
        <v>0</v>
      </c>
      <c r="Y124" s="1017"/>
      <c r="Z124" s="1017"/>
      <c r="AA124" s="1017"/>
      <c r="AB124" s="1018">
        <f t="shared" si="318"/>
        <v>0</v>
      </c>
      <c r="AC124" s="330"/>
    </row>
    <row r="125" spans="1:29" ht="30">
      <c r="A125" s="999" t="s">
        <v>392</v>
      </c>
      <c r="B125" s="966" t="s">
        <v>1808</v>
      </c>
      <c r="C125" s="346" t="s">
        <v>1001</v>
      </c>
      <c r="D125" s="1017">
        <v>22725</v>
      </c>
      <c r="E125" s="1017">
        <v>45450</v>
      </c>
      <c r="F125" s="1017">
        <v>45450</v>
      </c>
      <c r="G125" s="1018">
        <f t="shared" ref="G125" si="319">SUM(D125:F125)</f>
        <v>113625</v>
      </c>
      <c r="H125" s="1017"/>
      <c r="I125" s="1017"/>
      <c r="J125" s="1017"/>
      <c r="K125" s="1018">
        <f t="shared" ref="K125" si="320">SUM(H125:J125)</f>
        <v>0</v>
      </c>
      <c r="L125" s="1044"/>
      <c r="M125" s="1017"/>
      <c r="N125" s="1017"/>
      <c r="O125" s="1017"/>
      <c r="P125" s="1018">
        <f t="shared" ref="P125" si="321">SUM(M125:O125)</f>
        <v>0</v>
      </c>
      <c r="Q125" s="1017"/>
      <c r="R125" s="1017"/>
      <c r="S125" s="1017"/>
      <c r="T125" s="1018">
        <f t="shared" ref="T125" si="322">SUM(Q125:S125)</f>
        <v>0</v>
      </c>
      <c r="U125" s="1017"/>
      <c r="V125" s="1017"/>
      <c r="W125" s="1017"/>
      <c r="X125" s="1018">
        <f t="shared" ref="X125" si="323">SUM(U125:W125)</f>
        <v>0</v>
      </c>
      <c r="Y125" s="1017"/>
      <c r="Z125" s="1017"/>
      <c r="AA125" s="1017"/>
      <c r="AB125" s="1018">
        <f t="shared" ref="AB125" si="324">SUM(Y125:AA125)</f>
        <v>0</v>
      </c>
      <c r="AC125" s="330"/>
    </row>
    <row r="126" spans="1:29">
      <c r="A126" s="341">
        <v>3.4</v>
      </c>
      <c r="B126" s="342" t="s">
        <v>1260</v>
      </c>
      <c r="C126" s="343"/>
      <c r="D126" s="1015">
        <f t="shared" ref="D126:AB126" si="325">SUM(D127:D128)</f>
        <v>2620000</v>
      </c>
      <c r="E126" s="1015">
        <f t="shared" si="325"/>
        <v>2620000</v>
      </c>
      <c r="F126" s="1015">
        <f t="shared" si="325"/>
        <v>2620000</v>
      </c>
      <c r="G126" s="1016">
        <f t="shared" si="325"/>
        <v>7860000</v>
      </c>
      <c r="H126" s="1015">
        <f t="shared" si="325"/>
        <v>0</v>
      </c>
      <c r="I126" s="1015">
        <f t="shared" si="325"/>
        <v>0</v>
      </c>
      <c r="J126" s="1015">
        <f t="shared" si="325"/>
        <v>0</v>
      </c>
      <c r="K126" s="1016">
        <f t="shared" si="325"/>
        <v>0</v>
      </c>
      <c r="L126" s="1043"/>
      <c r="M126" s="1015">
        <f t="shared" si="325"/>
        <v>0</v>
      </c>
      <c r="N126" s="1015">
        <f t="shared" si="325"/>
        <v>0</v>
      </c>
      <c r="O126" s="1015">
        <f t="shared" si="325"/>
        <v>0</v>
      </c>
      <c r="P126" s="1016">
        <f t="shared" si="325"/>
        <v>0</v>
      </c>
      <c r="Q126" s="1015">
        <f t="shared" si="325"/>
        <v>0</v>
      </c>
      <c r="R126" s="1015">
        <f t="shared" si="325"/>
        <v>0</v>
      </c>
      <c r="S126" s="1015">
        <f t="shared" si="325"/>
        <v>0</v>
      </c>
      <c r="T126" s="1016">
        <f t="shared" si="325"/>
        <v>0</v>
      </c>
      <c r="U126" s="1015">
        <f t="shared" si="325"/>
        <v>0</v>
      </c>
      <c r="V126" s="1015">
        <f t="shared" si="325"/>
        <v>0</v>
      </c>
      <c r="W126" s="1015">
        <f t="shared" si="325"/>
        <v>0</v>
      </c>
      <c r="X126" s="1016">
        <f t="shared" si="325"/>
        <v>0</v>
      </c>
      <c r="Y126" s="1015">
        <f t="shared" si="325"/>
        <v>0</v>
      </c>
      <c r="Z126" s="1015">
        <f t="shared" si="325"/>
        <v>0</v>
      </c>
      <c r="AA126" s="1015">
        <f t="shared" si="325"/>
        <v>0</v>
      </c>
      <c r="AB126" s="1016">
        <f t="shared" si="325"/>
        <v>0</v>
      </c>
      <c r="AC126" s="330"/>
    </row>
    <row r="127" spans="1:29">
      <c r="A127" s="941" t="s">
        <v>555</v>
      </c>
      <c r="B127" s="621" t="s">
        <v>1608</v>
      </c>
      <c r="C127" s="346" t="s">
        <v>752</v>
      </c>
      <c r="D127" s="1017">
        <f>'NSP Detailed Budget'!D777</f>
        <v>2500000</v>
      </c>
      <c r="E127" s="1017">
        <f>'NSP Detailed Budget'!E777</f>
        <v>2500000</v>
      </c>
      <c r="F127" s="1017">
        <f>'NSP Detailed Budget'!F777</f>
        <v>2500000</v>
      </c>
      <c r="G127" s="1018">
        <f>SUM(D127:F127)</f>
        <v>7500000</v>
      </c>
      <c r="H127" s="1017"/>
      <c r="I127" s="1017"/>
      <c r="J127" s="1017"/>
      <c r="K127" s="1018">
        <f>SUM(H127:J127)</f>
        <v>0</v>
      </c>
      <c r="L127" s="1044"/>
      <c r="M127" s="1017"/>
      <c r="N127" s="1017"/>
      <c r="O127" s="1017"/>
      <c r="P127" s="1018">
        <f>SUM(M127:O127)</f>
        <v>0</v>
      </c>
      <c r="Q127" s="1017"/>
      <c r="R127" s="1017"/>
      <c r="S127" s="1017"/>
      <c r="T127" s="1018">
        <f>SUM(Q127:S127)</f>
        <v>0</v>
      </c>
      <c r="U127" s="1017"/>
      <c r="V127" s="1017"/>
      <c r="W127" s="1017"/>
      <c r="X127" s="1018">
        <f>SUM(U127:W127)</f>
        <v>0</v>
      </c>
      <c r="Y127" s="1017"/>
      <c r="Z127" s="1017"/>
      <c r="AA127" s="1017"/>
      <c r="AB127" s="1018">
        <f>SUM(Y127:AA127)</f>
        <v>0</v>
      </c>
      <c r="AC127" s="330"/>
    </row>
    <row r="128" spans="1:29">
      <c r="A128" s="941" t="s">
        <v>556</v>
      </c>
      <c r="B128" s="621" t="s">
        <v>1609</v>
      </c>
      <c r="C128" s="346" t="s">
        <v>752</v>
      </c>
      <c r="D128" s="1017">
        <f>'NSP Detailed Budget'!D782</f>
        <v>120000</v>
      </c>
      <c r="E128" s="1017">
        <f>'NSP Detailed Budget'!E782</f>
        <v>120000</v>
      </c>
      <c r="F128" s="1017">
        <f>'NSP Detailed Budget'!F782</f>
        <v>120000</v>
      </c>
      <c r="G128" s="1018">
        <f t="shared" ref="G128" si="326">SUM(D128:F128)</f>
        <v>360000</v>
      </c>
      <c r="H128" s="1017"/>
      <c r="I128" s="1017"/>
      <c r="J128" s="1017"/>
      <c r="K128" s="1018">
        <f t="shared" ref="K128" si="327">SUM(H128:J128)</f>
        <v>0</v>
      </c>
      <c r="L128" s="1044"/>
      <c r="M128" s="1017"/>
      <c r="N128" s="1017"/>
      <c r="O128" s="1017"/>
      <c r="P128" s="1018">
        <f t="shared" ref="P128" si="328">SUM(M128:O128)</f>
        <v>0</v>
      </c>
      <c r="Q128" s="1017"/>
      <c r="R128" s="1017"/>
      <c r="S128" s="1017"/>
      <c r="T128" s="1018">
        <f t="shared" ref="T128" si="329">SUM(Q128:S128)</f>
        <v>0</v>
      </c>
      <c r="U128" s="1017"/>
      <c r="V128" s="1017"/>
      <c r="W128" s="1017"/>
      <c r="X128" s="1018">
        <f t="shared" ref="X128" si="330">SUM(U128:W128)</f>
        <v>0</v>
      </c>
      <c r="Y128" s="1017"/>
      <c r="Z128" s="1017"/>
      <c r="AA128" s="1017"/>
      <c r="AB128" s="1018">
        <f t="shared" ref="AB128" si="331">SUM(Y128:AA128)</f>
        <v>0</v>
      </c>
      <c r="AC128" s="330"/>
    </row>
    <row r="129" spans="1:35" ht="15.75">
      <c r="A129" s="482"/>
      <c r="B129" s="482" t="s">
        <v>1008</v>
      </c>
      <c r="C129" s="483"/>
      <c r="D129" s="1020">
        <f t="shared" ref="D129:AB129" si="332">SUM(D10,D49,D94)</f>
        <v>15934350.166006058</v>
      </c>
      <c r="E129" s="1020">
        <f t="shared" si="332"/>
        <v>18290370.541588262</v>
      </c>
      <c r="F129" s="1020">
        <f t="shared" si="332"/>
        <v>17271196.710283261</v>
      </c>
      <c r="G129" s="1021">
        <f t="shared" si="332"/>
        <v>51495917.417877585</v>
      </c>
      <c r="H129" s="1020">
        <f t="shared" si="332"/>
        <v>6712710</v>
      </c>
      <c r="I129" s="1020">
        <f t="shared" si="332"/>
        <v>7351800</v>
      </c>
      <c r="J129" s="1020">
        <f t="shared" si="332"/>
        <v>7427860</v>
      </c>
      <c r="K129" s="1021">
        <f>SUM(K10,K49,K94)</f>
        <v>21492370</v>
      </c>
      <c r="L129" s="1020">
        <f t="shared" si="332"/>
        <v>1319227.5999999999</v>
      </c>
      <c r="M129" s="1020">
        <f t="shared" si="332"/>
        <v>3020631</v>
      </c>
      <c r="N129" s="1020">
        <f t="shared" si="332"/>
        <v>5251849.0999999996</v>
      </c>
      <c r="O129" s="1020">
        <f t="shared" si="332"/>
        <v>3634252.7798938667</v>
      </c>
      <c r="P129" s="1021">
        <f t="shared" si="332"/>
        <v>13225960.479893865</v>
      </c>
      <c r="Q129" s="1020">
        <f t="shared" si="332"/>
        <v>5797015.3300000001</v>
      </c>
      <c r="R129" s="1020">
        <f t="shared" si="332"/>
        <v>5822753.4253735365</v>
      </c>
      <c r="S129" s="1020">
        <f t="shared" si="332"/>
        <v>4931114.370949191</v>
      </c>
      <c r="T129" s="1021">
        <f t="shared" si="332"/>
        <v>16550883.12632273</v>
      </c>
      <c r="U129" s="1020">
        <f t="shared" si="332"/>
        <v>10136873.93</v>
      </c>
      <c r="V129" s="1020">
        <f t="shared" si="332"/>
        <v>11074602.525373537</v>
      </c>
      <c r="W129" s="1020">
        <f t="shared" si="332"/>
        <v>8565367.1508430578</v>
      </c>
      <c r="X129" s="1021">
        <f t="shared" si="332"/>
        <v>29776843.606216595</v>
      </c>
      <c r="Y129" s="1020">
        <f t="shared" si="332"/>
        <v>-915233.76399394032</v>
      </c>
      <c r="Z129" s="1020">
        <f t="shared" si="332"/>
        <v>-136031.9837852763</v>
      </c>
      <c r="AA129" s="1020">
        <f t="shared" si="332"/>
        <v>1277969.5594402039</v>
      </c>
      <c r="AB129" s="1021">
        <f t="shared" si="332"/>
        <v>226703.81166098733</v>
      </c>
      <c r="AC129" s="822"/>
      <c r="AE129" s="995"/>
      <c r="AF129" s="995"/>
      <c r="AG129" s="995"/>
      <c r="AH129" s="995"/>
      <c r="AI129" s="995"/>
    </row>
    <row r="130" spans="1:35">
      <c r="A130" s="344">
        <v>4</v>
      </c>
      <c r="B130" s="345" t="s">
        <v>1009</v>
      </c>
      <c r="C130" s="540">
        <v>0.05</v>
      </c>
      <c r="D130" s="1017">
        <v>0</v>
      </c>
      <c r="E130" s="1017">
        <f>E129*$C130</f>
        <v>914518.52707941318</v>
      </c>
      <c r="F130" s="1017">
        <f t="shared" ref="F130" si="333">F129*$C130</f>
        <v>863559.83551416313</v>
      </c>
      <c r="G130" s="1018">
        <f t="shared" ref="G130" si="334">SUM(D130:F130)</f>
        <v>1778078.3625935763</v>
      </c>
      <c r="H130" s="1017">
        <f>'Govt &amp; External'!G112</f>
        <v>0</v>
      </c>
      <c r="I130" s="1017">
        <f>'Govt &amp; External'!H112</f>
        <v>96830</v>
      </c>
      <c r="J130" s="1017">
        <f>'Govt &amp; External'!I112</f>
        <v>97830</v>
      </c>
      <c r="K130" s="1018">
        <f t="shared" ref="K130" si="335">SUM(H130:J130)</f>
        <v>194660</v>
      </c>
      <c r="L130" s="1044"/>
      <c r="M130" s="1017"/>
      <c r="N130" s="1017"/>
      <c r="O130" s="1017"/>
      <c r="P130" s="1018">
        <f t="shared" ref="P130" si="336">SUM(M130:O130)</f>
        <v>0</v>
      </c>
      <c r="Q130" s="1017">
        <f>'Govt &amp; External'!G129</f>
        <v>0</v>
      </c>
      <c r="R130" s="1017">
        <f>'Govt &amp; External'!H129</f>
        <v>0</v>
      </c>
      <c r="S130" s="1017">
        <f>'Govt &amp; External'!I129</f>
        <v>0</v>
      </c>
      <c r="T130" s="1018">
        <f>SUM(Q130:S130)</f>
        <v>0</v>
      </c>
      <c r="U130" s="1017">
        <f>SUM(M130,Q130)</f>
        <v>0</v>
      </c>
      <c r="V130" s="1017">
        <f t="shared" ref="V130" si="337">SUM(N130,R130)</f>
        <v>0</v>
      </c>
      <c r="W130" s="1017">
        <f t="shared" ref="W130" si="338">SUM(O130,S130)</f>
        <v>0</v>
      </c>
      <c r="X130" s="1018">
        <f>SUM(U130:W130)</f>
        <v>0</v>
      </c>
      <c r="Y130" s="1017">
        <f>D130-SUM(H130,U130)</f>
        <v>0</v>
      </c>
      <c r="Z130" s="1017">
        <f>E130-SUM(I130,V130)</f>
        <v>817688.52707941318</v>
      </c>
      <c r="AA130" s="1017">
        <f>F130-SUM(J130,W130)</f>
        <v>765729.83551416313</v>
      </c>
      <c r="AB130" s="1018">
        <f>SUM(Y130:AA130)</f>
        <v>1583418.3625935763</v>
      </c>
      <c r="AC130" s="822"/>
      <c r="AE130" s="995"/>
      <c r="AF130" s="995"/>
      <c r="AG130" s="995"/>
      <c r="AH130" s="995"/>
      <c r="AI130" s="995"/>
    </row>
    <row r="131" spans="1:35" ht="15.75">
      <c r="A131" s="349"/>
      <c r="B131" s="349" t="s">
        <v>809</v>
      </c>
      <c r="C131" s="350"/>
      <c r="D131" s="1021">
        <f>D129+D130</f>
        <v>15934350.166006058</v>
      </c>
      <c r="E131" s="1021">
        <f t="shared" ref="E131:AB131" si="339">E129+E130</f>
        <v>19204889.068667676</v>
      </c>
      <c r="F131" s="1021">
        <f t="shared" si="339"/>
        <v>18134756.545797423</v>
      </c>
      <c r="G131" s="1022">
        <f t="shared" si="339"/>
        <v>53273995.780471161</v>
      </c>
      <c r="H131" s="1021">
        <f t="shared" si="339"/>
        <v>6712710</v>
      </c>
      <c r="I131" s="1021">
        <f t="shared" si="339"/>
        <v>7448630</v>
      </c>
      <c r="J131" s="1021">
        <f t="shared" si="339"/>
        <v>7525690</v>
      </c>
      <c r="K131" s="1022">
        <f t="shared" si="339"/>
        <v>21687030</v>
      </c>
      <c r="L131" s="1021">
        <f t="shared" ref="L131:O131" si="340">L129+L130</f>
        <v>1319227.5999999999</v>
      </c>
      <c r="M131" s="1021">
        <f t="shared" si="340"/>
        <v>3020631</v>
      </c>
      <c r="N131" s="1021">
        <f t="shared" si="340"/>
        <v>5251849.0999999996</v>
      </c>
      <c r="O131" s="1021">
        <f t="shared" si="340"/>
        <v>3634252.7798938667</v>
      </c>
      <c r="P131" s="1022">
        <f t="shared" si="339"/>
        <v>13225960.479893865</v>
      </c>
      <c r="Q131" s="1021">
        <f t="shared" ref="Q131:S131" si="341">Q129+Q130</f>
        <v>5797015.3300000001</v>
      </c>
      <c r="R131" s="1021">
        <f t="shared" si="341"/>
        <v>5822753.4253735365</v>
      </c>
      <c r="S131" s="1021">
        <f t="shared" si="341"/>
        <v>4931114.370949191</v>
      </c>
      <c r="T131" s="1022">
        <f t="shared" si="339"/>
        <v>16550883.12632273</v>
      </c>
      <c r="U131" s="1021">
        <f t="shared" si="339"/>
        <v>10136873.93</v>
      </c>
      <c r="V131" s="1021">
        <f t="shared" si="339"/>
        <v>11074602.525373537</v>
      </c>
      <c r="W131" s="1021">
        <f t="shared" si="339"/>
        <v>8565367.1508430578</v>
      </c>
      <c r="X131" s="1022">
        <f t="shared" si="339"/>
        <v>29776843.606216595</v>
      </c>
      <c r="Y131" s="1021">
        <f t="shared" si="339"/>
        <v>-915233.76399394032</v>
      </c>
      <c r="Z131" s="1021">
        <f t="shared" si="339"/>
        <v>681656.54329413688</v>
      </c>
      <c r="AA131" s="1021">
        <f t="shared" si="339"/>
        <v>2043699.3949543671</v>
      </c>
      <c r="AB131" s="1022">
        <f t="shared" si="339"/>
        <v>1810122.1742545636</v>
      </c>
      <c r="AC131" s="822"/>
      <c r="AE131" s="996"/>
      <c r="AF131" s="995"/>
      <c r="AG131" s="995"/>
      <c r="AH131" s="995"/>
      <c r="AI131" s="995"/>
    </row>
    <row r="132" spans="1:35">
      <c r="C132" s="354"/>
      <c r="E132" s="725"/>
      <c r="F132" s="725"/>
      <c r="Q132" s="725"/>
      <c r="V132" s="1028" t="s">
        <v>1826</v>
      </c>
      <c r="W132" s="1025"/>
      <c r="X132" s="1025"/>
      <c r="Y132" s="1026"/>
      <c r="Z132" s="1027">
        <f>Y131/D131%</f>
        <v>-5.7437784061409483</v>
      </c>
      <c r="AA132" s="1027">
        <f>Z131/E131%</f>
        <v>3.5493906830539497</v>
      </c>
      <c r="AB132" s="1027">
        <f>AA131/F131%</f>
        <v>11.269516576046771</v>
      </c>
      <c r="AC132" s="1024">
        <f>AB131/G131%</f>
        <v>3.3977593528250165</v>
      </c>
    </row>
    <row r="133" spans="1:35" ht="15.75">
      <c r="A133" s="484" t="s">
        <v>43</v>
      </c>
      <c r="B133" s="357" t="s">
        <v>1671</v>
      </c>
      <c r="C133" s="354"/>
    </row>
    <row r="134" spans="1:35" ht="14.45" customHeight="1">
      <c r="C134" s="354"/>
    </row>
    <row r="135" spans="1:35" ht="15.6" customHeight="1">
      <c r="A135" s="1762" t="s">
        <v>243</v>
      </c>
      <c r="B135" s="1762" t="s">
        <v>1626</v>
      </c>
      <c r="C135" s="1762"/>
      <c r="D135" s="1758" t="s">
        <v>989</v>
      </c>
      <c r="E135" s="1759"/>
      <c r="F135" s="1759"/>
      <c r="G135" s="1761"/>
      <c r="H135" s="1758" t="s">
        <v>990</v>
      </c>
      <c r="I135" s="1759"/>
      <c r="J135" s="1759"/>
      <c r="K135" s="1761"/>
      <c r="L135" s="1041"/>
      <c r="M135" s="1758" t="s">
        <v>991</v>
      </c>
      <c r="N135" s="1759"/>
      <c r="O135" s="1759"/>
      <c r="P135" s="1761"/>
      <c r="Q135" s="1758" t="s">
        <v>992</v>
      </c>
      <c r="R135" s="1759"/>
      <c r="S135" s="1759"/>
      <c r="T135" s="1761"/>
      <c r="U135" s="1758" t="s">
        <v>993</v>
      </c>
      <c r="V135" s="1759"/>
      <c r="W135" s="1759"/>
      <c r="X135" s="1761"/>
      <c r="Y135" s="1758" t="s">
        <v>994</v>
      </c>
      <c r="Z135" s="1759"/>
      <c r="AA135" s="1759"/>
      <c r="AB135" s="1761"/>
      <c r="AC135" s="1776" t="s">
        <v>1010</v>
      </c>
    </row>
    <row r="136" spans="1:35" ht="57.6" customHeight="1">
      <c r="A136" s="1763"/>
      <c r="B136" s="1763"/>
      <c r="C136" s="1763"/>
      <c r="D136" s="334" t="str">
        <f t="shared" ref="D136:K136" si="342">D9</f>
        <v>Year 1 (2016)</v>
      </c>
      <c r="E136" s="334" t="str">
        <f t="shared" si="342"/>
        <v>Year 2 (2017)</v>
      </c>
      <c r="F136" s="334" t="str">
        <f t="shared" si="342"/>
        <v>Year 3 (2018)</v>
      </c>
      <c r="G136" s="438" t="str">
        <f t="shared" si="342"/>
        <v>Total 3 years (2016-2018)</v>
      </c>
      <c r="H136" s="334" t="str">
        <f t="shared" si="342"/>
        <v>Year 1 (2016)</v>
      </c>
      <c r="I136" s="334" t="str">
        <f t="shared" si="342"/>
        <v>Year 2 (2017)</v>
      </c>
      <c r="J136" s="334" t="str">
        <f t="shared" si="342"/>
        <v>Year 3 (2018)</v>
      </c>
      <c r="K136" s="630" t="str">
        <f t="shared" si="342"/>
        <v>Total 3 years (2016-2018)</v>
      </c>
      <c r="L136" s="1042" t="s">
        <v>1835</v>
      </c>
      <c r="M136" s="334" t="str">
        <f t="shared" ref="M136:AB136" si="343">M9</f>
        <v>Year 1 (2016)</v>
      </c>
      <c r="N136" s="334" t="str">
        <f t="shared" si="343"/>
        <v>Year 2 (2017)</v>
      </c>
      <c r="O136" s="334" t="str">
        <f t="shared" si="343"/>
        <v>Year 3 (2018)</v>
      </c>
      <c r="P136" s="630" t="str">
        <f t="shared" si="343"/>
        <v>Total 3 years (2016-2018)</v>
      </c>
      <c r="Q136" s="334" t="str">
        <f t="shared" si="343"/>
        <v>Year 1 (2016)</v>
      </c>
      <c r="R136" s="334" t="str">
        <f t="shared" si="343"/>
        <v>Year 2 (2017)</v>
      </c>
      <c r="S136" s="334" t="str">
        <f t="shared" si="343"/>
        <v>Year 3 (2018)</v>
      </c>
      <c r="T136" s="630" t="str">
        <f t="shared" si="343"/>
        <v>Total 3 years (2016-2018)</v>
      </c>
      <c r="U136" s="334" t="str">
        <f t="shared" si="343"/>
        <v>Year 1 (2016)</v>
      </c>
      <c r="V136" s="334" t="str">
        <f t="shared" si="343"/>
        <v>Year 2 (2017)</v>
      </c>
      <c r="W136" s="334" t="str">
        <f t="shared" si="343"/>
        <v>Year 3 (2018)</v>
      </c>
      <c r="X136" s="630" t="str">
        <f t="shared" si="343"/>
        <v>Total 3 years (2016-2018)</v>
      </c>
      <c r="Y136" s="334" t="str">
        <f t="shared" si="343"/>
        <v>Year 1 (2016)</v>
      </c>
      <c r="Z136" s="334" t="str">
        <f t="shared" si="343"/>
        <v>Year 2 (2017)</v>
      </c>
      <c r="AA136" s="334" t="str">
        <f t="shared" si="343"/>
        <v>Year 3 (2018)</v>
      </c>
      <c r="AB136" s="630" t="str">
        <f t="shared" si="343"/>
        <v>Total 3 years (2016-2018)</v>
      </c>
      <c r="AC136" s="1776"/>
    </row>
    <row r="137" spans="1:35" ht="31.5">
      <c r="A137" s="336">
        <f>A10</f>
        <v>1</v>
      </c>
      <c r="B137" s="337" t="str">
        <f>B10</f>
        <v>To provide universal access to early and quality diagnosis of all forms of TB including M/XDR-TB</v>
      </c>
      <c r="C137" s="338"/>
      <c r="D137" s="339">
        <f>SUM(D138,D139,D140,D141)</f>
        <v>3265066.6945564565</v>
      </c>
      <c r="E137" s="339">
        <f>SUM(E138,E139,E140,E141)</f>
        <v>4065683.4476154419</v>
      </c>
      <c r="F137" s="339">
        <f>SUM(F138,F139,F140,F141)</f>
        <v>3214977.5219095349</v>
      </c>
      <c r="G137" s="340">
        <f>SUM(G138:G141)</f>
        <v>10545727.664081434</v>
      </c>
      <c r="H137" s="339">
        <f>H10</f>
        <v>1060610</v>
      </c>
      <c r="I137" s="339">
        <f>I10</f>
        <v>1161990</v>
      </c>
      <c r="J137" s="339">
        <f>J10</f>
        <v>1174010</v>
      </c>
      <c r="K137" s="340">
        <f>SUM(H137:J137)</f>
        <v>3396610</v>
      </c>
      <c r="L137" s="1050">
        <f>L10</f>
        <v>263845.52</v>
      </c>
      <c r="M137" s="339">
        <f>M10</f>
        <v>1198974</v>
      </c>
      <c r="N137" s="339">
        <f>N10</f>
        <v>1558766</v>
      </c>
      <c r="O137" s="339">
        <f>O10</f>
        <v>921753.77989386651</v>
      </c>
      <c r="P137" s="340">
        <f>SUM(L137:O137)</f>
        <v>3943339.2998938663</v>
      </c>
      <c r="Q137" s="339">
        <f>Q10</f>
        <v>699404.28399999999</v>
      </c>
      <c r="R137" s="339">
        <f>R10</f>
        <v>500907.96232876717</v>
      </c>
      <c r="S137" s="339">
        <f>S10</f>
        <v>828645.13698630151</v>
      </c>
      <c r="T137" s="340">
        <f>SUM(Q137:S137)</f>
        <v>2028957.3833150687</v>
      </c>
      <c r="U137" s="339">
        <f>U10</f>
        <v>2162223.804</v>
      </c>
      <c r="V137" s="339">
        <f>V10</f>
        <v>2059673.9623287672</v>
      </c>
      <c r="W137" s="339">
        <f>W10</f>
        <v>1750398.916880168</v>
      </c>
      <c r="X137" s="340">
        <f>SUM(U137:W137)</f>
        <v>5972296.683208935</v>
      </c>
      <c r="Y137" s="339">
        <f>Y10</f>
        <v>42232.890556456521</v>
      </c>
      <c r="Z137" s="339">
        <f>Z10</f>
        <v>844019.48528667446</v>
      </c>
      <c r="AA137" s="339">
        <f>AA10</f>
        <v>290568.60502936691</v>
      </c>
      <c r="AB137" s="340">
        <f>SUM(Y137:AA137)</f>
        <v>1176820.9808724979</v>
      </c>
      <c r="AC137" s="820">
        <f t="shared" ref="AC137:AC156" si="344">AB137/G137%</f>
        <v>11.159220286720753</v>
      </c>
    </row>
    <row r="138" spans="1:35">
      <c r="A138" s="715">
        <f>A11</f>
        <v>1.1000000000000001</v>
      </c>
      <c r="B138" s="716" t="str">
        <f>B11</f>
        <v>Rollout of Xpert MTB/RIF technology</v>
      </c>
      <c r="C138" s="717"/>
      <c r="D138" s="718">
        <f>D11</f>
        <v>714345.82895499992</v>
      </c>
      <c r="E138" s="718">
        <f>E11</f>
        <v>425483.73473833327</v>
      </c>
      <c r="F138" s="718">
        <f>F11</f>
        <v>611623.77989386651</v>
      </c>
      <c r="G138" s="348">
        <f>SUM(D138:F138)</f>
        <v>1751453.3435871997</v>
      </c>
      <c r="H138" s="719"/>
      <c r="I138" s="719"/>
      <c r="J138" s="719"/>
      <c r="K138" s="348"/>
      <c r="L138" s="1045"/>
      <c r="M138" s="719"/>
      <c r="N138" s="719"/>
      <c r="O138" s="719"/>
      <c r="P138" s="348"/>
      <c r="Q138" s="719"/>
      <c r="R138" s="719"/>
      <c r="S138" s="719"/>
      <c r="T138" s="348"/>
      <c r="U138" s="719"/>
      <c r="V138" s="719"/>
      <c r="W138" s="719"/>
      <c r="X138" s="348"/>
      <c r="Y138" s="719"/>
      <c r="Z138" s="719"/>
      <c r="AA138" s="719"/>
      <c r="AB138" s="348"/>
      <c r="AC138" s="821">
        <f t="shared" si="344"/>
        <v>0</v>
      </c>
    </row>
    <row r="139" spans="1:35">
      <c r="A139" s="715">
        <f>A21</f>
        <v>1.2</v>
      </c>
      <c r="B139" s="716" t="str">
        <f>B21</f>
        <v>TB diagnostic investigations at regional and national level</v>
      </c>
      <c r="C139" s="717"/>
      <c r="D139" s="718">
        <f>D21</f>
        <v>867533.94915499899</v>
      </c>
      <c r="E139" s="718">
        <f>E21</f>
        <v>1646095.4206913784</v>
      </c>
      <c r="F139" s="718">
        <f>F21</f>
        <v>558058.84038486425</v>
      </c>
      <c r="G139" s="348">
        <f t="shared" ref="G139:G141" si="345">SUM(D139:F139)</f>
        <v>3071688.2102312418</v>
      </c>
      <c r="H139" s="719"/>
      <c r="I139" s="719"/>
      <c r="J139" s="719"/>
      <c r="K139" s="348"/>
      <c r="L139" s="1045"/>
      <c r="M139" s="719"/>
      <c r="N139" s="719"/>
      <c r="O139" s="719"/>
      <c r="P139" s="348"/>
      <c r="Q139" s="719"/>
      <c r="R139" s="719"/>
      <c r="S139" s="719"/>
      <c r="T139" s="348"/>
      <c r="U139" s="719"/>
      <c r="V139" s="719"/>
      <c r="W139" s="719"/>
      <c r="X139" s="348"/>
      <c r="Y139" s="719"/>
      <c r="Z139" s="719"/>
      <c r="AA139" s="719"/>
      <c r="AB139" s="348"/>
      <c r="AC139" s="821">
        <f t="shared" si="344"/>
        <v>0</v>
      </c>
    </row>
    <row r="140" spans="1:35" ht="45">
      <c r="A140" s="715">
        <f>A41</f>
        <v>1.3</v>
      </c>
      <c r="B140" s="716" t="str">
        <f>B41</f>
        <v>Contacts’ investigation, screening and active case finding for TB among high-risk groups including people living with HIV</v>
      </c>
      <c r="C140" s="717"/>
      <c r="D140" s="718">
        <f>D41</f>
        <v>1800</v>
      </c>
      <c r="E140" s="718">
        <f>E41</f>
        <v>147200</v>
      </c>
      <c r="F140" s="718">
        <f>F41</f>
        <v>80000</v>
      </c>
      <c r="G140" s="348">
        <f t="shared" si="345"/>
        <v>229000</v>
      </c>
      <c r="H140" s="719"/>
      <c r="I140" s="719"/>
      <c r="J140" s="719"/>
      <c r="K140" s="348"/>
      <c r="L140" s="1045"/>
      <c r="M140" s="719"/>
      <c r="N140" s="719"/>
      <c r="O140" s="719"/>
      <c r="P140" s="348"/>
      <c r="Q140" s="719"/>
      <c r="R140" s="719"/>
      <c r="S140" s="719"/>
      <c r="T140" s="348"/>
      <c r="U140" s="719"/>
      <c r="V140" s="719"/>
      <c r="W140" s="719"/>
      <c r="X140" s="348"/>
      <c r="Y140" s="719"/>
      <c r="Z140" s="719"/>
      <c r="AA140" s="719"/>
      <c r="AB140" s="348"/>
      <c r="AC140" s="821">
        <f t="shared" si="344"/>
        <v>0</v>
      </c>
    </row>
    <row r="141" spans="1:35">
      <c r="A141" s="715">
        <f>A46</f>
        <v>1.4</v>
      </c>
      <c r="B141" s="716" t="str">
        <f>B46</f>
        <v>Support to operations of the laboratory network</v>
      </c>
      <c r="C141" s="717"/>
      <c r="D141" s="718">
        <f>D46</f>
        <v>1681386.9164464576</v>
      </c>
      <c r="E141" s="718">
        <f>E46</f>
        <v>1846904.2921857303</v>
      </c>
      <c r="F141" s="718">
        <f>F46</f>
        <v>1965294.9016308039</v>
      </c>
      <c r="G141" s="348">
        <f t="shared" si="345"/>
        <v>5493586.1102629919</v>
      </c>
      <c r="H141" s="719"/>
      <c r="I141" s="719"/>
      <c r="J141" s="719"/>
      <c r="K141" s="348"/>
      <c r="L141" s="1045"/>
      <c r="M141" s="719"/>
      <c r="N141" s="719"/>
      <c r="O141" s="719"/>
      <c r="P141" s="348"/>
      <c r="Q141" s="719"/>
      <c r="R141" s="719"/>
      <c r="S141" s="719"/>
      <c r="T141" s="348"/>
      <c r="U141" s="719"/>
      <c r="V141" s="719"/>
      <c r="W141" s="719"/>
      <c r="X141" s="348"/>
      <c r="Y141" s="719"/>
      <c r="Z141" s="719"/>
      <c r="AA141" s="719"/>
      <c r="AB141" s="348"/>
      <c r="AC141" s="821">
        <f t="shared" si="344"/>
        <v>0</v>
      </c>
    </row>
    <row r="142" spans="1:35" ht="47.25">
      <c r="A142" s="336">
        <f>A49</f>
        <v>2</v>
      </c>
      <c r="B142" s="337" t="str">
        <f>B49</f>
        <v>To provide universal access to quality treatment of all forms of TB including M/XDR-TB with appropriate patient support</v>
      </c>
      <c r="C142" s="338"/>
      <c r="D142" s="339">
        <f>SUM(D143,D144,D145,D146,D147,D148)</f>
        <v>8904512.4714496024</v>
      </c>
      <c r="E142" s="339">
        <f t="shared" ref="E142:F142" si="346">SUM(E143,E144,E145,E146,E147,E148)</f>
        <v>10004997.093972819</v>
      </c>
      <c r="F142" s="339">
        <f t="shared" si="346"/>
        <v>10094109.188373726</v>
      </c>
      <c r="G142" s="340">
        <f>SUM(G143,G144,G145,G146,G147,G148)</f>
        <v>29003618.753796153</v>
      </c>
      <c r="H142" s="339">
        <f>H49</f>
        <v>5571550</v>
      </c>
      <c r="I142" s="339">
        <f>I49</f>
        <v>6100430</v>
      </c>
      <c r="J142" s="339">
        <f>J49</f>
        <v>6110860</v>
      </c>
      <c r="K142" s="340">
        <f>SUM(H142:J142)</f>
        <v>17782840</v>
      </c>
      <c r="L142" s="1050">
        <f>L49</f>
        <v>923459.32</v>
      </c>
      <c r="M142" s="339">
        <f>M49</f>
        <v>1316142</v>
      </c>
      <c r="N142" s="339">
        <f>N49</f>
        <v>2428973.1</v>
      </c>
      <c r="O142" s="339">
        <f>O49</f>
        <v>1532939</v>
      </c>
      <c r="P142" s="340">
        <f>SUM(L142:O142)</f>
        <v>6201513.4199999999</v>
      </c>
      <c r="Q142" s="339">
        <f>Q49</f>
        <v>756650.00699999998</v>
      </c>
      <c r="R142" s="339">
        <f>R49</f>
        <v>1008211.2585616439</v>
      </c>
      <c r="S142" s="339">
        <f>S49</f>
        <v>1281495.102739726</v>
      </c>
      <c r="T142" s="340">
        <f>SUM(Q142:S142)</f>
        <v>3046356.3683013702</v>
      </c>
      <c r="U142" s="339">
        <f>U49</f>
        <v>2996251.327</v>
      </c>
      <c r="V142" s="339">
        <f>V49</f>
        <v>3437184.3585616439</v>
      </c>
      <c r="W142" s="339">
        <f>W49</f>
        <v>2814434.1027397262</v>
      </c>
      <c r="X142" s="340">
        <f>SUM(U142:W142)</f>
        <v>9247869.788301371</v>
      </c>
      <c r="Y142" s="339">
        <f>Y49</f>
        <v>336711.14444960281</v>
      </c>
      <c r="Z142" s="339">
        <f>Z49</f>
        <v>467382.7354111746</v>
      </c>
      <c r="AA142" s="339">
        <f>AA49</f>
        <v>1168815.0856340006</v>
      </c>
      <c r="AB142" s="340">
        <f>SUM(Y142:AA142)</f>
        <v>1972908.965494778</v>
      </c>
      <c r="AC142" s="820">
        <f t="shared" si="344"/>
        <v>6.8022855432015801</v>
      </c>
    </row>
    <row r="143" spans="1:35">
      <c r="A143" s="715">
        <f>A50</f>
        <v>2.1</v>
      </c>
      <c r="B143" s="716" t="str">
        <f>B50</f>
        <v>Supply of anti-TB drugs and drug management system</v>
      </c>
      <c r="C143" s="717"/>
      <c r="D143" s="718">
        <f>D50</f>
        <v>1274501</v>
      </c>
      <c r="E143" s="718">
        <f>E50</f>
        <v>1193069.3999999999</v>
      </c>
      <c r="F143" s="718">
        <f>F50</f>
        <v>1170525.8</v>
      </c>
      <c r="G143" s="348">
        <f t="shared" ref="G143:G148" si="347">SUM(D143:F143)</f>
        <v>3638096.2</v>
      </c>
      <c r="H143" s="719"/>
      <c r="I143" s="719"/>
      <c r="J143" s="719"/>
      <c r="K143" s="348"/>
      <c r="L143" s="1045"/>
      <c r="M143" s="719"/>
      <c r="N143" s="719"/>
      <c r="O143" s="719"/>
      <c r="P143" s="348"/>
      <c r="Q143" s="719"/>
      <c r="R143" s="719"/>
      <c r="S143" s="719"/>
      <c r="T143" s="348"/>
      <c r="U143" s="719"/>
      <c r="V143" s="719"/>
      <c r="W143" s="719"/>
      <c r="X143" s="348"/>
      <c r="Y143" s="719"/>
      <c r="Z143" s="719"/>
      <c r="AA143" s="719"/>
      <c r="AB143" s="348"/>
      <c r="AC143" s="821">
        <f t="shared" si="344"/>
        <v>0</v>
      </c>
    </row>
    <row r="144" spans="1:35">
      <c r="A144" s="715">
        <f>A63</f>
        <v>2.2000000000000002</v>
      </c>
      <c r="B144" s="716" t="str">
        <f>B63</f>
        <v>Patient support to improve adherence to TB treatment</v>
      </c>
      <c r="C144" s="717"/>
      <c r="D144" s="718">
        <f>D63</f>
        <v>874429.6</v>
      </c>
      <c r="E144" s="718">
        <f>E63</f>
        <v>953178.88</v>
      </c>
      <c r="F144" s="718">
        <f>F63</f>
        <v>981909.76</v>
      </c>
      <c r="G144" s="348">
        <f t="shared" si="347"/>
        <v>2809518.24</v>
      </c>
      <c r="H144" s="719"/>
      <c r="I144" s="719"/>
      <c r="J144" s="719"/>
      <c r="K144" s="348"/>
      <c r="L144" s="1045"/>
      <c r="M144" s="719"/>
      <c r="N144" s="719"/>
      <c r="O144" s="719"/>
      <c r="P144" s="348"/>
      <c r="Q144" s="719"/>
      <c r="R144" s="719"/>
      <c r="S144" s="719"/>
      <c r="T144" s="348"/>
      <c r="U144" s="719"/>
      <c r="V144" s="719"/>
      <c r="W144" s="719"/>
      <c r="X144" s="348"/>
      <c r="Y144" s="719"/>
      <c r="Z144" s="719"/>
      <c r="AA144" s="719"/>
      <c r="AB144" s="348"/>
      <c r="AC144" s="821">
        <f t="shared" si="344"/>
        <v>0</v>
      </c>
    </row>
    <row r="145" spans="1:31" ht="30">
      <c r="A145" s="715">
        <f>A71</f>
        <v>2.2999999999999998</v>
      </c>
      <c r="B145" s="716" t="str">
        <f>B71</f>
        <v xml:space="preserve">Treatment monitoring, management of adverse drug reactions and comorbidities </v>
      </c>
      <c r="C145" s="717"/>
      <c r="D145" s="718">
        <f>D71</f>
        <v>243418.01999999996</v>
      </c>
      <c r="E145" s="718">
        <f>E71</f>
        <v>232084.61599999998</v>
      </c>
      <c r="F145" s="718">
        <f>F71</f>
        <v>224042.383</v>
      </c>
      <c r="G145" s="348">
        <f t="shared" si="347"/>
        <v>699545.01899999997</v>
      </c>
      <c r="H145" s="719"/>
      <c r="I145" s="719"/>
      <c r="J145" s="719"/>
      <c r="K145" s="348"/>
      <c r="L145" s="1045"/>
      <c r="M145" s="719"/>
      <c r="N145" s="719"/>
      <c r="O145" s="719"/>
      <c r="P145" s="348"/>
      <c r="Q145" s="719"/>
      <c r="R145" s="719"/>
      <c r="S145" s="719"/>
      <c r="T145" s="348"/>
      <c r="U145" s="719"/>
      <c r="V145" s="719"/>
      <c r="W145" s="719"/>
      <c r="X145" s="348"/>
      <c r="Y145" s="719"/>
      <c r="Z145" s="719"/>
      <c r="AA145" s="719"/>
      <c r="AB145" s="348"/>
      <c r="AC145" s="821">
        <f t="shared" si="344"/>
        <v>0</v>
      </c>
    </row>
    <row r="146" spans="1:31">
      <c r="A146" s="715">
        <f>A80</f>
        <v>2.4</v>
      </c>
      <c r="B146" s="716" t="str">
        <f>B80</f>
        <v>TB infection control in health care facilities</v>
      </c>
      <c r="C146" s="717"/>
      <c r="D146" s="718">
        <f>D80</f>
        <v>17472</v>
      </c>
      <c r="E146" s="718">
        <f>E80</f>
        <v>87922</v>
      </c>
      <c r="F146" s="718">
        <f>F80</f>
        <v>44272</v>
      </c>
      <c r="G146" s="348">
        <f t="shared" si="347"/>
        <v>149666</v>
      </c>
      <c r="H146" s="719"/>
      <c r="I146" s="719"/>
      <c r="J146" s="719"/>
      <c r="K146" s="348"/>
      <c r="L146" s="1045"/>
      <c r="M146" s="719"/>
      <c r="N146" s="719"/>
      <c r="O146" s="719"/>
      <c r="P146" s="348"/>
      <c r="Q146" s="719"/>
      <c r="R146" s="719"/>
      <c r="S146" s="719"/>
      <c r="T146" s="348"/>
      <c r="U146" s="719"/>
      <c r="V146" s="719"/>
      <c r="W146" s="719"/>
      <c r="X146" s="348"/>
      <c r="Y146" s="719"/>
      <c r="Z146" s="719"/>
      <c r="AA146" s="719"/>
      <c r="AB146" s="348"/>
      <c r="AC146" s="821">
        <f t="shared" si="344"/>
        <v>0</v>
      </c>
    </row>
    <row r="147" spans="1:31">
      <c r="A147" s="715">
        <f>A84</f>
        <v>2.5</v>
      </c>
      <c r="B147" s="716" t="str">
        <f>B84</f>
        <v>Preventive treatment and vaccination against TB</v>
      </c>
      <c r="C147" s="717"/>
      <c r="D147" s="718">
        <f>D84</f>
        <v>61555.76</v>
      </c>
      <c r="E147" s="718">
        <f>E84</f>
        <v>89511.32</v>
      </c>
      <c r="F147" s="718">
        <f>F84</f>
        <v>136669.15</v>
      </c>
      <c r="G147" s="348">
        <f t="shared" ref="G147" si="348">SUM(D147:F147)</f>
        <v>287736.23</v>
      </c>
      <c r="H147" s="719"/>
      <c r="I147" s="719"/>
      <c r="J147" s="719"/>
      <c r="K147" s="348"/>
      <c r="L147" s="1045"/>
      <c r="M147" s="719"/>
      <c r="N147" s="719"/>
      <c r="O147" s="719"/>
      <c r="P147" s="348"/>
      <c r="Q147" s="719"/>
      <c r="R147" s="719"/>
      <c r="S147" s="719"/>
      <c r="T147" s="348"/>
      <c r="U147" s="719"/>
      <c r="V147" s="719"/>
      <c r="W147" s="719"/>
      <c r="X147" s="348"/>
      <c r="Y147" s="719"/>
      <c r="Z147" s="719"/>
      <c r="AA147" s="719"/>
      <c r="AB147" s="348"/>
      <c r="AC147" s="821">
        <f t="shared" si="344"/>
        <v>0</v>
      </c>
    </row>
    <row r="148" spans="1:31">
      <c r="A148" s="715">
        <f>A90</f>
        <v>2.6</v>
      </c>
      <c r="B148" s="716" t="str">
        <f>B90</f>
        <v>Support to operations of TB treatment institutions</v>
      </c>
      <c r="C148" s="717"/>
      <c r="D148" s="718">
        <f>D90</f>
        <v>6433136.0914496034</v>
      </c>
      <c r="E148" s="718">
        <f>E90</f>
        <v>7449230.8779728189</v>
      </c>
      <c r="F148" s="718">
        <f>F90</f>
        <v>7536690.0953737255</v>
      </c>
      <c r="G148" s="348">
        <f t="shared" si="347"/>
        <v>21419057.06479615</v>
      </c>
      <c r="H148" s="719"/>
      <c r="I148" s="719"/>
      <c r="J148" s="719"/>
      <c r="K148" s="348"/>
      <c r="L148" s="1045"/>
      <c r="M148" s="719"/>
      <c r="N148" s="719"/>
      <c r="O148" s="719"/>
      <c r="P148" s="348"/>
      <c r="Q148" s="719"/>
      <c r="R148" s="719"/>
      <c r="S148" s="719"/>
      <c r="T148" s="348"/>
      <c r="U148" s="719"/>
      <c r="V148" s="719"/>
      <c r="W148" s="719"/>
      <c r="X148" s="348"/>
      <c r="Y148" s="719"/>
      <c r="Z148" s="719"/>
      <c r="AA148" s="719"/>
      <c r="AB148" s="348"/>
      <c r="AC148" s="821">
        <f t="shared" si="344"/>
        <v>0</v>
      </c>
    </row>
    <row r="149" spans="1:31" ht="31.5">
      <c r="A149" s="336">
        <f>A94</f>
        <v>3</v>
      </c>
      <c r="B149" s="337" t="str">
        <f>B94</f>
        <v>To enable supportive environment and systems for effective TB control</v>
      </c>
      <c r="C149" s="338"/>
      <c r="D149" s="339">
        <f>SUM(D150,D151,D152,D153)</f>
        <v>3764771</v>
      </c>
      <c r="E149" s="339">
        <f t="shared" ref="E149:G149" si="349">SUM(E150,E151,E152,E153)</f>
        <v>4219690</v>
      </c>
      <c r="F149" s="339">
        <f t="shared" si="349"/>
        <v>3962110</v>
      </c>
      <c r="G149" s="340">
        <f t="shared" si="349"/>
        <v>11946571</v>
      </c>
      <c r="H149" s="339">
        <f>H94</f>
        <v>80550</v>
      </c>
      <c r="I149" s="339">
        <f>I94</f>
        <v>89380</v>
      </c>
      <c r="J149" s="339">
        <f>J94</f>
        <v>142990</v>
      </c>
      <c r="K149" s="340">
        <f>SUM(H149:J149)</f>
        <v>312920</v>
      </c>
      <c r="L149" s="1050">
        <f>L94</f>
        <v>131922.76</v>
      </c>
      <c r="M149" s="339">
        <f>M94</f>
        <v>505515</v>
      </c>
      <c r="N149" s="339">
        <f>N94</f>
        <v>1264110</v>
      </c>
      <c r="O149" s="339">
        <f>O94</f>
        <v>1179560</v>
      </c>
      <c r="P149" s="340">
        <f>SUM(L149:O149)</f>
        <v>3081107.76</v>
      </c>
      <c r="Q149" s="339">
        <f>Q94</f>
        <v>4340961.0389999999</v>
      </c>
      <c r="R149" s="339">
        <f>R94</f>
        <v>4313634.2044831254</v>
      </c>
      <c r="S149" s="339">
        <f>S94</f>
        <v>2820974.1312231636</v>
      </c>
      <c r="T149" s="340">
        <f>SUM(Q149:S149)</f>
        <v>11475569.374706291</v>
      </c>
      <c r="U149" s="339">
        <f>U94</f>
        <v>4978398.7989999996</v>
      </c>
      <c r="V149" s="339">
        <f>V94</f>
        <v>5577744.2044831254</v>
      </c>
      <c r="W149" s="339">
        <f>W94</f>
        <v>4000534.1312231636</v>
      </c>
      <c r="X149" s="340">
        <f>SUM(U149:W149)</f>
        <v>14556677.134706289</v>
      </c>
      <c r="Y149" s="339">
        <f>Y94</f>
        <v>-1294177.7989999996</v>
      </c>
      <c r="Z149" s="339">
        <f>Z94</f>
        <v>-1447434.2044831254</v>
      </c>
      <c r="AA149" s="339">
        <f>AA94</f>
        <v>-181414.13122316357</v>
      </c>
      <c r="AB149" s="340">
        <f>SUM(Y149:AA149)</f>
        <v>-2923026.1347062886</v>
      </c>
      <c r="AC149" s="820">
        <f t="shared" si="344"/>
        <v>-24.467490585426464</v>
      </c>
    </row>
    <row r="150" spans="1:31">
      <c r="A150" s="715">
        <f>A95</f>
        <v>3.1</v>
      </c>
      <c r="B150" s="716" t="str">
        <f>B95</f>
        <v>Strengthening core health system functions for TB control</v>
      </c>
      <c r="C150" s="717"/>
      <c r="D150" s="718">
        <f>D95</f>
        <v>106100</v>
      </c>
      <c r="E150" s="718">
        <f>E95</f>
        <v>407500</v>
      </c>
      <c r="F150" s="718">
        <f>F95</f>
        <v>335200</v>
      </c>
      <c r="G150" s="348">
        <f t="shared" ref="G150:G153" si="350">SUM(D150:F150)</f>
        <v>848800</v>
      </c>
      <c r="H150" s="719"/>
      <c r="I150" s="719"/>
      <c r="J150" s="719"/>
      <c r="K150" s="348"/>
      <c r="L150" s="1045"/>
      <c r="M150" s="719"/>
      <c r="N150" s="719"/>
      <c r="O150" s="719"/>
      <c r="P150" s="348"/>
      <c r="Q150" s="719"/>
      <c r="R150" s="719"/>
      <c r="S150" s="719"/>
      <c r="T150" s="348"/>
      <c r="U150" s="719"/>
      <c r="V150" s="719"/>
      <c r="W150" s="719"/>
      <c r="X150" s="348"/>
      <c r="Y150" s="719"/>
      <c r="Z150" s="719"/>
      <c r="AA150" s="719"/>
      <c r="AB150" s="348"/>
      <c r="AC150" s="821">
        <f t="shared" si="344"/>
        <v>0</v>
      </c>
    </row>
    <row r="151" spans="1:31" ht="30">
      <c r="A151" s="715">
        <f>A105</f>
        <v>3.2</v>
      </c>
      <c r="B151" s="716" t="str">
        <f>B105</f>
        <v>Supervision, monitoring and evaluation of the National TB Program</v>
      </c>
      <c r="C151" s="717"/>
      <c r="D151" s="718">
        <f>D105</f>
        <v>704946</v>
      </c>
      <c r="E151" s="718">
        <f>E105</f>
        <v>709740</v>
      </c>
      <c r="F151" s="718">
        <f>F105</f>
        <v>494460</v>
      </c>
      <c r="G151" s="348">
        <f t="shared" ref="G151" si="351">SUM(D151:F151)</f>
        <v>1909146</v>
      </c>
      <c r="H151" s="719"/>
      <c r="I151" s="719"/>
      <c r="J151" s="719"/>
      <c r="K151" s="348"/>
      <c r="L151" s="1045"/>
      <c r="M151" s="719"/>
      <c r="N151" s="719"/>
      <c r="O151" s="719"/>
      <c r="P151" s="348"/>
      <c r="Q151" s="719"/>
      <c r="R151" s="719"/>
      <c r="S151" s="719"/>
      <c r="T151" s="348"/>
      <c r="U151" s="719"/>
      <c r="V151" s="719"/>
      <c r="W151" s="719"/>
      <c r="X151" s="348"/>
      <c r="Y151" s="719"/>
      <c r="Z151" s="719"/>
      <c r="AA151" s="719"/>
      <c r="AB151" s="348"/>
      <c r="AC151" s="821">
        <f t="shared" si="344"/>
        <v>0</v>
      </c>
    </row>
    <row r="152" spans="1:31" ht="30">
      <c r="A152" s="715">
        <f>A116</f>
        <v>3.3</v>
      </c>
      <c r="B152" s="716" t="str">
        <f>B116</f>
        <v>Advocacy, communication, social mobilization (ACSM) and civil society engagement for TB control</v>
      </c>
      <c r="C152" s="717"/>
      <c r="D152" s="718">
        <f>D116</f>
        <v>333725</v>
      </c>
      <c r="E152" s="718">
        <f>E116</f>
        <v>482450</v>
      </c>
      <c r="F152" s="718">
        <f>F116</f>
        <v>512450</v>
      </c>
      <c r="G152" s="348">
        <f t="shared" si="350"/>
        <v>1328625</v>
      </c>
      <c r="H152" s="719"/>
      <c r="I152" s="719"/>
      <c r="J152" s="719"/>
      <c r="K152" s="348"/>
      <c r="L152" s="1045"/>
      <c r="M152" s="719"/>
      <c r="N152" s="719"/>
      <c r="O152" s="719"/>
      <c r="P152" s="348"/>
      <c r="Q152" s="719"/>
      <c r="R152" s="719"/>
      <c r="S152" s="719"/>
      <c r="T152" s="348"/>
      <c r="U152" s="719"/>
      <c r="V152" s="719"/>
      <c r="W152" s="719"/>
      <c r="X152" s="348"/>
      <c r="Y152" s="719"/>
      <c r="Z152" s="719"/>
      <c r="AA152" s="719"/>
      <c r="AB152" s="348"/>
      <c r="AC152" s="821">
        <f t="shared" si="344"/>
        <v>0</v>
      </c>
    </row>
    <row r="153" spans="1:31">
      <c r="A153" s="715">
        <f>A126</f>
        <v>3.4</v>
      </c>
      <c r="B153" s="716" t="str">
        <f>B126</f>
        <v>Research on priority issues of TB control</v>
      </c>
      <c r="C153" s="717"/>
      <c r="D153" s="718">
        <f>D126</f>
        <v>2620000</v>
      </c>
      <c r="E153" s="718">
        <f>E126</f>
        <v>2620000</v>
      </c>
      <c r="F153" s="718">
        <f>F126</f>
        <v>2620000</v>
      </c>
      <c r="G153" s="348">
        <f t="shared" si="350"/>
        <v>7860000</v>
      </c>
      <c r="H153" s="719"/>
      <c r="I153" s="719"/>
      <c r="J153" s="719"/>
      <c r="K153" s="348"/>
      <c r="L153" s="1045"/>
      <c r="M153" s="719"/>
      <c r="N153" s="719"/>
      <c r="O153" s="719"/>
      <c r="P153" s="348"/>
      <c r="Q153" s="719"/>
      <c r="R153" s="719"/>
      <c r="S153" s="719"/>
      <c r="T153" s="348"/>
      <c r="U153" s="719"/>
      <c r="V153" s="719"/>
      <c r="W153" s="719"/>
      <c r="X153" s="348"/>
      <c r="Y153" s="719"/>
      <c r="Z153" s="719"/>
      <c r="AA153" s="719"/>
      <c r="AB153" s="348"/>
      <c r="AC153" s="821">
        <f t="shared" si="344"/>
        <v>0</v>
      </c>
    </row>
    <row r="154" spans="1:31" ht="14.45" customHeight="1">
      <c r="A154" s="482"/>
      <c r="B154" s="482" t="s">
        <v>1008</v>
      </c>
      <c r="C154" s="483"/>
      <c r="D154" s="477">
        <f t="shared" ref="D154:J154" si="352">SUM(D137,D142,D149)</f>
        <v>15934350.166006058</v>
      </c>
      <c r="E154" s="477">
        <f t="shared" si="352"/>
        <v>18290370.541588262</v>
      </c>
      <c r="F154" s="477">
        <f t="shared" si="352"/>
        <v>17271196.710283261</v>
      </c>
      <c r="G154" s="351">
        <f t="shared" si="352"/>
        <v>51495917.417877585</v>
      </c>
      <c r="H154" s="477">
        <f t="shared" si="352"/>
        <v>6712710</v>
      </c>
      <c r="I154" s="477">
        <f t="shared" si="352"/>
        <v>7351800</v>
      </c>
      <c r="J154" s="477">
        <f t="shared" si="352"/>
        <v>7427860</v>
      </c>
      <c r="K154" s="351">
        <f>SUM(H154:J154)</f>
        <v>21492370</v>
      </c>
      <c r="L154" s="477">
        <f>SUM(L137,L142,L149)</f>
        <v>1319227.5999999999</v>
      </c>
      <c r="M154" s="477">
        <f>SUM(M137,M142,M149)</f>
        <v>3020631</v>
      </c>
      <c r="N154" s="477">
        <f>SUM(N137,N142,N149)</f>
        <v>5251849.0999999996</v>
      </c>
      <c r="O154" s="477">
        <f>SUM(O137,O142,O149)</f>
        <v>3634252.7798938667</v>
      </c>
      <c r="P154" s="351">
        <f>SUM(L154:O154)</f>
        <v>13225960.479893867</v>
      </c>
      <c r="Q154" s="477">
        <f>SUM(Q137,Q142,Q149)</f>
        <v>5797015.3300000001</v>
      </c>
      <c r="R154" s="477">
        <f>SUM(R137,R142,R149)</f>
        <v>5822753.4253735365</v>
      </c>
      <c r="S154" s="477">
        <f>SUM(S137,S142,S149)</f>
        <v>4931114.370949191</v>
      </c>
      <c r="T154" s="351">
        <f>SUM(Q154:S154)</f>
        <v>16550883.126322728</v>
      </c>
      <c r="U154" s="477">
        <f>SUM(U137,U142,U149)</f>
        <v>10136873.93</v>
      </c>
      <c r="V154" s="477">
        <f>SUM(V137,V142,V149)</f>
        <v>11074602.525373537</v>
      </c>
      <c r="W154" s="477">
        <f>SUM(W137,W142,W149)</f>
        <v>8565367.1508430578</v>
      </c>
      <c r="X154" s="351">
        <f>SUM(U154:W154)</f>
        <v>29776843.606216595</v>
      </c>
      <c r="Y154" s="477">
        <f>SUM(Y137,Y142,Y149)</f>
        <v>-915233.76399394032</v>
      </c>
      <c r="Z154" s="477">
        <f>SUM(Z137,Z142,Z149)</f>
        <v>-136031.9837852763</v>
      </c>
      <c r="AA154" s="477">
        <f>SUM(AA137,AA142,AA149)</f>
        <v>1277969.5594402039</v>
      </c>
      <c r="AB154" s="351">
        <f>SUM(Y154:AA154)</f>
        <v>226703.81166098733</v>
      </c>
      <c r="AC154" s="820">
        <f t="shared" si="344"/>
        <v>0.44023647510022546</v>
      </c>
    </row>
    <row r="155" spans="1:31" ht="14.45" customHeight="1">
      <c r="A155" s="344">
        <v>4</v>
      </c>
      <c r="B155" s="345" t="s">
        <v>1009</v>
      </c>
      <c r="C155" s="346"/>
      <c r="D155" s="347">
        <f>D130</f>
        <v>0</v>
      </c>
      <c r="E155" s="347">
        <f>E130</f>
        <v>914518.52707941318</v>
      </c>
      <c r="F155" s="347">
        <f>F130</f>
        <v>863559.83551416313</v>
      </c>
      <c r="G155" s="348">
        <f t="shared" ref="G155" si="353">SUM(D155:F155)</f>
        <v>1778078.3625935763</v>
      </c>
      <c r="H155" s="347">
        <f>H130</f>
        <v>0</v>
      </c>
      <c r="I155" s="347">
        <f>I130</f>
        <v>96830</v>
      </c>
      <c r="J155" s="347">
        <f>J130</f>
        <v>97830</v>
      </c>
      <c r="K155" s="348">
        <f>SUM(H155:J155)</f>
        <v>194660</v>
      </c>
      <c r="L155" s="1045"/>
      <c r="M155" s="347">
        <f>M130</f>
        <v>0</v>
      </c>
      <c r="N155" s="347">
        <f>N130</f>
        <v>0</v>
      </c>
      <c r="O155" s="347">
        <f>O130</f>
        <v>0</v>
      </c>
      <c r="P155" s="348">
        <f>SUM(M155:O155)</f>
        <v>0</v>
      </c>
      <c r="Q155" s="347">
        <f>Q130</f>
        <v>0</v>
      </c>
      <c r="R155" s="347">
        <f>R130</f>
        <v>0</v>
      </c>
      <c r="S155" s="347">
        <f>S130</f>
        <v>0</v>
      </c>
      <c r="T155" s="348">
        <f>SUM(Q155:S155)</f>
        <v>0</v>
      </c>
      <c r="U155" s="347">
        <f>U130</f>
        <v>0</v>
      </c>
      <c r="V155" s="347">
        <f>V130</f>
        <v>0</v>
      </c>
      <c r="W155" s="347">
        <f>W130</f>
        <v>0</v>
      </c>
      <c r="X155" s="348">
        <f>SUM(U155:W155)</f>
        <v>0</v>
      </c>
      <c r="Y155" s="347">
        <f>Y130</f>
        <v>0</v>
      </c>
      <c r="Z155" s="347">
        <f>Z130</f>
        <v>817688.52707941318</v>
      </c>
      <c r="AA155" s="347">
        <f>AA130</f>
        <v>765729.83551416313</v>
      </c>
      <c r="AB155" s="348">
        <f>SUM(Y155:AA155)</f>
        <v>1583418.3625935763</v>
      </c>
      <c r="AC155" s="821">
        <f t="shared" si="344"/>
        <v>89.05222603822358</v>
      </c>
    </row>
    <row r="156" spans="1:31" ht="15.75">
      <c r="A156" s="349"/>
      <c r="B156" s="349" t="s">
        <v>809</v>
      </c>
      <c r="C156" s="350"/>
      <c r="D156" s="351">
        <f>D154+D155</f>
        <v>15934350.166006058</v>
      </c>
      <c r="E156" s="351">
        <f t="shared" ref="E156:G156" si="354">E154+E155</f>
        <v>19204889.068667676</v>
      </c>
      <c r="F156" s="351">
        <f t="shared" si="354"/>
        <v>18134756.545797423</v>
      </c>
      <c r="G156" s="352">
        <f t="shared" si="354"/>
        <v>53273995.780471161</v>
      </c>
      <c r="H156" s="351">
        <f>H154+H155</f>
        <v>6712710</v>
      </c>
      <c r="I156" s="351">
        <f t="shared" ref="I156:K156" si="355">I154+I155</f>
        <v>7448630</v>
      </c>
      <c r="J156" s="351">
        <f t="shared" si="355"/>
        <v>7525690</v>
      </c>
      <c r="K156" s="352">
        <f t="shared" si="355"/>
        <v>21687030</v>
      </c>
      <c r="L156" s="351">
        <f>L154+L155</f>
        <v>1319227.5999999999</v>
      </c>
      <c r="M156" s="351">
        <f>M154+M155</f>
        <v>3020631</v>
      </c>
      <c r="N156" s="351">
        <f t="shared" ref="N156:P156" si="356">N154+N155</f>
        <v>5251849.0999999996</v>
      </c>
      <c r="O156" s="351">
        <f t="shared" si="356"/>
        <v>3634252.7798938667</v>
      </c>
      <c r="P156" s="352">
        <f t="shared" si="356"/>
        <v>13225960.479893867</v>
      </c>
      <c r="Q156" s="351">
        <f>Q154+Q155</f>
        <v>5797015.3300000001</v>
      </c>
      <c r="R156" s="351">
        <f t="shared" ref="R156:T156" si="357">R154+R155</f>
        <v>5822753.4253735365</v>
      </c>
      <c r="S156" s="351">
        <f t="shared" si="357"/>
        <v>4931114.370949191</v>
      </c>
      <c r="T156" s="352">
        <f t="shared" si="357"/>
        <v>16550883.126322728</v>
      </c>
      <c r="U156" s="351">
        <f>U154+U155</f>
        <v>10136873.93</v>
      </c>
      <c r="V156" s="351">
        <f t="shared" ref="V156:X156" si="358">V154+V155</f>
        <v>11074602.525373537</v>
      </c>
      <c r="W156" s="351">
        <f t="shared" si="358"/>
        <v>8565367.1508430578</v>
      </c>
      <c r="X156" s="352">
        <f t="shared" si="358"/>
        <v>29776843.606216595</v>
      </c>
      <c r="Y156" s="351">
        <f>Y154+Y155</f>
        <v>-915233.76399394032</v>
      </c>
      <c r="Z156" s="351">
        <f t="shared" ref="Z156:AB156" si="359">Z154+Z155</f>
        <v>681656.54329413688</v>
      </c>
      <c r="AA156" s="351">
        <f t="shared" si="359"/>
        <v>2043699.3949543671</v>
      </c>
      <c r="AB156" s="352">
        <f t="shared" si="359"/>
        <v>1810122.1742545636</v>
      </c>
      <c r="AC156" s="820">
        <f t="shared" si="344"/>
        <v>3.3977593528250165</v>
      </c>
    </row>
    <row r="157" spans="1:31">
      <c r="C157" s="358"/>
      <c r="Q157" s="359"/>
      <c r="U157" s="359"/>
      <c r="Y157" s="359"/>
    </row>
    <row r="158" spans="1:31">
      <c r="A158" s="478"/>
      <c r="B158" s="479" t="s">
        <v>26</v>
      </c>
      <c r="C158" s="480"/>
      <c r="D158" s="481">
        <f t="shared" ref="D158:K158" si="360">D131-D156</f>
        <v>0</v>
      </c>
      <c r="E158" s="481">
        <f t="shared" si="360"/>
        <v>0</v>
      </c>
      <c r="F158" s="481">
        <f t="shared" si="360"/>
        <v>0</v>
      </c>
      <c r="G158" s="481">
        <f t="shared" si="360"/>
        <v>0</v>
      </c>
      <c r="H158" s="481">
        <f t="shared" si="360"/>
        <v>0</v>
      </c>
      <c r="I158" s="481">
        <f t="shared" si="360"/>
        <v>0</v>
      </c>
      <c r="J158" s="481">
        <f t="shared" si="360"/>
        <v>0</v>
      </c>
      <c r="K158" s="481">
        <f t="shared" si="360"/>
        <v>0</v>
      </c>
      <c r="L158" s="481"/>
      <c r="M158" s="481"/>
      <c r="N158" s="481">
        <f t="shared" ref="N158:AC158" si="361">M131-M156</f>
        <v>0</v>
      </c>
      <c r="O158" s="481">
        <f t="shared" si="361"/>
        <v>0</v>
      </c>
      <c r="P158" s="481">
        <f t="shared" si="361"/>
        <v>0</v>
      </c>
      <c r="Q158" s="481">
        <f t="shared" si="361"/>
        <v>0</v>
      </c>
      <c r="R158" s="481">
        <f t="shared" si="361"/>
        <v>0</v>
      </c>
      <c r="S158" s="481">
        <f t="shared" si="361"/>
        <v>0</v>
      </c>
      <c r="T158" s="481">
        <f t="shared" si="361"/>
        <v>0</v>
      </c>
      <c r="U158" s="481">
        <f t="shared" si="361"/>
        <v>0</v>
      </c>
      <c r="V158" s="481">
        <f t="shared" si="361"/>
        <v>0</v>
      </c>
      <c r="W158" s="481">
        <f t="shared" si="361"/>
        <v>0</v>
      </c>
      <c r="X158" s="481">
        <f t="shared" si="361"/>
        <v>0</v>
      </c>
      <c r="Y158" s="481">
        <f t="shared" si="361"/>
        <v>0</v>
      </c>
      <c r="Z158" s="481">
        <f t="shared" si="361"/>
        <v>0</v>
      </c>
      <c r="AA158" s="481">
        <f t="shared" si="361"/>
        <v>0</v>
      </c>
      <c r="AB158" s="481">
        <f t="shared" si="361"/>
        <v>0</v>
      </c>
      <c r="AC158" s="481">
        <f t="shared" si="361"/>
        <v>0</v>
      </c>
      <c r="AD158" s="479"/>
      <c r="AE158" s="479"/>
    </row>
    <row r="159" spans="1:31" hidden="1">
      <c r="A159" s="360"/>
      <c r="B159" s="361"/>
      <c r="C159" s="362"/>
      <c r="D159" s="363"/>
      <c r="E159" s="363"/>
      <c r="F159" s="363"/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64"/>
      <c r="R159" s="363"/>
      <c r="S159" s="363"/>
      <c r="T159" s="363"/>
      <c r="U159" s="363"/>
      <c r="V159" s="363"/>
      <c r="W159" s="363"/>
      <c r="X159" s="363"/>
      <c r="Y159" s="363"/>
      <c r="Z159" s="363"/>
      <c r="AA159" s="363"/>
      <c r="AB159" s="363"/>
      <c r="AC159" s="363"/>
    </row>
    <row r="160" spans="1:31" ht="15.75" hidden="1">
      <c r="A160" s="484" t="s">
        <v>45</v>
      </c>
      <c r="B160" s="357" t="s">
        <v>1011</v>
      </c>
      <c r="C160" s="358"/>
    </row>
    <row r="161" spans="1:33" hidden="1">
      <c r="C161" s="358"/>
    </row>
    <row r="162" spans="1:33" ht="15.6" hidden="1" customHeight="1">
      <c r="A162" s="1762" t="s">
        <v>243</v>
      </c>
      <c r="B162" s="1762" t="s">
        <v>1627</v>
      </c>
      <c r="C162" s="1762"/>
      <c r="D162" s="1758" t="str">
        <f>D8</f>
        <v>Total funding needs</v>
      </c>
      <c r="E162" s="1759"/>
      <c r="F162" s="1759"/>
      <c r="G162" s="1761"/>
      <c r="H162" s="1758" t="str">
        <f>H8</f>
        <v>Government funding</v>
      </c>
      <c r="I162" s="1759"/>
      <c r="J162" s="1759"/>
      <c r="K162" s="1761"/>
      <c r="L162" s="1041"/>
      <c r="M162" s="1041"/>
      <c r="N162" s="1758" t="str">
        <f>M8</f>
        <v xml:space="preserve">External funding: Global Fund </v>
      </c>
      <c r="O162" s="1759"/>
      <c r="P162" s="1759"/>
      <c r="Q162" s="1761"/>
      <c r="R162" s="1758" t="str">
        <f>Q8</f>
        <v>External funding: other partners</v>
      </c>
      <c r="S162" s="1759"/>
      <c r="T162" s="1759"/>
      <c r="U162" s="1761"/>
      <c r="V162" s="1758" t="str">
        <f>U8</f>
        <v>External funding: TOTAL</v>
      </c>
      <c r="W162" s="1759"/>
      <c r="X162" s="1759"/>
      <c r="Y162" s="1761"/>
      <c r="Z162" s="1758" t="str">
        <f>Y8</f>
        <v>Funding gap</v>
      </c>
      <c r="AA162" s="1759"/>
      <c r="AB162" s="1759"/>
      <c r="AC162" s="1761"/>
      <c r="AD162" s="1777" t="s">
        <v>1633</v>
      </c>
      <c r="AE162" s="1778"/>
      <c r="AF162" s="1778"/>
      <c r="AG162" s="1779"/>
    </row>
    <row r="163" spans="1:33" ht="28.9" hidden="1" customHeight="1">
      <c r="A163" s="1763"/>
      <c r="B163" s="1763"/>
      <c r="C163" s="1763"/>
      <c r="D163" s="334" t="str">
        <f>D9</f>
        <v>Year 1 (2016)</v>
      </c>
      <c r="E163" s="334" t="str">
        <f>E9</f>
        <v>Year 2 (2017)</v>
      </c>
      <c r="F163" s="334" t="str">
        <f>F9</f>
        <v>Year 3 (2018)</v>
      </c>
      <c r="G163" s="729" t="str">
        <f>G9</f>
        <v>Total 3 years (2016-2018)</v>
      </c>
      <c r="H163" s="334" t="str">
        <f>H9</f>
        <v>Year 1 (2016)</v>
      </c>
      <c r="I163" s="334" t="str">
        <f>I9</f>
        <v>Year 2 (2017)</v>
      </c>
      <c r="J163" s="334" t="str">
        <f>J9</f>
        <v>Year 3 (2018)</v>
      </c>
      <c r="K163" s="729" t="str">
        <f>K9</f>
        <v>Total 3 years (2016-2018)</v>
      </c>
      <c r="L163" s="1048"/>
      <c r="M163" s="1048"/>
      <c r="N163" s="334" t="str">
        <f>M9</f>
        <v>Year 1 (2016)</v>
      </c>
      <c r="O163" s="334" t="str">
        <f>N9</f>
        <v>Year 2 (2017)</v>
      </c>
      <c r="P163" s="334" t="str">
        <f>O9</f>
        <v>Year 3 (2018)</v>
      </c>
      <c r="Q163" s="729" t="str">
        <f>P9</f>
        <v>Total 3 years (2016-2018)</v>
      </c>
      <c r="R163" s="334" t="str">
        <f>Q9</f>
        <v>Year 1 (2016)</v>
      </c>
      <c r="S163" s="334" t="str">
        <f>R9</f>
        <v>Year 2 (2017)</v>
      </c>
      <c r="T163" s="334" t="str">
        <f>S9</f>
        <v>Year 3 (2018)</v>
      </c>
      <c r="U163" s="729" t="str">
        <f>T9</f>
        <v>Total 3 years (2016-2018)</v>
      </c>
      <c r="V163" s="334" t="str">
        <f>U9</f>
        <v>Year 1 (2016)</v>
      </c>
      <c r="W163" s="334" t="str">
        <f>V9</f>
        <v>Year 2 (2017)</v>
      </c>
      <c r="X163" s="334" t="str">
        <f>W9</f>
        <v>Year 3 (2018)</v>
      </c>
      <c r="Y163" s="729" t="str">
        <f>X9</f>
        <v>Total 3 years (2016-2018)</v>
      </c>
      <c r="Z163" s="334" t="str">
        <f>Y9</f>
        <v>Year 1 (2016)</v>
      </c>
      <c r="AA163" s="334" t="str">
        <f>Z9</f>
        <v>Year 2 (2017)</v>
      </c>
      <c r="AB163" s="334" t="str">
        <f>AA9</f>
        <v>Year 3 (2018)</v>
      </c>
      <c r="AC163" s="729" t="str">
        <f>AB9</f>
        <v>Total 3 years (2016-2018)</v>
      </c>
      <c r="AD163" s="728" t="str">
        <f>Z163</f>
        <v>Year 1 (2016)</v>
      </c>
      <c r="AE163" s="728" t="str">
        <f>AA163</f>
        <v>Year 2 (2017)</v>
      </c>
      <c r="AF163" s="728" t="str">
        <f>AB163</f>
        <v>Year 3 (2018)</v>
      </c>
      <c r="AG163" s="730" t="str">
        <f>AC163</f>
        <v>Total 3 years (2016-2018)</v>
      </c>
    </row>
    <row r="164" spans="1:33" hidden="1">
      <c r="A164" s="344">
        <v>1</v>
      </c>
      <c r="B164" s="345" t="s">
        <v>1012</v>
      </c>
      <c r="C164" s="365" t="s">
        <v>770</v>
      </c>
      <c r="D164" s="347">
        <f>SUM(D45,D47,D70,D91,D113)</f>
        <v>3596397.2536806338</v>
      </c>
      <c r="E164" s="347">
        <f>SUM(E45,E47,E70,E91,E113)</f>
        <v>3844343.3556058882</v>
      </c>
      <c r="F164" s="347">
        <f>SUM(F45,F47,F70,F91,F113)</f>
        <v>4123270.9182219701</v>
      </c>
      <c r="G164" s="348">
        <f t="shared" ref="G164:G184" si="362">SUM(D164:F164)</f>
        <v>11564011.527508494</v>
      </c>
      <c r="H164" s="347"/>
      <c r="I164" s="347"/>
      <c r="J164" s="347"/>
      <c r="K164" s="348">
        <f t="shared" ref="K164:K182" si="363">SUM(H164:J164)</f>
        <v>0</v>
      </c>
      <c r="L164" s="1045"/>
      <c r="M164" s="1045"/>
      <c r="N164" s="347"/>
      <c r="O164" s="347"/>
      <c r="P164" s="347"/>
      <c r="Q164" s="348">
        <f t="shared" ref="Q164:Q182" si="364">SUM(N164:P164)</f>
        <v>0</v>
      </c>
      <c r="R164" s="347"/>
      <c r="S164" s="347"/>
      <c r="T164" s="347"/>
      <c r="U164" s="348">
        <f t="shared" ref="U164:U182" si="365">SUM(R164:T164)</f>
        <v>0</v>
      </c>
      <c r="V164" s="347">
        <f t="shared" ref="V164" si="366">SUM(N164,R164)</f>
        <v>0</v>
      </c>
      <c r="W164" s="347">
        <f t="shared" ref="W164" si="367">SUM(O164,S164)</f>
        <v>0</v>
      </c>
      <c r="X164" s="347">
        <f t="shared" ref="X164" si="368">SUM(P164,T164)</f>
        <v>0</v>
      </c>
      <c r="Y164" s="348">
        <f t="shared" ref="Y164:Y182" si="369">SUM(V164:X164)</f>
        <v>0</v>
      </c>
      <c r="Z164" s="347">
        <f t="shared" ref="Z164" si="370">D164-(H164+V164)</f>
        <v>3596397.2536806338</v>
      </c>
      <c r="AA164" s="347">
        <f t="shared" ref="AA164" si="371">E164-(I164+W164)</f>
        <v>3844343.3556058882</v>
      </c>
      <c r="AB164" s="347">
        <f t="shared" ref="AB164" si="372">F164-(J164+X164)</f>
        <v>4123270.9182219701</v>
      </c>
      <c r="AC164" s="348">
        <f t="shared" ref="AC164:AC182" si="373">SUM(Z164:AB164)</f>
        <v>11564011.527508494</v>
      </c>
      <c r="AD164" s="726" t="e">
        <f>D164/D$183%</f>
        <v>#REF!</v>
      </c>
      <c r="AE164" s="726" t="e">
        <f>E164/E$183%</f>
        <v>#REF!</v>
      </c>
      <c r="AF164" s="726" t="e">
        <f>F164/F$183%</f>
        <v>#REF!</v>
      </c>
      <c r="AG164" s="727" t="e">
        <f>G164/G$183%</f>
        <v>#REF!</v>
      </c>
    </row>
    <row r="165" spans="1:33" hidden="1">
      <c r="A165" s="344">
        <v>2</v>
      </c>
      <c r="B165" s="345" t="s">
        <v>1013</v>
      </c>
      <c r="C165" s="365" t="s">
        <v>998</v>
      </c>
      <c r="D165" s="347" t="e">
        <f>SUM(#REF!,D31,D57,D96,D114,#REF!)</f>
        <v>#REF!</v>
      </c>
      <c r="E165" s="347" t="e">
        <f>SUM(#REF!,E31,E57,E96,E114,#REF!)</f>
        <v>#REF!</v>
      </c>
      <c r="F165" s="347" t="e">
        <f>SUM(#REF!,F31,F57,F96,F114,#REF!)</f>
        <v>#REF!</v>
      </c>
      <c r="G165" s="348" t="e">
        <f t="shared" si="362"/>
        <v>#REF!</v>
      </c>
      <c r="H165" s="347"/>
      <c r="I165" s="347"/>
      <c r="J165" s="347"/>
      <c r="K165" s="348">
        <f t="shared" si="363"/>
        <v>0</v>
      </c>
      <c r="L165" s="1045"/>
      <c r="M165" s="1045"/>
      <c r="N165" s="347"/>
      <c r="O165" s="347"/>
      <c r="P165" s="347"/>
      <c r="Q165" s="348">
        <f t="shared" si="364"/>
        <v>0</v>
      </c>
      <c r="R165" s="347"/>
      <c r="S165" s="347"/>
      <c r="T165" s="347"/>
      <c r="U165" s="348">
        <f t="shared" si="365"/>
        <v>0</v>
      </c>
      <c r="V165" s="347">
        <f t="shared" ref="V165:V182" si="374">SUM(N165,R165)</f>
        <v>0</v>
      </c>
      <c r="W165" s="347">
        <f t="shared" ref="W165:W182" si="375">SUM(O165,S165)</f>
        <v>0</v>
      </c>
      <c r="X165" s="347">
        <f t="shared" ref="X165:X182" si="376">SUM(P165,T165)</f>
        <v>0</v>
      </c>
      <c r="Y165" s="348">
        <f t="shared" si="369"/>
        <v>0</v>
      </c>
      <c r="Z165" s="347" t="e">
        <f t="shared" ref="Z165:Z182" si="377">D165-(H165+V165)</f>
        <v>#REF!</v>
      </c>
      <c r="AA165" s="347" t="e">
        <f t="shared" ref="AA165:AA182" si="378">E165-(I165+W165)</f>
        <v>#REF!</v>
      </c>
      <c r="AB165" s="347" t="e">
        <f t="shared" ref="AB165:AB182" si="379">F165-(J165+X165)</f>
        <v>#REF!</v>
      </c>
      <c r="AC165" s="348" t="e">
        <f t="shared" si="373"/>
        <v>#REF!</v>
      </c>
      <c r="AD165" s="726" t="e">
        <f t="shared" ref="AD165:AD182" si="380">D165/D$183%</f>
        <v>#REF!</v>
      </c>
      <c r="AE165" s="726" t="e">
        <f t="shared" ref="AE165:AE183" si="381">E165/E$183%</f>
        <v>#REF!</v>
      </c>
      <c r="AF165" s="726" t="e">
        <f t="shared" ref="AF165:AF183" si="382">F165/F$183%</f>
        <v>#REF!</v>
      </c>
      <c r="AG165" s="727" t="e">
        <f t="shared" ref="AG165:AG183" si="383">G165/G$183%</f>
        <v>#REF!</v>
      </c>
    </row>
    <row r="166" spans="1:33" hidden="1">
      <c r="A166" s="344">
        <v>3</v>
      </c>
      <c r="B166" s="345" t="s">
        <v>1014</v>
      </c>
      <c r="C166" s="365" t="s">
        <v>999</v>
      </c>
      <c r="D166" s="347" t="e">
        <f>SUM(#REF!,#REF!,#REF!,D117,#REF!)</f>
        <v>#REF!</v>
      </c>
      <c r="E166" s="347" t="e">
        <f>SUM(#REF!,#REF!,#REF!,E117,#REF!)</f>
        <v>#REF!</v>
      </c>
      <c r="F166" s="347" t="e">
        <f>SUM(#REF!,#REF!,#REF!,F117,#REF!)</f>
        <v>#REF!</v>
      </c>
      <c r="G166" s="348" t="e">
        <f t="shared" si="362"/>
        <v>#REF!</v>
      </c>
      <c r="H166" s="347"/>
      <c r="I166" s="347"/>
      <c r="J166" s="347"/>
      <c r="K166" s="348">
        <f t="shared" si="363"/>
        <v>0</v>
      </c>
      <c r="L166" s="1045"/>
      <c r="M166" s="1045"/>
      <c r="N166" s="347"/>
      <c r="O166" s="347"/>
      <c r="P166" s="347"/>
      <c r="Q166" s="348">
        <f t="shared" si="364"/>
        <v>0</v>
      </c>
      <c r="R166" s="347"/>
      <c r="S166" s="347"/>
      <c r="T166" s="347"/>
      <c r="U166" s="348">
        <f t="shared" si="365"/>
        <v>0</v>
      </c>
      <c r="V166" s="347">
        <f t="shared" si="374"/>
        <v>0</v>
      </c>
      <c r="W166" s="347">
        <f t="shared" si="375"/>
        <v>0</v>
      </c>
      <c r="X166" s="347">
        <f t="shared" si="376"/>
        <v>0</v>
      </c>
      <c r="Y166" s="348">
        <f t="shared" si="369"/>
        <v>0</v>
      </c>
      <c r="Z166" s="347" t="e">
        <f t="shared" si="377"/>
        <v>#REF!</v>
      </c>
      <c r="AA166" s="347" t="e">
        <f t="shared" si="378"/>
        <v>#REF!</v>
      </c>
      <c r="AB166" s="347" t="e">
        <f t="shared" si="379"/>
        <v>#REF!</v>
      </c>
      <c r="AC166" s="348" t="e">
        <f t="shared" si="373"/>
        <v>#REF!</v>
      </c>
      <c r="AD166" s="726" t="e">
        <f t="shared" si="380"/>
        <v>#REF!</v>
      </c>
      <c r="AE166" s="726" t="e">
        <f t="shared" si="381"/>
        <v>#REF!</v>
      </c>
      <c r="AF166" s="726" t="e">
        <f t="shared" si="382"/>
        <v>#REF!</v>
      </c>
      <c r="AG166" s="727" t="e">
        <f t="shared" si="383"/>
        <v>#REF!</v>
      </c>
    </row>
    <row r="167" spans="1:33" hidden="1">
      <c r="A167" s="344">
        <v>4</v>
      </c>
      <c r="B167" s="345" t="s">
        <v>1015</v>
      </c>
      <c r="C167" s="365" t="s">
        <v>1000</v>
      </c>
      <c r="D167" s="347" t="e">
        <f>SUM(D12,D34,D42,#REF!,D58,#REF!,D81,D85,D97,D110,#REF!,D103)</f>
        <v>#REF!</v>
      </c>
      <c r="E167" s="347" t="e">
        <f>SUM(E12,E34,E42,#REF!,E58,#REF!,E81,E85,E97,E110,#REF!,E103)</f>
        <v>#REF!</v>
      </c>
      <c r="F167" s="347" t="e">
        <f>SUM(F12,F34,F42,#REF!,F58,#REF!,F81,F85,F97,F110,#REF!,F103)</f>
        <v>#REF!</v>
      </c>
      <c r="G167" s="348" t="e">
        <f t="shared" si="362"/>
        <v>#REF!</v>
      </c>
      <c r="H167" s="347"/>
      <c r="I167" s="347"/>
      <c r="J167" s="347"/>
      <c r="K167" s="348">
        <f t="shared" si="363"/>
        <v>0</v>
      </c>
      <c r="L167" s="1045"/>
      <c r="M167" s="1045"/>
      <c r="N167" s="347"/>
      <c r="O167" s="347"/>
      <c r="P167" s="347"/>
      <c r="Q167" s="348">
        <f t="shared" si="364"/>
        <v>0</v>
      </c>
      <c r="R167" s="347"/>
      <c r="S167" s="347"/>
      <c r="T167" s="347"/>
      <c r="U167" s="348">
        <f t="shared" si="365"/>
        <v>0</v>
      </c>
      <c r="V167" s="347">
        <f t="shared" si="374"/>
        <v>0</v>
      </c>
      <c r="W167" s="347">
        <f t="shared" si="375"/>
        <v>0</v>
      </c>
      <c r="X167" s="347">
        <f t="shared" si="376"/>
        <v>0</v>
      </c>
      <c r="Y167" s="348">
        <f t="shared" si="369"/>
        <v>0</v>
      </c>
      <c r="Z167" s="347" t="e">
        <f t="shared" si="377"/>
        <v>#REF!</v>
      </c>
      <c r="AA167" s="347" t="e">
        <f t="shared" si="378"/>
        <v>#REF!</v>
      </c>
      <c r="AB167" s="347" t="e">
        <f t="shared" si="379"/>
        <v>#REF!</v>
      </c>
      <c r="AC167" s="348" t="e">
        <f t="shared" si="373"/>
        <v>#REF!</v>
      </c>
      <c r="AD167" s="726" t="e">
        <f t="shared" si="380"/>
        <v>#REF!</v>
      </c>
      <c r="AE167" s="726" t="e">
        <f t="shared" si="381"/>
        <v>#REF!</v>
      </c>
      <c r="AF167" s="726" t="e">
        <f t="shared" si="382"/>
        <v>#REF!</v>
      </c>
      <c r="AG167" s="727" t="e">
        <f t="shared" si="383"/>
        <v>#REF!</v>
      </c>
    </row>
    <row r="168" spans="1:33" hidden="1">
      <c r="A168" s="344">
        <v>5</v>
      </c>
      <c r="B168" s="345" t="s">
        <v>1016</v>
      </c>
      <c r="C168" s="365" t="s">
        <v>754</v>
      </c>
      <c r="D168" s="347" t="e">
        <f>SUM(D13,D20,D25,D33,D60,D74,D78,#REF!,D86,D99,D100,D101,D102,#REF!,D120,D123,D104)</f>
        <v>#REF!</v>
      </c>
      <c r="E168" s="347" t="e">
        <f>SUM(E13,E20,E25,E33,E60,E74,E78,#REF!,E86,E99,E100,E101,E102,#REF!,E120,E123,E104)</f>
        <v>#REF!</v>
      </c>
      <c r="F168" s="347" t="e">
        <f>SUM(F13,F20,F25,F33,F60,F74,F78,#REF!,F86,F99,F100,F101,F102,#REF!,F120,F123,F104)</f>
        <v>#REF!</v>
      </c>
      <c r="G168" s="348" t="e">
        <f t="shared" si="362"/>
        <v>#REF!</v>
      </c>
      <c r="H168" s="347"/>
      <c r="I168" s="347"/>
      <c r="J168" s="347"/>
      <c r="K168" s="348">
        <f t="shared" si="363"/>
        <v>0</v>
      </c>
      <c r="L168" s="1045"/>
      <c r="M168" s="1045"/>
      <c r="N168" s="347"/>
      <c r="O168" s="347"/>
      <c r="P168" s="347"/>
      <c r="Q168" s="348">
        <f t="shared" si="364"/>
        <v>0</v>
      </c>
      <c r="R168" s="347"/>
      <c r="S168" s="347"/>
      <c r="T168" s="347"/>
      <c r="U168" s="348">
        <f t="shared" si="365"/>
        <v>0</v>
      </c>
      <c r="V168" s="347">
        <f t="shared" si="374"/>
        <v>0</v>
      </c>
      <c r="W168" s="347">
        <f t="shared" si="375"/>
        <v>0</v>
      </c>
      <c r="X168" s="347">
        <f t="shared" si="376"/>
        <v>0</v>
      </c>
      <c r="Y168" s="348">
        <f t="shared" si="369"/>
        <v>0</v>
      </c>
      <c r="Z168" s="347" t="e">
        <f t="shared" si="377"/>
        <v>#REF!</v>
      </c>
      <c r="AA168" s="347" t="e">
        <f t="shared" si="378"/>
        <v>#REF!</v>
      </c>
      <c r="AB168" s="347" t="e">
        <f t="shared" si="379"/>
        <v>#REF!</v>
      </c>
      <c r="AC168" s="348" t="e">
        <f t="shared" si="373"/>
        <v>#REF!</v>
      </c>
      <c r="AD168" s="726" t="e">
        <f t="shared" si="380"/>
        <v>#REF!</v>
      </c>
      <c r="AE168" s="726" t="e">
        <f t="shared" si="381"/>
        <v>#REF!</v>
      </c>
      <c r="AF168" s="726" t="e">
        <f t="shared" si="382"/>
        <v>#REF!</v>
      </c>
      <c r="AG168" s="727" t="e">
        <f t="shared" si="383"/>
        <v>#REF!</v>
      </c>
    </row>
    <row r="169" spans="1:33" hidden="1">
      <c r="A169" s="344">
        <v>6</v>
      </c>
      <c r="B169" s="345" t="s">
        <v>1017</v>
      </c>
      <c r="C169" s="365" t="s">
        <v>1002</v>
      </c>
      <c r="D169" s="347">
        <f>SUM(D32,D37,D59,D98)</f>
        <v>49200</v>
      </c>
      <c r="E169" s="347">
        <f>SUM(E32,E37,E59,E98)</f>
        <v>49200</v>
      </c>
      <c r="F169" s="347">
        <f>SUM(F32,F37,F59,F98)</f>
        <v>59000</v>
      </c>
      <c r="G169" s="348">
        <f t="shared" si="362"/>
        <v>157400</v>
      </c>
      <c r="H169" s="347"/>
      <c r="I169" s="347"/>
      <c r="J169" s="347"/>
      <c r="K169" s="348">
        <f t="shared" si="363"/>
        <v>0</v>
      </c>
      <c r="L169" s="1045"/>
      <c r="M169" s="1045"/>
      <c r="N169" s="347"/>
      <c r="O169" s="347"/>
      <c r="P169" s="347"/>
      <c r="Q169" s="348">
        <f t="shared" si="364"/>
        <v>0</v>
      </c>
      <c r="R169" s="347"/>
      <c r="S169" s="347"/>
      <c r="T169" s="347"/>
      <c r="U169" s="348">
        <f t="shared" si="365"/>
        <v>0</v>
      </c>
      <c r="V169" s="347">
        <f t="shared" si="374"/>
        <v>0</v>
      </c>
      <c r="W169" s="347">
        <f t="shared" si="375"/>
        <v>0</v>
      </c>
      <c r="X169" s="347">
        <f t="shared" si="376"/>
        <v>0</v>
      </c>
      <c r="Y169" s="348">
        <f t="shared" si="369"/>
        <v>0</v>
      </c>
      <c r="Z169" s="347">
        <f t="shared" si="377"/>
        <v>49200</v>
      </c>
      <c r="AA169" s="347">
        <f t="shared" si="378"/>
        <v>49200</v>
      </c>
      <c r="AB169" s="347">
        <f t="shared" si="379"/>
        <v>59000</v>
      </c>
      <c r="AC169" s="348">
        <f t="shared" si="373"/>
        <v>157400</v>
      </c>
      <c r="AD169" s="726" t="e">
        <f t="shared" si="380"/>
        <v>#REF!</v>
      </c>
      <c r="AE169" s="726" t="e">
        <f t="shared" si="381"/>
        <v>#REF!</v>
      </c>
      <c r="AF169" s="726" t="e">
        <f t="shared" si="382"/>
        <v>#REF!</v>
      </c>
      <c r="AG169" s="727" t="e">
        <f t="shared" si="383"/>
        <v>#REF!</v>
      </c>
    </row>
    <row r="170" spans="1:33" hidden="1">
      <c r="A170" s="344">
        <v>7</v>
      </c>
      <c r="B170" s="345" t="s">
        <v>1018</v>
      </c>
      <c r="C170" s="365" t="s">
        <v>1005</v>
      </c>
      <c r="D170" s="347">
        <f>SUM(D51,D52,D53,D54,D55,D88)</f>
        <v>1208501</v>
      </c>
      <c r="E170" s="347">
        <f>SUM(E51,E52,E53,E54,E55,E88)</f>
        <v>1148869.3999999999</v>
      </c>
      <c r="F170" s="347">
        <f>SUM(F51,F52,F53,F54,F55,F88)</f>
        <v>1170125.8</v>
      </c>
      <c r="G170" s="348">
        <f t="shared" si="362"/>
        <v>3527496.2</v>
      </c>
      <c r="H170" s="347"/>
      <c r="I170" s="347"/>
      <c r="J170" s="347"/>
      <c r="K170" s="348">
        <f t="shared" si="363"/>
        <v>0</v>
      </c>
      <c r="L170" s="1045"/>
      <c r="M170" s="1045"/>
      <c r="N170" s="347"/>
      <c r="O170" s="347"/>
      <c r="P170" s="347"/>
      <c r="Q170" s="348">
        <f t="shared" si="364"/>
        <v>0</v>
      </c>
      <c r="R170" s="347"/>
      <c r="S170" s="347"/>
      <c r="T170" s="347"/>
      <c r="U170" s="348">
        <f t="shared" si="365"/>
        <v>0</v>
      </c>
      <c r="V170" s="347">
        <f t="shared" si="374"/>
        <v>0</v>
      </c>
      <c r="W170" s="347">
        <f t="shared" si="375"/>
        <v>0</v>
      </c>
      <c r="X170" s="347">
        <f t="shared" si="376"/>
        <v>0</v>
      </c>
      <c r="Y170" s="348">
        <f t="shared" si="369"/>
        <v>0</v>
      </c>
      <c r="Z170" s="347">
        <f t="shared" si="377"/>
        <v>1208501</v>
      </c>
      <c r="AA170" s="347">
        <f t="shared" si="378"/>
        <v>1148869.3999999999</v>
      </c>
      <c r="AB170" s="347">
        <f t="shared" si="379"/>
        <v>1170125.8</v>
      </c>
      <c r="AC170" s="348">
        <f t="shared" si="373"/>
        <v>3527496.2</v>
      </c>
      <c r="AD170" s="726" t="e">
        <f t="shared" si="380"/>
        <v>#REF!</v>
      </c>
      <c r="AE170" s="726" t="e">
        <f t="shared" si="381"/>
        <v>#REF!</v>
      </c>
      <c r="AF170" s="726" t="e">
        <f t="shared" si="382"/>
        <v>#REF!</v>
      </c>
      <c r="AG170" s="727" t="e">
        <f t="shared" si="383"/>
        <v>#REF!</v>
      </c>
    </row>
    <row r="171" spans="1:33" hidden="1">
      <c r="A171" s="344">
        <v>8</v>
      </c>
      <c r="B171" s="345" t="s">
        <v>1019</v>
      </c>
      <c r="C171" s="365" t="s">
        <v>1020</v>
      </c>
      <c r="D171" s="347">
        <f>SUM(D76,D79,D89)</f>
        <v>116315.76</v>
      </c>
      <c r="E171" s="347">
        <f>SUM(E76,E79,E89)</f>
        <v>108181.31999999998</v>
      </c>
      <c r="F171" s="347">
        <f>SUM(F76,F79,F89)</f>
        <v>103899.15</v>
      </c>
      <c r="G171" s="348">
        <f t="shared" si="362"/>
        <v>328396.23</v>
      </c>
      <c r="H171" s="347"/>
      <c r="I171" s="347"/>
      <c r="J171" s="347"/>
      <c r="K171" s="348">
        <f t="shared" si="363"/>
        <v>0</v>
      </c>
      <c r="L171" s="1045"/>
      <c r="M171" s="1045"/>
      <c r="N171" s="347"/>
      <c r="O171" s="347"/>
      <c r="P171" s="347"/>
      <c r="Q171" s="348">
        <f t="shared" si="364"/>
        <v>0</v>
      </c>
      <c r="R171" s="347"/>
      <c r="S171" s="347"/>
      <c r="T171" s="347"/>
      <c r="U171" s="348">
        <f t="shared" si="365"/>
        <v>0</v>
      </c>
      <c r="V171" s="347">
        <f t="shared" si="374"/>
        <v>0</v>
      </c>
      <c r="W171" s="347">
        <f t="shared" si="375"/>
        <v>0</v>
      </c>
      <c r="X171" s="347">
        <f t="shared" si="376"/>
        <v>0</v>
      </c>
      <c r="Y171" s="348">
        <f t="shared" si="369"/>
        <v>0</v>
      </c>
      <c r="Z171" s="347">
        <f t="shared" si="377"/>
        <v>116315.76</v>
      </c>
      <c r="AA171" s="347">
        <f t="shared" si="378"/>
        <v>108181.31999999998</v>
      </c>
      <c r="AB171" s="347">
        <f t="shared" si="379"/>
        <v>103899.15</v>
      </c>
      <c r="AC171" s="348">
        <f t="shared" si="373"/>
        <v>328396.23</v>
      </c>
      <c r="AD171" s="726" t="e">
        <f t="shared" si="380"/>
        <v>#REF!</v>
      </c>
      <c r="AE171" s="726" t="e">
        <f t="shared" si="381"/>
        <v>#REF!</v>
      </c>
      <c r="AF171" s="726" t="e">
        <f t="shared" si="382"/>
        <v>#REF!</v>
      </c>
      <c r="AG171" s="727" t="e">
        <f t="shared" si="383"/>
        <v>#REF!</v>
      </c>
    </row>
    <row r="172" spans="1:33" hidden="1">
      <c r="A172" s="344">
        <v>9</v>
      </c>
      <c r="B172" s="714" t="s">
        <v>1630</v>
      </c>
      <c r="C172" s="365" t="s">
        <v>49</v>
      </c>
      <c r="D172" s="724" t="e">
        <f>SUM(D14,D15,D17,D18,D22,D30,D35,D38,D82,#REF!,#REF!,D92*20%)</f>
        <v>#REF!</v>
      </c>
      <c r="E172" s="724" t="e">
        <f>SUM(E14,E15,E17,E18,E22,E30,E35,E38,E82,#REF!,#REF!,E92*20%)</f>
        <v>#REF!</v>
      </c>
      <c r="F172" s="724" t="e">
        <f>SUM(F14,F15,F17,F18,F22,F30,F35,F38,F82,#REF!,#REF!,F92*20%)</f>
        <v>#REF!</v>
      </c>
      <c r="G172" s="348" t="e">
        <f t="shared" si="362"/>
        <v>#REF!</v>
      </c>
      <c r="H172" s="347"/>
      <c r="I172" s="347"/>
      <c r="J172" s="347"/>
      <c r="K172" s="348">
        <f t="shared" si="363"/>
        <v>0</v>
      </c>
      <c r="L172" s="1045"/>
      <c r="M172" s="1045"/>
      <c r="N172" s="347"/>
      <c r="O172" s="347"/>
      <c r="P172" s="347"/>
      <c r="Q172" s="348">
        <f t="shared" si="364"/>
        <v>0</v>
      </c>
      <c r="R172" s="347"/>
      <c r="S172" s="347"/>
      <c r="T172" s="347"/>
      <c r="U172" s="348">
        <f t="shared" si="365"/>
        <v>0</v>
      </c>
      <c r="V172" s="347">
        <f t="shared" si="374"/>
        <v>0</v>
      </c>
      <c r="W172" s="347">
        <f t="shared" si="375"/>
        <v>0</v>
      </c>
      <c r="X172" s="347">
        <f t="shared" si="376"/>
        <v>0</v>
      </c>
      <c r="Y172" s="348">
        <f t="shared" si="369"/>
        <v>0</v>
      </c>
      <c r="Z172" s="347" t="e">
        <f t="shared" si="377"/>
        <v>#REF!</v>
      </c>
      <c r="AA172" s="347" t="e">
        <f t="shared" si="378"/>
        <v>#REF!</v>
      </c>
      <c r="AB172" s="347" t="e">
        <f t="shared" si="379"/>
        <v>#REF!</v>
      </c>
      <c r="AC172" s="348" t="e">
        <f t="shared" si="373"/>
        <v>#REF!</v>
      </c>
      <c r="AD172" s="726" t="e">
        <f t="shared" si="380"/>
        <v>#REF!</v>
      </c>
      <c r="AE172" s="726" t="e">
        <f t="shared" si="381"/>
        <v>#REF!</v>
      </c>
      <c r="AF172" s="726" t="e">
        <f t="shared" si="382"/>
        <v>#REF!</v>
      </c>
      <c r="AG172" s="727" t="e">
        <f t="shared" si="383"/>
        <v>#REF!</v>
      </c>
    </row>
    <row r="173" spans="1:33" hidden="1">
      <c r="A173" s="344">
        <v>10</v>
      </c>
      <c r="B173" s="714" t="s">
        <v>1021</v>
      </c>
      <c r="C173" s="365" t="s">
        <v>156</v>
      </c>
      <c r="D173" s="347">
        <f>SUM(D16,D24,D26,D27,D28,D29,D36,D39,D43,D72,D73,D75,D77,D83,D87)</f>
        <v>1025529.7981099989</v>
      </c>
      <c r="E173" s="347">
        <f>SUM(E16,E24,E26,E27,E28,E29,E36,E39,E43,E72,E73,E75,E77,E83,E87)</f>
        <v>741265.7714297116</v>
      </c>
      <c r="F173" s="347">
        <f>SUM(F16,F24,F26,F27,F28,F29,F36,F39,F43,F72,F73,F75,F77,F83,F87)</f>
        <v>951367.00327873079</v>
      </c>
      <c r="G173" s="348">
        <f t="shared" si="362"/>
        <v>2718162.5728184413</v>
      </c>
      <c r="H173" s="347"/>
      <c r="I173" s="347"/>
      <c r="J173" s="347"/>
      <c r="K173" s="348">
        <f t="shared" si="363"/>
        <v>0</v>
      </c>
      <c r="L173" s="1045"/>
      <c r="M173" s="1045"/>
      <c r="N173" s="347"/>
      <c r="O173" s="347"/>
      <c r="P173" s="347"/>
      <c r="Q173" s="348">
        <f t="shared" si="364"/>
        <v>0</v>
      </c>
      <c r="R173" s="347"/>
      <c r="S173" s="347"/>
      <c r="T173" s="347"/>
      <c r="U173" s="348">
        <f t="shared" si="365"/>
        <v>0</v>
      </c>
      <c r="V173" s="347">
        <f t="shared" si="374"/>
        <v>0</v>
      </c>
      <c r="W173" s="347">
        <f t="shared" si="375"/>
        <v>0</v>
      </c>
      <c r="X173" s="347">
        <f t="shared" si="376"/>
        <v>0</v>
      </c>
      <c r="Y173" s="348">
        <f t="shared" si="369"/>
        <v>0</v>
      </c>
      <c r="Z173" s="347">
        <f t="shared" si="377"/>
        <v>1025529.7981099989</v>
      </c>
      <c r="AA173" s="347">
        <f t="shared" si="378"/>
        <v>741265.7714297116</v>
      </c>
      <c r="AB173" s="347">
        <f t="shared" si="379"/>
        <v>951367.00327873079</v>
      </c>
      <c r="AC173" s="348">
        <f t="shared" si="373"/>
        <v>2718162.5728184413</v>
      </c>
      <c r="AD173" s="726" t="e">
        <f t="shared" si="380"/>
        <v>#REF!</v>
      </c>
      <c r="AE173" s="726" t="e">
        <f t="shared" si="381"/>
        <v>#REF!</v>
      </c>
      <c r="AF173" s="726" t="e">
        <f t="shared" si="382"/>
        <v>#REF!</v>
      </c>
      <c r="AG173" s="727" t="e">
        <f t="shared" si="383"/>
        <v>#REF!</v>
      </c>
    </row>
    <row r="174" spans="1:33" hidden="1">
      <c r="A174" s="344">
        <v>11</v>
      </c>
      <c r="B174" s="345" t="s">
        <v>1022</v>
      </c>
      <c r="C174" s="365" t="s">
        <v>1631</v>
      </c>
      <c r="D174" s="347">
        <f>SUM(D56)</f>
        <v>6000</v>
      </c>
      <c r="E174" s="347">
        <f>SUM(E56)</f>
        <v>6000</v>
      </c>
      <c r="F174" s="347">
        <f>SUM(F56)</f>
        <v>6000</v>
      </c>
      <c r="G174" s="348">
        <f t="shared" si="362"/>
        <v>18000</v>
      </c>
      <c r="H174" s="347"/>
      <c r="I174" s="347"/>
      <c r="J174" s="347"/>
      <c r="K174" s="348">
        <f t="shared" si="363"/>
        <v>0</v>
      </c>
      <c r="L174" s="1045"/>
      <c r="M174" s="1045"/>
      <c r="N174" s="347"/>
      <c r="O174" s="347"/>
      <c r="P174" s="347"/>
      <c r="Q174" s="348">
        <f t="shared" si="364"/>
        <v>0</v>
      </c>
      <c r="R174" s="347"/>
      <c r="S174" s="347"/>
      <c r="T174" s="347"/>
      <c r="U174" s="348">
        <f t="shared" si="365"/>
        <v>0</v>
      </c>
      <c r="V174" s="347">
        <f t="shared" si="374"/>
        <v>0</v>
      </c>
      <c r="W174" s="347">
        <f t="shared" si="375"/>
        <v>0</v>
      </c>
      <c r="X174" s="347">
        <f t="shared" si="376"/>
        <v>0</v>
      </c>
      <c r="Y174" s="348">
        <f t="shared" si="369"/>
        <v>0</v>
      </c>
      <c r="Z174" s="347">
        <f t="shared" si="377"/>
        <v>6000</v>
      </c>
      <c r="AA174" s="347">
        <f t="shared" si="378"/>
        <v>6000</v>
      </c>
      <c r="AB174" s="347">
        <f t="shared" si="379"/>
        <v>6000</v>
      </c>
      <c r="AC174" s="348">
        <f t="shared" si="373"/>
        <v>18000</v>
      </c>
      <c r="AD174" s="726" t="e">
        <f t="shared" si="380"/>
        <v>#REF!</v>
      </c>
      <c r="AE174" s="726" t="e">
        <f t="shared" si="381"/>
        <v>#REF!</v>
      </c>
      <c r="AF174" s="726" t="e">
        <f t="shared" si="382"/>
        <v>#REF!</v>
      </c>
      <c r="AG174" s="727" t="e">
        <f t="shared" si="383"/>
        <v>#REF!</v>
      </c>
    </row>
    <row r="175" spans="1:33" hidden="1">
      <c r="A175" s="344">
        <v>12</v>
      </c>
      <c r="B175" s="345" t="s">
        <v>1023</v>
      </c>
      <c r="C175" s="365" t="s">
        <v>757</v>
      </c>
      <c r="D175" s="724">
        <f>SUM(D92*80%)</f>
        <v>1200000</v>
      </c>
      <c r="E175" s="724">
        <f>SUM(E92*80%)</f>
        <v>1760000</v>
      </c>
      <c r="F175" s="724">
        <f>SUM(F92*80%)</f>
        <v>1600000</v>
      </c>
      <c r="G175" s="348">
        <f t="shared" si="362"/>
        <v>4560000</v>
      </c>
      <c r="H175" s="347"/>
      <c r="I175" s="347"/>
      <c r="J175" s="347"/>
      <c r="K175" s="348">
        <f t="shared" si="363"/>
        <v>0</v>
      </c>
      <c r="L175" s="1045"/>
      <c r="M175" s="1045"/>
      <c r="N175" s="347"/>
      <c r="O175" s="347"/>
      <c r="P175" s="347"/>
      <c r="Q175" s="348">
        <f t="shared" si="364"/>
        <v>0</v>
      </c>
      <c r="R175" s="347"/>
      <c r="S175" s="347"/>
      <c r="T175" s="347"/>
      <c r="U175" s="348">
        <f t="shared" si="365"/>
        <v>0</v>
      </c>
      <c r="V175" s="347">
        <f t="shared" si="374"/>
        <v>0</v>
      </c>
      <c r="W175" s="347">
        <f t="shared" si="375"/>
        <v>0</v>
      </c>
      <c r="X175" s="347">
        <f t="shared" si="376"/>
        <v>0</v>
      </c>
      <c r="Y175" s="348">
        <f t="shared" si="369"/>
        <v>0</v>
      </c>
      <c r="Z175" s="347">
        <f t="shared" si="377"/>
        <v>1200000</v>
      </c>
      <c r="AA175" s="347">
        <f t="shared" si="378"/>
        <v>1760000</v>
      </c>
      <c r="AB175" s="347">
        <f t="shared" si="379"/>
        <v>1600000</v>
      </c>
      <c r="AC175" s="348">
        <f t="shared" si="373"/>
        <v>4560000</v>
      </c>
      <c r="AD175" s="726" t="e">
        <f t="shared" si="380"/>
        <v>#REF!</v>
      </c>
      <c r="AE175" s="726" t="e">
        <f t="shared" si="381"/>
        <v>#REF!</v>
      </c>
      <c r="AF175" s="726" t="e">
        <f t="shared" si="382"/>
        <v>#REF!</v>
      </c>
      <c r="AG175" s="727" t="e">
        <f t="shared" si="383"/>
        <v>#REF!</v>
      </c>
    </row>
    <row r="176" spans="1:33" hidden="1">
      <c r="A176" s="344">
        <v>13</v>
      </c>
      <c r="B176" s="345" t="s">
        <v>1024</v>
      </c>
      <c r="C176" s="365" t="s">
        <v>50</v>
      </c>
      <c r="D176" s="347">
        <f>SUM(D48,D93)</f>
        <v>3220825.7542154272</v>
      </c>
      <c r="E176" s="347">
        <f>SUM(E48,E93)</f>
        <v>3478491.814552661</v>
      </c>
      <c r="F176" s="347">
        <f>SUM(F48,F93)</f>
        <v>3677414.0787825594</v>
      </c>
      <c r="G176" s="348">
        <f t="shared" si="362"/>
        <v>10376731.647550646</v>
      </c>
      <c r="H176" s="347"/>
      <c r="I176" s="347"/>
      <c r="J176" s="347"/>
      <c r="K176" s="348">
        <f t="shared" si="363"/>
        <v>0</v>
      </c>
      <c r="L176" s="1045"/>
      <c r="M176" s="1045"/>
      <c r="N176" s="347"/>
      <c r="O176" s="347"/>
      <c r="P176" s="347"/>
      <c r="Q176" s="348">
        <f t="shared" si="364"/>
        <v>0</v>
      </c>
      <c r="R176" s="347"/>
      <c r="S176" s="347"/>
      <c r="T176" s="347"/>
      <c r="U176" s="348">
        <f t="shared" si="365"/>
        <v>0</v>
      </c>
      <c r="V176" s="347">
        <f t="shared" si="374"/>
        <v>0</v>
      </c>
      <c r="W176" s="347">
        <f t="shared" si="375"/>
        <v>0</v>
      </c>
      <c r="X176" s="347">
        <f t="shared" si="376"/>
        <v>0</v>
      </c>
      <c r="Y176" s="348">
        <f t="shared" si="369"/>
        <v>0</v>
      </c>
      <c r="Z176" s="347">
        <f t="shared" si="377"/>
        <v>3220825.7542154272</v>
      </c>
      <c r="AA176" s="347">
        <f t="shared" si="378"/>
        <v>3478491.814552661</v>
      </c>
      <c r="AB176" s="347">
        <f t="shared" si="379"/>
        <v>3677414.0787825594</v>
      </c>
      <c r="AC176" s="348">
        <f t="shared" si="373"/>
        <v>10376731.647550646</v>
      </c>
      <c r="AD176" s="726" t="e">
        <f t="shared" si="380"/>
        <v>#REF!</v>
      </c>
      <c r="AE176" s="726" t="e">
        <f t="shared" si="381"/>
        <v>#REF!</v>
      </c>
      <c r="AF176" s="726" t="e">
        <f t="shared" si="382"/>
        <v>#REF!</v>
      </c>
      <c r="AG176" s="727" t="e">
        <f t="shared" si="383"/>
        <v>#REF!</v>
      </c>
    </row>
    <row r="177" spans="1:33" hidden="1">
      <c r="A177" s="344">
        <v>14</v>
      </c>
      <c r="B177" s="345" t="s">
        <v>1025</v>
      </c>
      <c r="C177" s="365" t="s">
        <v>1632</v>
      </c>
      <c r="D177" s="347">
        <f>SUM(D64,D65,D66,D68,D69)</f>
        <v>848019.6</v>
      </c>
      <c r="E177" s="347">
        <f>SUM(E64,E65,E66,E68,E69)</f>
        <v>910768.88</v>
      </c>
      <c r="F177" s="347">
        <f>SUM(F64,F65,F66,F68,F69)</f>
        <v>891499.76</v>
      </c>
      <c r="G177" s="348">
        <f t="shared" si="362"/>
        <v>2650288.2400000002</v>
      </c>
      <c r="H177" s="347"/>
      <c r="I177" s="347"/>
      <c r="J177" s="347"/>
      <c r="K177" s="348">
        <f t="shared" si="363"/>
        <v>0</v>
      </c>
      <c r="L177" s="1045"/>
      <c r="M177" s="1045"/>
      <c r="N177" s="347"/>
      <c r="O177" s="347"/>
      <c r="P177" s="347"/>
      <c r="Q177" s="348">
        <f t="shared" si="364"/>
        <v>0</v>
      </c>
      <c r="R177" s="347"/>
      <c r="S177" s="347"/>
      <c r="T177" s="347"/>
      <c r="U177" s="348">
        <f t="shared" si="365"/>
        <v>0</v>
      </c>
      <c r="V177" s="347">
        <f t="shared" si="374"/>
        <v>0</v>
      </c>
      <c r="W177" s="347">
        <f t="shared" si="375"/>
        <v>0</v>
      </c>
      <c r="X177" s="347">
        <f t="shared" si="376"/>
        <v>0</v>
      </c>
      <c r="Y177" s="348">
        <f t="shared" si="369"/>
        <v>0</v>
      </c>
      <c r="Z177" s="347">
        <f t="shared" si="377"/>
        <v>848019.6</v>
      </c>
      <c r="AA177" s="347">
        <f t="shared" si="378"/>
        <v>910768.88</v>
      </c>
      <c r="AB177" s="347">
        <f t="shared" si="379"/>
        <v>891499.76</v>
      </c>
      <c r="AC177" s="348">
        <f t="shared" si="373"/>
        <v>2650288.2400000002</v>
      </c>
      <c r="AD177" s="726" t="e">
        <f t="shared" si="380"/>
        <v>#REF!</v>
      </c>
      <c r="AE177" s="726" t="e">
        <f t="shared" si="381"/>
        <v>#REF!</v>
      </c>
      <c r="AF177" s="726" t="e">
        <f t="shared" si="382"/>
        <v>#REF!</v>
      </c>
      <c r="AG177" s="727" t="e">
        <f t="shared" si="383"/>
        <v>#REF!</v>
      </c>
    </row>
    <row r="178" spans="1:33" hidden="1">
      <c r="A178" s="344">
        <v>15</v>
      </c>
      <c r="B178" s="345" t="s">
        <v>1026</v>
      </c>
      <c r="C178" s="365" t="s">
        <v>1007</v>
      </c>
      <c r="D178" s="347" t="e">
        <f>SUM(#REF!,D121,D122,D124)</f>
        <v>#REF!</v>
      </c>
      <c r="E178" s="347" t="e">
        <f>SUM(#REF!,E121,E122,E124)</f>
        <v>#REF!</v>
      </c>
      <c r="F178" s="347" t="e">
        <f>SUM(#REF!,F121,F122,F124)</f>
        <v>#REF!</v>
      </c>
      <c r="G178" s="348" t="e">
        <f t="shared" si="362"/>
        <v>#REF!</v>
      </c>
      <c r="H178" s="347"/>
      <c r="I178" s="347"/>
      <c r="J178" s="347"/>
      <c r="K178" s="348">
        <f t="shared" si="363"/>
        <v>0</v>
      </c>
      <c r="L178" s="1045"/>
      <c r="M178" s="1045"/>
      <c r="N178" s="347"/>
      <c r="O178" s="347"/>
      <c r="P178" s="347"/>
      <c r="Q178" s="348">
        <f t="shared" si="364"/>
        <v>0</v>
      </c>
      <c r="R178" s="347"/>
      <c r="S178" s="347"/>
      <c r="T178" s="347"/>
      <c r="U178" s="348">
        <f t="shared" si="365"/>
        <v>0</v>
      </c>
      <c r="V178" s="347">
        <f t="shared" si="374"/>
        <v>0</v>
      </c>
      <c r="W178" s="347">
        <f t="shared" si="375"/>
        <v>0</v>
      </c>
      <c r="X178" s="347">
        <f t="shared" si="376"/>
        <v>0</v>
      </c>
      <c r="Y178" s="348">
        <f t="shared" si="369"/>
        <v>0</v>
      </c>
      <c r="Z178" s="347" t="e">
        <f t="shared" si="377"/>
        <v>#REF!</v>
      </c>
      <c r="AA178" s="347" t="e">
        <f t="shared" si="378"/>
        <v>#REF!</v>
      </c>
      <c r="AB178" s="347" t="e">
        <f t="shared" si="379"/>
        <v>#REF!</v>
      </c>
      <c r="AC178" s="348" t="e">
        <f t="shared" si="373"/>
        <v>#REF!</v>
      </c>
      <c r="AD178" s="726" t="e">
        <f t="shared" si="380"/>
        <v>#REF!</v>
      </c>
      <c r="AE178" s="726" t="e">
        <f t="shared" si="381"/>
        <v>#REF!</v>
      </c>
      <c r="AF178" s="726" t="e">
        <f t="shared" si="382"/>
        <v>#REF!</v>
      </c>
      <c r="AG178" s="727" t="e">
        <f t="shared" si="383"/>
        <v>#REF!</v>
      </c>
    </row>
    <row r="179" spans="1:33" hidden="1">
      <c r="A179" s="344">
        <v>16</v>
      </c>
      <c r="B179" s="345" t="s">
        <v>1027</v>
      </c>
      <c r="C179" s="365" t="s">
        <v>1006</v>
      </c>
      <c r="D179" s="347">
        <f>SUM(D118,D119)</f>
        <v>240000</v>
      </c>
      <c r="E179" s="347">
        <f>SUM(E118,E119)</f>
        <v>360000</v>
      </c>
      <c r="F179" s="347">
        <f>SUM(F118,F119)</f>
        <v>360000</v>
      </c>
      <c r="G179" s="348">
        <f t="shared" si="362"/>
        <v>960000</v>
      </c>
      <c r="H179" s="347"/>
      <c r="I179" s="347"/>
      <c r="J179" s="347"/>
      <c r="K179" s="348">
        <f t="shared" si="363"/>
        <v>0</v>
      </c>
      <c r="L179" s="1045"/>
      <c r="M179" s="1045"/>
      <c r="N179" s="347"/>
      <c r="O179" s="347"/>
      <c r="P179" s="347"/>
      <c r="Q179" s="348">
        <f t="shared" si="364"/>
        <v>0</v>
      </c>
      <c r="R179" s="347"/>
      <c r="S179" s="347"/>
      <c r="T179" s="347"/>
      <c r="U179" s="348">
        <f t="shared" si="365"/>
        <v>0</v>
      </c>
      <c r="V179" s="347">
        <f t="shared" si="374"/>
        <v>0</v>
      </c>
      <c r="W179" s="347">
        <f t="shared" si="375"/>
        <v>0</v>
      </c>
      <c r="X179" s="347">
        <f t="shared" si="376"/>
        <v>0</v>
      </c>
      <c r="Y179" s="348">
        <f t="shared" si="369"/>
        <v>0</v>
      </c>
      <c r="Z179" s="347">
        <f t="shared" si="377"/>
        <v>240000</v>
      </c>
      <c r="AA179" s="347">
        <f t="shared" si="378"/>
        <v>360000</v>
      </c>
      <c r="AB179" s="347">
        <f t="shared" si="379"/>
        <v>360000</v>
      </c>
      <c r="AC179" s="348">
        <f t="shared" si="373"/>
        <v>960000</v>
      </c>
      <c r="AD179" s="726" t="e">
        <f t="shared" si="380"/>
        <v>#REF!</v>
      </c>
      <c r="AE179" s="726" t="e">
        <f t="shared" si="381"/>
        <v>#REF!</v>
      </c>
      <c r="AF179" s="726" t="e">
        <f t="shared" si="382"/>
        <v>#REF!</v>
      </c>
      <c r="AG179" s="727" t="e">
        <f t="shared" si="383"/>
        <v>#REF!</v>
      </c>
    </row>
    <row r="180" spans="1:33" hidden="1">
      <c r="A180" s="344">
        <v>17</v>
      </c>
      <c r="B180" s="714" t="s">
        <v>1629</v>
      </c>
      <c r="C180" s="365" t="s">
        <v>752</v>
      </c>
      <c r="D180" s="347">
        <f>SUM(D127,D128)</f>
        <v>2620000</v>
      </c>
      <c r="E180" s="347">
        <f>SUM(E127,E128)</f>
        <v>2620000</v>
      </c>
      <c r="F180" s="347">
        <f>SUM(F127,F128)</f>
        <v>2620000</v>
      </c>
      <c r="G180" s="348">
        <f t="shared" si="362"/>
        <v>7860000</v>
      </c>
      <c r="H180" s="347"/>
      <c r="I180" s="347"/>
      <c r="J180" s="347"/>
      <c r="K180" s="348">
        <f t="shared" si="363"/>
        <v>0</v>
      </c>
      <c r="L180" s="1045"/>
      <c r="M180" s="1045"/>
      <c r="N180" s="347"/>
      <c r="O180" s="347"/>
      <c r="P180" s="347"/>
      <c r="Q180" s="348">
        <f t="shared" si="364"/>
        <v>0</v>
      </c>
      <c r="R180" s="347"/>
      <c r="S180" s="347"/>
      <c r="T180" s="347"/>
      <c r="U180" s="348">
        <f t="shared" si="365"/>
        <v>0</v>
      </c>
      <c r="V180" s="347">
        <f t="shared" si="374"/>
        <v>0</v>
      </c>
      <c r="W180" s="347">
        <f t="shared" si="375"/>
        <v>0</v>
      </c>
      <c r="X180" s="347">
        <f t="shared" si="376"/>
        <v>0</v>
      </c>
      <c r="Y180" s="348">
        <f t="shared" si="369"/>
        <v>0</v>
      </c>
      <c r="Z180" s="347">
        <f t="shared" si="377"/>
        <v>2620000</v>
      </c>
      <c r="AA180" s="347">
        <f t="shared" si="378"/>
        <v>2620000</v>
      </c>
      <c r="AB180" s="347">
        <f t="shared" si="379"/>
        <v>2620000</v>
      </c>
      <c r="AC180" s="348">
        <f t="shared" si="373"/>
        <v>7860000</v>
      </c>
      <c r="AD180" s="726" t="e">
        <f t="shared" si="380"/>
        <v>#REF!</v>
      </c>
      <c r="AE180" s="726" t="e">
        <f t="shared" si="381"/>
        <v>#REF!</v>
      </c>
      <c r="AF180" s="726" t="e">
        <f t="shared" si="382"/>
        <v>#REF!</v>
      </c>
      <c r="AG180" s="727" t="e">
        <f t="shared" si="383"/>
        <v>#REF!</v>
      </c>
    </row>
    <row r="181" spans="1:33" hidden="1">
      <c r="A181" s="344">
        <v>18</v>
      </c>
      <c r="B181" s="345" t="s">
        <v>1028</v>
      </c>
      <c r="C181" s="365" t="s">
        <v>1001</v>
      </c>
      <c r="D181" s="347" t="e">
        <f>SUM(D19,D23,D61,D106,D107,D108,D109,D111,D112,#REF!,D115)</f>
        <v>#REF!</v>
      </c>
      <c r="E181" s="347" t="e">
        <f>SUM(E19,E23,E61,E106,E107,E108,E109,E111,E112,#REF!,E115)</f>
        <v>#REF!</v>
      </c>
      <c r="F181" s="347" t="e">
        <f>SUM(F19,F23,F61,F106,F107,F108,F109,F111,F112,#REF!,F115)</f>
        <v>#REF!</v>
      </c>
      <c r="G181" s="348" t="e">
        <f t="shared" si="362"/>
        <v>#REF!</v>
      </c>
      <c r="H181" s="347"/>
      <c r="I181" s="347"/>
      <c r="J181" s="347"/>
      <c r="K181" s="348">
        <f t="shared" si="363"/>
        <v>0</v>
      </c>
      <c r="L181" s="1045"/>
      <c r="M181" s="1045"/>
      <c r="N181" s="347"/>
      <c r="O181" s="347"/>
      <c r="P181" s="347"/>
      <c r="Q181" s="348">
        <f t="shared" si="364"/>
        <v>0</v>
      </c>
      <c r="R181" s="347"/>
      <c r="S181" s="347"/>
      <c r="T181" s="347"/>
      <c r="U181" s="348">
        <f t="shared" si="365"/>
        <v>0</v>
      </c>
      <c r="V181" s="347">
        <f t="shared" si="374"/>
        <v>0</v>
      </c>
      <c r="W181" s="347">
        <f t="shared" si="375"/>
        <v>0</v>
      </c>
      <c r="X181" s="347">
        <f t="shared" si="376"/>
        <v>0</v>
      </c>
      <c r="Y181" s="348">
        <f t="shared" si="369"/>
        <v>0</v>
      </c>
      <c r="Z181" s="347" t="e">
        <f t="shared" si="377"/>
        <v>#REF!</v>
      </c>
      <c r="AA181" s="347" t="e">
        <f t="shared" si="378"/>
        <v>#REF!</v>
      </c>
      <c r="AB181" s="347" t="e">
        <f t="shared" si="379"/>
        <v>#REF!</v>
      </c>
      <c r="AC181" s="348" t="e">
        <f t="shared" si="373"/>
        <v>#REF!</v>
      </c>
      <c r="AD181" s="726" t="e">
        <f t="shared" si="380"/>
        <v>#REF!</v>
      </c>
      <c r="AE181" s="726" t="e">
        <f t="shared" si="381"/>
        <v>#REF!</v>
      </c>
      <c r="AF181" s="726" t="e">
        <f t="shared" si="382"/>
        <v>#REF!</v>
      </c>
      <c r="AG181" s="727" t="e">
        <f t="shared" si="383"/>
        <v>#REF!</v>
      </c>
    </row>
    <row r="182" spans="1:33" hidden="1">
      <c r="A182" s="344">
        <v>19</v>
      </c>
      <c r="B182" s="345" t="s">
        <v>1029</v>
      </c>
      <c r="C182" s="365" t="s">
        <v>749</v>
      </c>
      <c r="D182" s="347" t="e">
        <f>SUM(#REF!,#REF!,#REF!,#REF!,#REF!,#REF!,#REF!,#REF!,#REF!,#REF!,#REF!,#REF!,#REF!,#REF!)</f>
        <v>#REF!</v>
      </c>
      <c r="E182" s="347" t="e">
        <f>SUM(#REF!,#REF!,#REF!,#REF!,#REF!,#REF!,#REF!,#REF!,#REF!,#REF!,#REF!,#REF!,#REF!,#REF!)</f>
        <v>#REF!</v>
      </c>
      <c r="F182" s="347" t="e">
        <f>SUM(#REF!,#REF!,#REF!,#REF!,#REF!,#REF!,#REF!,#REF!,#REF!,#REF!,#REF!,#REF!,#REF!,#REF!)</f>
        <v>#REF!</v>
      </c>
      <c r="G182" s="348" t="e">
        <f t="shared" si="362"/>
        <v>#REF!</v>
      </c>
      <c r="H182" s="347"/>
      <c r="I182" s="347"/>
      <c r="J182" s="347"/>
      <c r="K182" s="348">
        <f t="shared" si="363"/>
        <v>0</v>
      </c>
      <c r="L182" s="1045"/>
      <c r="M182" s="1045"/>
      <c r="N182" s="347"/>
      <c r="O182" s="347"/>
      <c r="P182" s="347"/>
      <c r="Q182" s="348">
        <f t="shared" si="364"/>
        <v>0</v>
      </c>
      <c r="R182" s="347"/>
      <c r="S182" s="347"/>
      <c r="T182" s="347"/>
      <c r="U182" s="348">
        <f t="shared" si="365"/>
        <v>0</v>
      </c>
      <c r="V182" s="347">
        <f t="shared" si="374"/>
        <v>0</v>
      </c>
      <c r="W182" s="347">
        <f t="shared" si="375"/>
        <v>0</v>
      </c>
      <c r="X182" s="347">
        <f t="shared" si="376"/>
        <v>0</v>
      </c>
      <c r="Y182" s="348">
        <f t="shared" si="369"/>
        <v>0</v>
      </c>
      <c r="Z182" s="347" t="e">
        <f t="shared" si="377"/>
        <v>#REF!</v>
      </c>
      <c r="AA182" s="347" t="e">
        <f t="shared" si="378"/>
        <v>#REF!</v>
      </c>
      <c r="AB182" s="347" t="e">
        <f t="shared" si="379"/>
        <v>#REF!</v>
      </c>
      <c r="AC182" s="348" t="e">
        <f t="shared" si="373"/>
        <v>#REF!</v>
      </c>
      <c r="AD182" s="726" t="e">
        <f t="shared" si="380"/>
        <v>#REF!</v>
      </c>
      <c r="AE182" s="726" t="e">
        <f t="shared" si="381"/>
        <v>#REF!</v>
      </c>
      <c r="AF182" s="726" t="e">
        <f t="shared" si="382"/>
        <v>#REF!</v>
      </c>
      <c r="AG182" s="727" t="e">
        <f t="shared" si="383"/>
        <v>#REF!</v>
      </c>
    </row>
    <row r="183" spans="1:33" ht="15.75" hidden="1">
      <c r="A183" s="482"/>
      <c r="B183" s="482" t="s">
        <v>1008</v>
      </c>
      <c r="C183" s="483"/>
      <c r="D183" s="477" t="e">
        <f t="shared" ref="D183:AC183" si="384">SUM(D164:D182)</f>
        <v>#REF!</v>
      </c>
      <c r="E183" s="477" t="e">
        <f t="shared" si="384"/>
        <v>#REF!</v>
      </c>
      <c r="F183" s="477" t="e">
        <f t="shared" si="384"/>
        <v>#REF!</v>
      </c>
      <c r="G183" s="351" t="e">
        <f t="shared" si="384"/>
        <v>#REF!</v>
      </c>
      <c r="H183" s="477">
        <f t="shared" si="384"/>
        <v>0</v>
      </c>
      <c r="I183" s="477">
        <f t="shared" si="384"/>
        <v>0</v>
      </c>
      <c r="J183" s="477">
        <f t="shared" si="384"/>
        <v>0</v>
      </c>
      <c r="K183" s="351">
        <f t="shared" si="384"/>
        <v>0</v>
      </c>
      <c r="L183" s="1046"/>
      <c r="M183" s="1046"/>
      <c r="N183" s="477">
        <f t="shared" si="384"/>
        <v>0</v>
      </c>
      <c r="O183" s="477">
        <f t="shared" si="384"/>
        <v>0</v>
      </c>
      <c r="P183" s="477">
        <f t="shared" si="384"/>
        <v>0</v>
      </c>
      <c r="Q183" s="351">
        <f t="shared" si="384"/>
        <v>0</v>
      </c>
      <c r="R183" s="477">
        <f t="shared" si="384"/>
        <v>0</v>
      </c>
      <c r="S183" s="477">
        <f t="shared" si="384"/>
        <v>0</v>
      </c>
      <c r="T183" s="477">
        <f t="shared" si="384"/>
        <v>0</v>
      </c>
      <c r="U183" s="351">
        <f t="shared" si="384"/>
        <v>0</v>
      </c>
      <c r="V183" s="477">
        <f t="shared" si="384"/>
        <v>0</v>
      </c>
      <c r="W183" s="477">
        <f t="shared" si="384"/>
        <v>0</v>
      </c>
      <c r="X183" s="477">
        <f t="shared" si="384"/>
        <v>0</v>
      </c>
      <c r="Y183" s="351">
        <f t="shared" si="384"/>
        <v>0</v>
      </c>
      <c r="Z183" s="477" t="e">
        <f t="shared" si="384"/>
        <v>#REF!</v>
      </c>
      <c r="AA183" s="477" t="e">
        <f t="shared" si="384"/>
        <v>#REF!</v>
      </c>
      <c r="AB183" s="477" t="e">
        <f t="shared" si="384"/>
        <v>#REF!</v>
      </c>
      <c r="AC183" s="351" t="e">
        <f t="shared" si="384"/>
        <v>#REF!</v>
      </c>
      <c r="AD183" s="727" t="e">
        <f>D183/D$183%</f>
        <v>#REF!</v>
      </c>
      <c r="AE183" s="727" t="e">
        <f t="shared" si="381"/>
        <v>#REF!</v>
      </c>
      <c r="AF183" s="727" t="e">
        <f t="shared" si="382"/>
        <v>#REF!</v>
      </c>
      <c r="AG183" s="727" t="e">
        <f t="shared" si="383"/>
        <v>#REF!</v>
      </c>
    </row>
    <row r="184" spans="1:33" hidden="1">
      <c r="A184" s="344">
        <v>21</v>
      </c>
      <c r="B184" s="345" t="s">
        <v>1009</v>
      </c>
      <c r="C184" s="346" t="s">
        <v>984</v>
      </c>
      <c r="D184" s="347">
        <f>SUM(D130)</f>
        <v>0</v>
      </c>
      <c r="E184" s="347">
        <f>SUM(E130)</f>
        <v>914518.52707941318</v>
      </c>
      <c r="F184" s="347">
        <f>SUM(F130)</f>
        <v>863559.83551416313</v>
      </c>
      <c r="G184" s="348">
        <f t="shared" si="362"/>
        <v>1778078.3625935763</v>
      </c>
      <c r="H184" s="347">
        <f>SUM(H130)</f>
        <v>0</v>
      </c>
      <c r="I184" s="347">
        <f>SUM(I130)</f>
        <v>96830</v>
      </c>
      <c r="J184" s="347">
        <f>SUM(J130)</f>
        <v>97830</v>
      </c>
      <c r="K184" s="348">
        <f t="shared" ref="K184" si="385">SUM(H184:J184)</f>
        <v>194660</v>
      </c>
      <c r="L184" s="1045"/>
      <c r="M184" s="1045"/>
      <c r="N184" s="347">
        <f>SUM(M130)</f>
        <v>0</v>
      </c>
      <c r="O184" s="347">
        <f>SUM(N130)</f>
        <v>0</v>
      </c>
      <c r="P184" s="347">
        <f>SUM(O130)</f>
        <v>0</v>
      </c>
      <c r="Q184" s="348">
        <f t="shared" ref="Q184" si="386">SUM(N184:P184)</f>
        <v>0</v>
      </c>
      <c r="R184" s="347">
        <f>SUM(Q130)</f>
        <v>0</v>
      </c>
      <c r="S184" s="347">
        <f>SUM(R130)</f>
        <v>0</v>
      </c>
      <c r="T184" s="347">
        <f>SUM(S130)</f>
        <v>0</v>
      </c>
      <c r="U184" s="348">
        <f t="shared" ref="U184" si="387">SUM(R184:T184)</f>
        <v>0</v>
      </c>
      <c r="V184" s="347">
        <f t="shared" ref="V184" si="388">SUM(N184,R184)</f>
        <v>0</v>
      </c>
      <c r="W184" s="347">
        <f t="shared" ref="W184" si="389">SUM(O184,S184)</f>
        <v>0</v>
      </c>
      <c r="X184" s="347">
        <f t="shared" ref="X184" si="390">SUM(P184,T184)</f>
        <v>0</v>
      </c>
      <c r="Y184" s="348">
        <f t="shared" ref="Y184" si="391">SUM(V184:X184)</f>
        <v>0</v>
      </c>
      <c r="Z184" s="347">
        <f t="shared" ref="Z184" si="392">D184-(H184+V184)</f>
        <v>0</v>
      </c>
      <c r="AA184" s="347">
        <f t="shared" ref="AA184" si="393">E184-(I184+W184)</f>
        <v>817688.52707941318</v>
      </c>
      <c r="AB184" s="347">
        <f t="shared" ref="AB184" si="394">F184-(J184+X184)</f>
        <v>765729.83551416313</v>
      </c>
      <c r="AC184" s="348">
        <f t="shared" ref="AC184" si="395">SUM(Z184:AB184)</f>
        <v>1583418.3625935763</v>
      </c>
    </row>
    <row r="185" spans="1:33" ht="15.75" hidden="1">
      <c r="A185" s="349"/>
      <c r="B185" s="349" t="s">
        <v>809</v>
      </c>
      <c r="C185" s="350"/>
      <c r="D185" s="351" t="e">
        <f>D183+D184</f>
        <v>#REF!</v>
      </c>
      <c r="E185" s="351" t="e">
        <f t="shared" ref="E185:G185" si="396">E183+E184</f>
        <v>#REF!</v>
      </c>
      <c r="F185" s="351" t="e">
        <f t="shared" si="396"/>
        <v>#REF!</v>
      </c>
      <c r="G185" s="352" t="e">
        <f t="shared" si="396"/>
        <v>#REF!</v>
      </c>
      <c r="H185" s="351">
        <f>H183+H184</f>
        <v>0</v>
      </c>
      <c r="I185" s="351">
        <f t="shared" ref="I185:K185" si="397">I183+I184</f>
        <v>96830</v>
      </c>
      <c r="J185" s="351">
        <f t="shared" si="397"/>
        <v>97830</v>
      </c>
      <c r="K185" s="352">
        <f t="shared" si="397"/>
        <v>194660</v>
      </c>
      <c r="L185" s="1047"/>
      <c r="M185" s="1047"/>
      <c r="N185" s="351">
        <f>N183+N184</f>
        <v>0</v>
      </c>
      <c r="O185" s="351">
        <f t="shared" ref="O185:Q185" si="398">O183+O184</f>
        <v>0</v>
      </c>
      <c r="P185" s="351">
        <f t="shared" si="398"/>
        <v>0</v>
      </c>
      <c r="Q185" s="352">
        <f t="shared" si="398"/>
        <v>0</v>
      </c>
      <c r="R185" s="351">
        <f>R183+R184</f>
        <v>0</v>
      </c>
      <c r="S185" s="351">
        <f t="shared" ref="S185:U185" si="399">S183+S184</f>
        <v>0</v>
      </c>
      <c r="T185" s="351">
        <f t="shared" si="399"/>
        <v>0</v>
      </c>
      <c r="U185" s="352">
        <f t="shared" si="399"/>
        <v>0</v>
      </c>
      <c r="V185" s="351">
        <f>V183+V184</f>
        <v>0</v>
      </c>
      <c r="W185" s="351">
        <f t="shared" ref="W185:Y185" si="400">W183+W184</f>
        <v>0</v>
      </c>
      <c r="X185" s="351">
        <f t="shared" si="400"/>
        <v>0</v>
      </c>
      <c r="Y185" s="352">
        <f t="shared" si="400"/>
        <v>0</v>
      </c>
      <c r="Z185" s="351" t="e">
        <f>Z183+Z184</f>
        <v>#REF!</v>
      </c>
      <c r="AA185" s="351" t="e">
        <f t="shared" ref="AA185:AC185" si="401">AA183+AA184</f>
        <v>#REF!</v>
      </c>
      <c r="AB185" s="351" t="e">
        <f t="shared" si="401"/>
        <v>#REF!</v>
      </c>
      <c r="AC185" s="352" t="e">
        <f t="shared" si="401"/>
        <v>#REF!</v>
      </c>
    </row>
    <row r="186" spans="1:33" hidden="1">
      <c r="C186" s="358"/>
      <c r="D186" s="725"/>
      <c r="E186" s="725"/>
      <c r="F186" s="725"/>
      <c r="Q186" s="356"/>
    </row>
    <row r="187" spans="1:33" hidden="1">
      <c r="A187" s="478"/>
      <c r="B187" s="479" t="s">
        <v>26</v>
      </c>
      <c r="C187" s="480"/>
      <c r="D187" s="481" t="e">
        <f t="shared" ref="D187:K187" si="402">D131-D185</f>
        <v>#REF!</v>
      </c>
      <c r="E187" s="481" t="e">
        <f t="shared" si="402"/>
        <v>#REF!</v>
      </c>
      <c r="F187" s="481" t="e">
        <f t="shared" si="402"/>
        <v>#REF!</v>
      </c>
      <c r="G187" s="481" t="e">
        <f t="shared" si="402"/>
        <v>#REF!</v>
      </c>
      <c r="H187" s="481">
        <f t="shared" si="402"/>
        <v>6712710</v>
      </c>
      <c r="I187" s="481">
        <f t="shared" si="402"/>
        <v>7351800</v>
      </c>
      <c r="J187" s="481">
        <f t="shared" si="402"/>
        <v>7427860</v>
      </c>
      <c r="K187" s="481">
        <f t="shared" si="402"/>
        <v>21492370</v>
      </c>
      <c r="L187" s="481"/>
      <c r="M187" s="481"/>
      <c r="N187" s="481">
        <f t="shared" ref="N187:AC187" si="403">M131-N185</f>
        <v>3020631</v>
      </c>
      <c r="O187" s="481">
        <f t="shared" si="403"/>
        <v>5251849.0999999996</v>
      </c>
      <c r="P187" s="481">
        <f t="shared" si="403"/>
        <v>3634252.7798938667</v>
      </c>
      <c r="Q187" s="481">
        <f t="shared" si="403"/>
        <v>13225960.479893865</v>
      </c>
      <c r="R187" s="481">
        <f t="shared" si="403"/>
        <v>5797015.3300000001</v>
      </c>
      <c r="S187" s="481">
        <f t="shared" si="403"/>
        <v>5822753.4253735365</v>
      </c>
      <c r="T187" s="481">
        <f t="shared" si="403"/>
        <v>4931114.370949191</v>
      </c>
      <c r="U187" s="481">
        <f t="shared" si="403"/>
        <v>16550883.12632273</v>
      </c>
      <c r="V187" s="481">
        <f t="shared" si="403"/>
        <v>10136873.93</v>
      </c>
      <c r="W187" s="481">
        <f t="shared" si="403"/>
        <v>11074602.525373537</v>
      </c>
      <c r="X187" s="481">
        <f t="shared" si="403"/>
        <v>8565367.1508430578</v>
      </c>
      <c r="Y187" s="481">
        <f t="shared" si="403"/>
        <v>29776843.606216595</v>
      </c>
      <c r="Z187" s="481" t="e">
        <f t="shared" si="403"/>
        <v>#REF!</v>
      </c>
      <c r="AA187" s="481" t="e">
        <f t="shared" si="403"/>
        <v>#REF!</v>
      </c>
      <c r="AB187" s="481" t="e">
        <f t="shared" si="403"/>
        <v>#REF!</v>
      </c>
      <c r="AC187" s="481" t="e">
        <f t="shared" si="403"/>
        <v>#REF!</v>
      </c>
    </row>
    <row r="188" spans="1:33" hidden="1">
      <c r="C188" s="358"/>
    </row>
    <row r="189" spans="1:33" ht="15.75" hidden="1">
      <c r="A189" s="484" t="s">
        <v>47</v>
      </c>
      <c r="B189" s="357" t="s">
        <v>1030</v>
      </c>
      <c r="C189" s="358"/>
    </row>
    <row r="190" spans="1:33" hidden="1">
      <c r="C190" s="358"/>
    </row>
    <row r="191" spans="1:33" ht="15.6" hidden="1" customHeight="1">
      <c r="A191" s="1762" t="s">
        <v>243</v>
      </c>
      <c r="B191" s="1762" t="s">
        <v>1628</v>
      </c>
      <c r="C191" s="1762"/>
      <c r="D191" s="1758" t="str">
        <f>D8</f>
        <v>Total funding needs</v>
      </c>
      <c r="E191" s="1759"/>
      <c r="F191" s="1759"/>
      <c r="G191" s="1761"/>
      <c r="H191" s="1758" t="str">
        <f>H8</f>
        <v>Government funding</v>
      </c>
      <c r="I191" s="1759"/>
      <c r="J191" s="1759"/>
      <c r="K191" s="1761"/>
      <c r="L191" s="1041"/>
      <c r="M191" s="1041"/>
      <c r="N191" s="1758" t="str">
        <f>M8</f>
        <v xml:space="preserve">External funding: Global Fund </v>
      </c>
      <c r="O191" s="1759"/>
      <c r="P191" s="1759"/>
      <c r="Q191" s="1761"/>
      <c r="R191" s="1758" t="str">
        <f>Q8</f>
        <v>External funding: other partners</v>
      </c>
      <c r="S191" s="1759"/>
      <c r="T191" s="1759"/>
      <c r="U191" s="1761"/>
      <c r="V191" s="1758" t="str">
        <f>U8</f>
        <v>External funding: TOTAL</v>
      </c>
      <c r="W191" s="1759"/>
      <c r="X191" s="1759"/>
      <c r="Y191" s="1761"/>
      <c r="Z191" s="1758" t="str">
        <f>Y8</f>
        <v>Funding gap</v>
      </c>
      <c r="AA191" s="1759"/>
      <c r="AB191" s="1759"/>
      <c r="AC191" s="1761"/>
      <c r="AD191" s="1777" t="s">
        <v>1634</v>
      </c>
      <c r="AE191" s="1778"/>
      <c r="AF191" s="1778"/>
      <c r="AG191" s="1779"/>
    </row>
    <row r="192" spans="1:33" ht="28.9" hidden="1" customHeight="1">
      <c r="A192" s="1763"/>
      <c r="B192" s="1763"/>
      <c r="C192" s="1763"/>
      <c r="D192" s="334" t="s">
        <v>995</v>
      </c>
      <c r="E192" s="334" t="s">
        <v>996</v>
      </c>
      <c r="F192" s="334" t="s">
        <v>997</v>
      </c>
      <c r="G192" s="335" t="s">
        <v>4</v>
      </c>
      <c r="H192" s="334" t="s">
        <v>995</v>
      </c>
      <c r="I192" s="334" t="s">
        <v>996</v>
      </c>
      <c r="J192" s="334" t="s">
        <v>997</v>
      </c>
      <c r="K192" s="335" t="s">
        <v>4</v>
      </c>
      <c r="L192" s="1042"/>
      <c r="M192" s="1042"/>
      <c r="N192" s="334" t="s">
        <v>995</v>
      </c>
      <c r="O192" s="334" t="s">
        <v>996</v>
      </c>
      <c r="P192" s="334" t="s">
        <v>997</v>
      </c>
      <c r="Q192" s="335" t="s">
        <v>4</v>
      </c>
      <c r="R192" s="334" t="s">
        <v>995</v>
      </c>
      <c r="S192" s="334" t="s">
        <v>996</v>
      </c>
      <c r="T192" s="334" t="s">
        <v>997</v>
      </c>
      <c r="U192" s="335" t="s">
        <v>4</v>
      </c>
      <c r="V192" s="334" t="s">
        <v>995</v>
      </c>
      <c r="W192" s="334" t="s">
        <v>996</v>
      </c>
      <c r="X192" s="334" t="s">
        <v>997</v>
      </c>
      <c r="Y192" s="335" t="s">
        <v>4</v>
      </c>
      <c r="Z192" s="334" t="s">
        <v>995</v>
      </c>
      <c r="AA192" s="334" t="s">
        <v>996</v>
      </c>
      <c r="AB192" s="334" t="s">
        <v>997</v>
      </c>
      <c r="AC192" s="335" t="s">
        <v>4</v>
      </c>
      <c r="AD192" s="728" t="str">
        <f>Z192</f>
        <v>Year 1 (2015)</v>
      </c>
      <c r="AE192" s="728" t="str">
        <f>AA192</f>
        <v>Year 2 (2016)</v>
      </c>
      <c r="AF192" s="728" t="str">
        <f>AB192</f>
        <v>Year 3 (2017)</v>
      </c>
      <c r="AG192" s="730" t="str">
        <f>AC192</f>
        <v>Total</v>
      </c>
    </row>
    <row r="193" spans="1:33" hidden="1">
      <c r="A193" s="344">
        <v>1</v>
      </c>
      <c r="B193" s="345" t="str">
        <f>B164</f>
        <v>Human resources</v>
      </c>
      <c r="C193" s="365" t="s">
        <v>770</v>
      </c>
      <c r="D193" s="347" t="e">
        <f>D164+D$184*AD164/100</f>
        <v>#REF!</v>
      </c>
      <c r="E193" s="347" t="e">
        <f>E164+E$184*AE164/100</f>
        <v>#REF!</v>
      </c>
      <c r="F193" s="347" t="e">
        <f>F164+F$184*AF164/100</f>
        <v>#REF!</v>
      </c>
      <c r="G193" s="348" t="e">
        <f t="shared" ref="G193:G211" si="404">SUM(D193:F193)</f>
        <v>#REF!</v>
      </c>
      <c r="H193" s="347">
        <f t="shared" ref="H193:H211" si="405">H164+H$184*AH164/100</f>
        <v>0</v>
      </c>
      <c r="I193" s="347">
        <f t="shared" ref="I193:I211" si="406">I164+I$184*AI164/100</f>
        <v>0</v>
      </c>
      <c r="J193" s="347">
        <f t="shared" ref="J193:J211" si="407">J164+J$184*AJ164/100</f>
        <v>0</v>
      </c>
      <c r="K193" s="348">
        <f t="shared" ref="K193:K211" si="408">SUM(H193:J193)</f>
        <v>0</v>
      </c>
      <c r="L193" s="1045"/>
      <c r="M193" s="1045"/>
      <c r="N193" s="347">
        <f t="shared" ref="N193:N211" si="409">N164+N$184*AL164/100</f>
        <v>0</v>
      </c>
      <c r="O193" s="347">
        <f t="shared" ref="O193:O211" si="410">O164+O$184*AM164/100</f>
        <v>0</v>
      </c>
      <c r="P193" s="347">
        <f t="shared" ref="P193:P211" si="411">P164+P$184*AN164/100</f>
        <v>0</v>
      </c>
      <c r="Q193" s="348">
        <f t="shared" ref="Q193:Q211" si="412">SUM(N193:P193)</f>
        <v>0</v>
      </c>
      <c r="R193" s="347">
        <f t="shared" ref="R193:R211" si="413">R164+R$184*AP164/100</f>
        <v>0</v>
      </c>
      <c r="S193" s="347">
        <f t="shared" ref="S193:S211" si="414">S164+S$184*AQ164/100</f>
        <v>0</v>
      </c>
      <c r="T193" s="347">
        <f t="shared" ref="T193:T211" si="415">T164+T$184*AR164/100</f>
        <v>0</v>
      </c>
      <c r="U193" s="348">
        <f t="shared" ref="U193:U211" si="416">SUM(R193:T193)</f>
        <v>0</v>
      </c>
      <c r="V193" s="347">
        <f t="shared" ref="V193:V211" si="417">SUM(N193,R193)</f>
        <v>0</v>
      </c>
      <c r="W193" s="347">
        <f t="shared" ref="W193:W211" si="418">SUM(O193,S193)</f>
        <v>0</v>
      </c>
      <c r="X193" s="347">
        <f t="shared" ref="X193:X211" si="419">SUM(P193,T193)</f>
        <v>0</v>
      </c>
      <c r="Y193" s="348">
        <f t="shared" ref="Y193:Y211" si="420">SUM(V193:X193)</f>
        <v>0</v>
      </c>
      <c r="Z193" s="347" t="e">
        <f t="shared" ref="Z193:Z211" si="421">D193-(H193+V193)</f>
        <v>#REF!</v>
      </c>
      <c r="AA193" s="347" t="e">
        <f t="shared" ref="AA193:AA211" si="422">E193-(I193+W193)</f>
        <v>#REF!</v>
      </c>
      <c r="AB193" s="347" t="e">
        <f t="shared" ref="AB193:AB211" si="423">F193-(J193+X193)</f>
        <v>#REF!</v>
      </c>
      <c r="AC193" s="348" t="e">
        <f t="shared" ref="AC193:AC211" si="424">SUM(Z193:AB193)</f>
        <v>#REF!</v>
      </c>
      <c r="AD193" s="726" t="e">
        <f>D193/D$212%</f>
        <v>#REF!</v>
      </c>
      <c r="AE193" s="726" t="e">
        <f>E193/E$212%</f>
        <v>#REF!</v>
      </c>
      <c r="AF193" s="726" t="e">
        <f>F193/F$212%</f>
        <v>#REF!</v>
      </c>
      <c r="AG193" s="727" t="e">
        <f>G193/G$212%</f>
        <v>#REF!</v>
      </c>
    </row>
    <row r="194" spans="1:33" hidden="1">
      <c r="A194" s="344">
        <v>2</v>
      </c>
      <c r="B194" s="345" t="str">
        <f t="shared" ref="B194:B211" si="425">B165</f>
        <v>External technical assistance</v>
      </c>
      <c r="C194" s="365" t="s">
        <v>998</v>
      </c>
      <c r="D194" s="347" t="e">
        <f t="shared" ref="D194" si="426">D165+D$184*AD165/100</f>
        <v>#REF!</v>
      </c>
      <c r="E194" s="347" t="e">
        <f t="shared" ref="E194:E211" si="427">E165+E$184*AE165/100</f>
        <v>#REF!</v>
      </c>
      <c r="F194" s="347" t="e">
        <f t="shared" ref="F194:F211" si="428">F165+F$184*AF165/100</f>
        <v>#REF!</v>
      </c>
      <c r="G194" s="348" t="e">
        <f t="shared" si="404"/>
        <v>#REF!</v>
      </c>
      <c r="H194" s="347">
        <f t="shared" si="405"/>
        <v>0</v>
      </c>
      <c r="I194" s="347">
        <f t="shared" si="406"/>
        <v>0</v>
      </c>
      <c r="J194" s="347">
        <f t="shared" si="407"/>
        <v>0</v>
      </c>
      <c r="K194" s="348">
        <f t="shared" si="408"/>
        <v>0</v>
      </c>
      <c r="L194" s="1045"/>
      <c r="M194" s="1045"/>
      <c r="N194" s="347">
        <f t="shared" si="409"/>
        <v>0</v>
      </c>
      <c r="O194" s="347">
        <f t="shared" si="410"/>
        <v>0</v>
      </c>
      <c r="P194" s="347">
        <f t="shared" si="411"/>
        <v>0</v>
      </c>
      <c r="Q194" s="348">
        <f t="shared" si="412"/>
        <v>0</v>
      </c>
      <c r="R194" s="347">
        <f t="shared" si="413"/>
        <v>0</v>
      </c>
      <c r="S194" s="347">
        <f t="shared" si="414"/>
        <v>0</v>
      </c>
      <c r="T194" s="347">
        <f t="shared" si="415"/>
        <v>0</v>
      </c>
      <c r="U194" s="348">
        <f t="shared" si="416"/>
        <v>0</v>
      </c>
      <c r="V194" s="347">
        <f t="shared" si="417"/>
        <v>0</v>
      </c>
      <c r="W194" s="347">
        <f t="shared" si="418"/>
        <v>0</v>
      </c>
      <c r="X194" s="347">
        <f t="shared" si="419"/>
        <v>0</v>
      </c>
      <c r="Y194" s="348">
        <f t="shared" si="420"/>
        <v>0</v>
      </c>
      <c r="Z194" s="347" t="e">
        <f t="shared" si="421"/>
        <v>#REF!</v>
      </c>
      <c r="AA194" s="347" t="e">
        <f t="shared" si="422"/>
        <v>#REF!</v>
      </c>
      <c r="AB194" s="347" t="e">
        <f t="shared" si="423"/>
        <v>#REF!</v>
      </c>
      <c r="AC194" s="348" t="e">
        <f t="shared" si="424"/>
        <v>#REF!</v>
      </c>
      <c r="AD194" s="726" t="e">
        <f t="shared" ref="AD194:AD212" si="429">D194/D$212%</f>
        <v>#REF!</v>
      </c>
      <c r="AE194" s="726" t="e">
        <f t="shared" ref="AE194:AE212" si="430">E194/E$212%</f>
        <v>#REF!</v>
      </c>
      <c r="AF194" s="726" t="e">
        <f t="shared" ref="AF194:AF212" si="431">F194/F$212%</f>
        <v>#REF!</v>
      </c>
      <c r="AG194" s="727" t="e">
        <f t="shared" ref="AG194:AG212" si="432">G194/G$212%</f>
        <v>#REF!</v>
      </c>
    </row>
    <row r="195" spans="1:33" hidden="1">
      <c r="A195" s="344">
        <v>3</v>
      </c>
      <c r="B195" s="345" t="str">
        <f t="shared" si="425"/>
        <v>Technical working groups</v>
      </c>
      <c r="C195" s="365" t="s">
        <v>999</v>
      </c>
      <c r="D195" s="347" t="e">
        <f t="shared" ref="D195" si="433">D166+D$184*AD166/100</f>
        <v>#REF!</v>
      </c>
      <c r="E195" s="347" t="e">
        <f t="shared" si="427"/>
        <v>#REF!</v>
      </c>
      <c r="F195" s="347" t="e">
        <f t="shared" si="428"/>
        <v>#REF!</v>
      </c>
      <c r="G195" s="348" t="e">
        <f t="shared" si="404"/>
        <v>#REF!</v>
      </c>
      <c r="H195" s="347">
        <f t="shared" si="405"/>
        <v>0</v>
      </c>
      <c r="I195" s="347">
        <f t="shared" si="406"/>
        <v>0</v>
      </c>
      <c r="J195" s="347">
        <f t="shared" si="407"/>
        <v>0</v>
      </c>
      <c r="K195" s="348">
        <f t="shared" si="408"/>
        <v>0</v>
      </c>
      <c r="L195" s="1045"/>
      <c r="M195" s="1045"/>
      <c r="N195" s="347">
        <f t="shared" si="409"/>
        <v>0</v>
      </c>
      <c r="O195" s="347">
        <f t="shared" si="410"/>
        <v>0</v>
      </c>
      <c r="P195" s="347">
        <f t="shared" si="411"/>
        <v>0</v>
      </c>
      <c r="Q195" s="348">
        <f t="shared" si="412"/>
        <v>0</v>
      </c>
      <c r="R195" s="347">
        <f t="shared" si="413"/>
        <v>0</v>
      </c>
      <c r="S195" s="347">
        <f t="shared" si="414"/>
        <v>0</v>
      </c>
      <c r="T195" s="347">
        <f t="shared" si="415"/>
        <v>0</v>
      </c>
      <c r="U195" s="348">
        <f t="shared" si="416"/>
        <v>0</v>
      </c>
      <c r="V195" s="347">
        <f t="shared" si="417"/>
        <v>0</v>
      </c>
      <c r="W195" s="347">
        <f t="shared" si="418"/>
        <v>0</v>
      </c>
      <c r="X195" s="347">
        <f t="shared" si="419"/>
        <v>0</v>
      </c>
      <c r="Y195" s="348">
        <f t="shared" si="420"/>
        <v>0</v>
      </c>
      <c r="Z195" s="347" t="e">
        <f t="shared" si="421"/>
        <v>#REF!</v>
      </c>
      <c r="AA195" s="347" t="e">
        <f t="shared" si="422"/>
        <v>#REF!</v>
      </c>
      <c r="AB195" s="347" t="e">
        <f t="shared" si="423"/>
        <v>#REF!</v>
      </c>
      <c r="AC195" s="348" t="e">
        <f t="shared" si="424"/>
        <v>#REF!</v>
      </c>
      <c r="AD195" s="726" t="e">
        <f t="shared" si="429"/>
        <v>#REF!</v>
      </c>
      <c r="AE195" s="726" t="e">
        <f t="shared" si="430"/>
        <v>#REF!</v>
      </c>
      <c r="AF195" s="726" t="e">
        <f t="shared" si="431"/>
        <v>#REF!</v>
      </c>
      <c r="AG195" s="727" t="e">
        <f t="shared" si="432"/>
        <v>#REF!</v>
      </c>
    </row>
    <row r="196" spans="1:33" hidden="1">
      <c r="A196" s="344">
        <v>4</v>
      </c>
      <c r="B196" s="345" t="str">
        <f t="shared" si="425"/>
        <v>National consultants</v>
      </c>
      <c r="C196" s="365" t="s">
        <v>1000</v>
      </c>
      <c r="D196" s="347" t="e">
        <f t="shared" ref="D196" si="434">D167+D$184*AD167/100</f>
        <v>#REF!</v>
      </c>
      <c r="E196" s="347" t="e">
        <f t="shared" si="427"/>
        <v>#REF!</v>
      </c>
      <c r="F196" s="347" t="e">
        <f t="shared" si="428"/>
        <v>#REF!</v>
      </c>
      <c r="G196" s="348" t="e">
        <f t="shared" si="404"/>
        <v>#REF!</v>
      </c>
      <c r="H196" s="347">
        <f t="shared" si="405"/>
        <v>0</v>
      </c>
      <c r="I196" s="347">
        <f t="shared" si="406"/>
        <v>0</v>
      </c>
      <c r="J196" s="347">
        <f t="shared" si="407"/>
        <v>0</v>
      </c>
      <c r="K196" s="348">
        <f t="shared" si="408"/>
        <v>0</v>
      </c>
      <c r="L196" s="1045"/>
      <c r="M196" s="1045"/>
      <c r="N196" s="347">
        <f t="shared" si="409"/>
        <v>0</v>
      </c>
      <c r="O196" s="347">
        <f t="shared" si="410"/>
        <v>0</v>
      </c>
      <c r="P196" s="347">
        <f t="shared" si="411"/>
        <v>0</v>
      </c>
      <c r="Q196" s="348">
        <f t="shared" si="412"/>
        <v>0</v>
      </c>
      <c r="R196" s="347">
        <f t="shared" si="413"/>
        <v>0</v>
      </c>
      <c r="S196" s="347">
        <f t="shared" si="414"/>
        <v>0</v>
      </c>
      <c r="T196" s="347">
        <f t="shared" si="415"/>
        <v>0</v>
      </c>
      <c r="U196" s="348">
        <f t="shared" si="416"/>
        <v>0</v>
      </c>
      <c r="V196" s="347">
        <f t="shared" si="417"/>
        <v>0</v>
      </c>
      <c r="W196" s="347">
        <f t="shared" si="418"/>
        <v>0</v>
      </c>
      <c r="X196" s="347">
        <f t="shared" si="419"/>
        <v>0</v>
      </c>
      <c r="Y196" s="348">
        <f t="shared" si="420"/>
        <v>0</v>
      </c>
      <c r="Z196" s="347" t="e">
        <f t="shared" si="421"/>
        <v>#REF!</v>
      </c>
      <c r="AA196" s="347" t="e">
        <f t="shared" si="422"/>
        <v>#REF!</v>
      </c>
      <c r="AB196" s="347" t="e">
        <f t="shared" si="423"/>
        <v>#REF!</v>
      </c>
      <c r="AC196" s="348" t="e">
        <f t="shared" si="424"/>
        <v>#REF!</v>
      </c>
      <c r="AD196" s="726" t="e">
        <f t="shared" si="429"/>
        <v>#REF!</v>
      </c>
      <c r="AE196" s="726" t="e">
        <f t="shared" si="430"/>
        <v>#REF!</v>
      </c>
      <c r="AF196" s="726" t="e">
        <f t="shared" si="431"/>
        <v>#REF!</v>
      </c>
      <c r="AG196" s="727" t="e">
        <f t="shared" si="432"/>
        <v>#REF!</v>
      </c>
    </row>
    <row r="197" spans="1:33" hidden="1">
      <c r="A197" s="344">
        <v>5</v>
      </c>
      <c r="B197" s="345" t="str">
        <f t="shared" si="425"/>
        <v>Local training</v>
      </c>
      <c r="C197" s="365" t="s">
        <v>754</v>
      </c>
      <c r="D197" s="347" t="e">
        <f t="shared" ref="D197" si="435">D168+D$184*AD168/100</f>
        <v>#REF!</v>
      </c>
      <c r="E197" s="347" t="e">
        <f t="shared" si="427"/>
        <v>#REF!</v>
      </c>
      <c r="F197" s="347" t="e">
        <f t="shared" si="428"/>
        <v>#REF!</v>
      </c>
      <c r="G197" s="348" t="e">
        <f t="shared" si="404"/>
        <v>#REF!</v>
      </c>
      <c r="H197" s="347">
        <f t="shared" si="405"/>
        <v>0</v>
      </c>
      <c r="I197" s="347">
        <f t="shared" si="406"/>
        <v>0</v>
      </c>
      <c r="J197" s="347">
        <f t="shared" si="407"/>
        <v>0</v>
      </c>
      <c r="K197" s="348">
        <f t="shared" si="408"/>
        <v>0</v>
      </c>
      <c r="L197" s="1045"/>
      <c r="M197" s="1045"/>
      <c r="N197" s="347">
        <f t="shared" si="409"/>
        <v>0</v>
      </c>
      <c r="O197" s="347">
        <f t="shared" si="410"/>
        <v>0</v>
      </c>
      <c r="P197" s="347">
        <f t="shared" si="411"/>
        <v>0</v>
      </c>
      <c r="Q197" s="348">
        <f t="shared" si="412"/>
        <v>0</v>
      </c>
      <c r="R197" s="347">
        <f t="shared" si="413"/>
        <v>0</v>
      </c>
      <c r="S197" s="347">
        <f t="shared" si="414"/>
        <v>0</v>
      </c>
      <c r="T197" s="347">
        <f t="shared" si="415"/>
        <v>0</v>
      </c>
      <c r="U197" s="348">
        <f t="shared" si="416"/>
        <v>0</v>
      </c>
      <c r="V197" s="347">
        <f t="shared" si="417"/>
        <v>0</v>
      </c>
      <c r="W197" s="347">
        <f t="shared" si="418"/>
        <v>0</v>
      </c>
      <c r="X197" s="347">
        <f t="shared" si="419"/>
        <v>0</v>
      </c>
      <c r="Y197" s="348">
        <f t="shared" si="420"/>
        <v>0</v>
      </c>
      <c r="Z197" s="347" t="e">
        <f t="shared" si="421"/>
        <v>#REF!</v>
      </c>
      <c r="AA197" s="347" t="e">
        <f t="shared" si="422"/>
        <v>#REF!</v>
      </c>
      <c r="AB197" s="347" t="e">
        <f t="shared" si="423"/>
        <v>#REF!</v>
      </c>
      <c r="AC197" s="348" t="e">
        <f t="shared" si="424"/>
        <v>#REF!</v>
      </c>
      <c r="AD197" s="726" t="e">
        <f t="shared" si="429"/>
        <v>#REF!</v>
      </c>
      <c r="AE197" s="726" t="e">
        <f t="shared" si="430"/>
        <v>#REF!</v>
      </c>
      <c r="AF197" s="726" t="e">
        <f t="shared" si="431"/>
        <v>#REF!</v>
      </c>
      <c r="AG197" s="727" t="e">
        <f t="shared" si="432"/>
        <v>#REF!</v>
      </c>
    </row>
    <row r="198" spans="1:33" hidden="1">
      <c r="A198" s="344">
        <v>6</v>
      </c>
      <c r="B198" s="345" t="str">
        <f t="shared" si="425"/>
        <v>International training</v>
      </c>
      <c r="C198" s="365" t="s">
        <v>1002</v>
      </c>
      <c r="D198" s="347" t="e">
        <f t="shared" ref="D198" si="436">D169+D$184*AD169/100</f>
        <v>#REF!</v>
      </c>
      <c r="E198" s="347" t="e">
        <f t="shared" si="427"/>
        <v>#REF!</v>
      </c>
      <c r="F198" s="347" t="e">
        <f t="shared" si="428"/>
        <v>#REF!</v>
      </c>
      <c r="G198" s="348" t="e">
        <f t="shared" si="404"/>
        <v>#REF!</v>
      </c>
      <c r="H198" s="347">
        <f t="shared" si="405"/>
        <v>0</v>
      </c>
      <c r="I198" s="347">
        <f t="shared" si="406"/>
        <v>0</v>
      </c>
      <c r="J198" s="347">
        <f t="shared" si="407"/>
        <v>0</v>
      </c>
      <c r="K198" s="348">
        <f t="shared" si="408"/>
        <v>0</v>
      </c>
      <c r="L198" s="1045"/>
      <c r="M198" s="1045"/>
      <c r="N198" s="347">
        <f t="shared" si="409"/>
        <v>0</v>
      </c>
      <c r="O198" s="347">
        <f t="shared" si="410"/>
        <v>0</v>
      </c>
      <c r="P198" s="347">
        <f t="shared" si="411"/>
        <v>0</v>
      </c>
      <c r="Q198" s="348">
        <f t="shared" si="412"/>
        <v>0</v>
      </c>
      <c r="R198" s="347">
        <f t="shared" si="413"/>
        <v>0</v>
      </c>
      <c r="S198" s="347">
        <f t="shared" si="414"/>
        <v>0</v>
      </c>
      <c r="T198" s="347">
        <f t="shared" si="415"/>
        <v>0</v>
      </c>
      <c r="U198" s="348">
        <f t="shared" si="416"/>
        <v>0</v>
      </c>
      <c r="V198" s="347">
        <f t="shared" si="417"/>
        <v>0</v>
      </c>
      <c r="W198" s="347">
        <f t="shared" si="418"/>
        <v>0</v>
      </c>
      <c r="X198" s="347">
        <f t="shared" si="419"/>
        <v>0</v>
      </c>
      <c r="Y198" s="348">
        <f t="shared" si="420"/>
        <v>0</v>
      </c>
      <c r="Z198" s="347" t="e">
        <f t="shared" si="421"/>
        <v>#REF!</v>
      </c>
      <c r="AA198" s="347" t="e">
        <f t="shared" si="422"/>
        <v>#REF!</v>
      </c>
      <c r="AB198" s="347" t="e">
        <f t="shared" si="423"/>
        <v>#REF!</v>
      </c>
      <c r="AC198" s="348" t="e">
        <f t="shared" si="424"/>
        <v>#REF!</v>
      </c>
      <c r="AD198" s="726" t="e">
        <f t="shared" si="429"/>
        <v>#REF!</v>
      </c>
      <c r="AE198" s="726" t="e">
        <f t="shared" si="430"/>
        <v>#REF!</v>
      </c>
      <c r="AF198" s="726" t="e">
        <f t="shared" si="431"/>
        <v>#REF!</v>
      </c>
      <c r="AG198" s="727" t="e">
        <f t="shared" si="432"/>
        <v>#REF!</v>
      </c>
    </row>
    <row r="199" spans="1:33" hidden="1">
      <c r="A199" s="344">
        <v>7</v>
      </c>
      <c r="B199" s="345" t="str">
        <f t="shared" si="425"/>
        <v>Anti-TB drugs</v>
      </c>
      <c r="C199" s="365" t="s">
        <v>1005</v>
      </c>
      <c r="D199" s="347" t="e">
        <f t="shared" ref="D199" si="437">D170+D$184*AD170/100</f>
        <v>#REF!</v>
      </c>
      <c r="E199" s="347" t="e">
        <f t="shared" si="427"/>
        <v>#REF!</v>
      </c>
      <c r="F199" s="347" t="e">
        <f t="shared" si="428"/>
        <v>#REF!</v>
      </c>
      <c r="G199" s="348" t="e">
        <f t="shared" si="404"/>
        <v>#REF!</v>
      </c>
      <c r="H199" s="347">
        <f t="shared" si="405"/>
        <v>0</v>
      </c>
      <c r="I199" s="347">
        <f t="shared" si="406"/>
        <v>0</v>
      </c>
      <c r="J199" s="347">
        <f t="shared" si="407"/>
        <v>0</v>
      </c>
      <c r="K199" s="348">
        <f t="shared" si="408"/>
        <v>0</v>
      </c>
      <c r="L199" s="1045"/>
      <c r="M199" s="1045"/>
      <c r="N199" s="347">
        <f t="shared" si="409"/>
        <v>0</v>
      </c>
      <c r="O199" s="347">
        <f t="shared" si="410"/>
        <v>0</v>
      </c>
      <c r="P199" s="347">
        <f t="shared" si="411"/>
        <v>0</v>
      </c>
      <c r="Q199" s="348">
        <f t="shared" si="412"/>
        <v>0</v>
      </c>
      <c r="R199" s="347">
        <f t="shared" si="413"/>
        <v>0</v>
      </c>
      <c r="S199" s="347">
        <f t="shared" si="414"/>
        <v>0</v>
      </c>
      <c r="T199" s="347">
        <f t="shared" si="415"/>
        <v>0</v>
      </c>
      <c r="U199" s="348">
        <f t="shared" si="416"/>
        <v>0</v>
      </c>
      <c r="V199" s="347">
        <f t="shared" si="417"/>
        <v>0</v>
      </c>
      <c r="W199" s="347">
        <f t="shared" si="418"/>
        <v>0</v>
      </c>
      <c r="X199" s="347">
        <f t="shared" si="419"/>
        <v>0</v>
      </c>
      <c r="Y199" s="348">
        <f t="shared" si="420"/>
        <v>0</v>
      </c>
      <c r="Z199" s="347" t="e">
        <f t="shared" si="421"/>
        <v>#REF!</v>
      </c>
      <c r="AA199" s="347" t="e">
        <f t="shared" si="422"/>
        <v>#REF!</v>
      </c>
      <c r="AB199" s="347" t="e">
        <f t="shared" si="423"/>
        <v>#REF!</v>
      </c>
      <c r="AC199" s="348" t="e">
        <f t="shared" si="424"/>
        <v>#REF!</v>
      </c>
      <c r="AD199" s="726" t="e">
        <f t="shared" si="429"/>
        <v>#REF!</v>
      </c>
      <c r="AE199" s="726" t="e">
        <f t="shared" si="430"/>
        <v>#REF!</v>
      </c>
      <c r="AF199" s="726" t="e">
        <f t="shared" si="431"/>
        <v>#REF!</v>
      </c>
      <c r="AG199" s="727" t="e">
        <f t="shared" si="432"/>
        <v>#REF!</v>
      </c>
    </row>
    <row r="200" spans="1:33" hidden="1">
      <c r="A200" s="344">
        <v>8</v>
      </c>
      <c r="B200" s="345" t="str">
        <f t="shared" si="425"/>
        <v>Other drugs</v>
      </c>
      <c r="C200" s="365" t="s">
        <v>1020</v>
      </c>
      <c r="D200" s="347" t="e">
        <f t="shared" ref="D200" si="438">D171+D$184*AD171/100</f>
        <v>#REF!</v>
      </c>
      <c r="E200" s="347" t="e">
        <f t="shared" si="427"/>
        <v>#REF!</v>
      </c>
      <c r="F200" s="347" t="e">
        <f t="shared" si="428"/>
        <v>#REF!</v>
      </c>
      <c r="G200" s="348" t="e">
        <f t="shared" si="404"/>
        <v>#REF!</v>
      </c>
      <c r="H200" s="347">
        <f t="shared" si="405"/>
        <v>0</v>
      </c>
      <c r="I200" s="347">
        <f t="shared" si="406"/>
        <v>0</v>
      </c>
      <c r="J200" s="347">
        <f t="shared" si="407"/>
        <v>0</v>
      </c>
      <c r="K200" s="348">
        <f t="shared" si="408"/>
        <v>0</v>
      </c>
      <c r="L200" s="1045"/>
      <c r="M200" s="1045"/>
      <c r="N200" s="347">
        <f t="shared" si="409"/>
        <v>0</v>
      </c>
      <c r="O200" s="347">
        <f t="shared" si="410"/>
        <v>0</v>
      </c>
      <c r="P200" s="347">
        <f t="shared" si="411"/>
        <v>0</v>
      </c>
      <c r="Q200" s="348">
        <f t="shared" si="412"/>
        <v>0</v>
      </c>
      <c r="R200" s="347">
        <f t="shared" si="413"/>
        <v>0</v>
      </c>
      <c r="S200" s="347">
        <f t="shared" si="414"/>
        <v>0</v>
      </c>
      <c r="T200" s="347">
        <f t="shared" si="415"/>
        <v>0</v>
      </c>
      <c r="U200" s="348">
        <f t="shared" si="416"/>
        <v>0</v>
      </c>
      <c r="V200" s="347">
        <f t="shared" si="417"/>
        <v>0</v>
      </c>
      <c r="W200" s="347">
        <f t="shared" si="418"/>
        <v>0</v>
      </c>
      <c r="X200" s="347">
        <f t="shared" si="419"/>
        <v>0</v>
      </c>
      <c r="Y200" s="348">
        <f t="shared" si="420"/>
        <v>0</v>
      </c>
      <c r="Z200" s="347" t="e">
        <f t="shared" si="421"/>
        <v>#REF!</v>
      </c>
      <c r="AA200" s="347" t="e">
        <f t="shared" si="422"/>
        <v>#REF!</v>
      </c>
      <c r="AB200" s="347" t="e">
        <f t="shared" si="423"/>
        <v>#REF!</v>
      </c>
      <c r="AC200" s="348" t="e">
        <f t="shared" si="424"/>
        <v>#REF!</v>
      </c>
      <c r="AD200" s="726" t="e">
        <f t="shared" si="429"/>
        <v>#REF!</v>
      </c>
      <c r="AE200" s="726" t="e">
        <f t="shared" si="430"/>
        <v>#REF!</v>
      </c>
      <c r="AF200" s="726" t="e">
        <f t="shared" si="431"/>
        <v>#REF!</v>
      </c>
      <c r="AG200" s="727" t="e">
        <f t="shared" si="432"/>
        <v>#REF!</v>
      </c>
    </row>
    <row r="201" spans="1:33" hidden="1">
      <c r="A201" s="344">
        <v>9</v>
      </c>
      <c r="B201" s="345" t="str">
        <f t="shared" si="425"/>
        <v>Medical equipment and other equipment</v>
      </c>
      <c r="C201" s="365" t="s">
        <v>49</v>
      </c>
      <c r="D201" s="347" t="e">
        <f t="shared" ref="D201" si="439">D172+D$184*AD172/100</f>
        <v>#REF!</v>
      </c>
      <c r="E201" s="347" t="e">
        <f t="shared" si="427"/>
        <v>#REF!</v>
      </c>
      <c r="F201" s="347" t="e">
        <f t="shared" si="428"/>
        <v>#REF!</v>
      </c>
      <c r="G201" s="348" t="e">
        <f t="shared" si="404"/>
        <v>#REF!</v>
      </c>
      <c r="H201" s="347">
        <f t="shared" si="405"/>
        <v>0</v>
      </c>
      <c r="I201" s="347">
        <f t="shared" si="406"/>
        <v>0</v>
      </c>
      <c r="J201" s="347">
        <f t="shared" si="407"/>
        <v>0</v>
      </c>
      <c r="K201" s="348">
        <f t="shared" si="408"/>
        <v>0</v>
      </c>
      <c r="L201" s="1045"/>
      <c r="M201" s="1045"/>
      <c r="N201" s="347">
        <f t="shared" si="409"/>
        <v>0</v>
      </c>
      <c r="O201" s="347">
        <f t="shared" si="410"/>
        <v>0</v>
      </c>
      <c r="P201" s="347">
        <f t="shared" si="411"/>
        <v>0</v>
      </c>
      <c r="Q201" s="348">
        <f t="shared" si="412"/>
        <v>0</v>
      </c>
      <c r="R201" s="347">
        <f t="shared" si="413"/>
        <v>0</v>
      </c>
      <c r="S201" s="347">
        <f t="shared" si="414"/>
        <v>0</v>
      </c>
      <c r="T201" s="347">
        <f t="shared" si="415"/>
        <v>0</v>
      </c>
      <c r="U201" s="348">
        <f t="shared" si="416"/>
        <v>0</v>
      </c>
      <c r="V201" s="347">
        <f t="shared" si="417"/>
        <v>0</v>
      </c>
      <c r="W201" s="347">
        <f t="shared" si="418"/>
        <v>0</v>
      </c>
      <c r="X201" s="347">
        <f t="shared" si="419"/>
        <v>0</v>
      </c>
      <c r="Y201" s="348">
        <f t="shared" si="420"/>
        <v>0</v>
      </c>
      <c r="Z201" s="347" t="e">
        <f t="shared" si="421"/>
        <v>#REF!</v>
      </c>
      <c r="AA201" s="347" t="e">
        <f t="shared" si="422"/>
        <v>#REF!</v>
      </c>
      <c r="AB201" s="347" t="e">
        <f t="shared" si="423"/>
        <v>#REF!</v>
      </c>
      <c r="AC201" s="348" t="e">
        <f t="shared" si="424"/>
        <v>#REF!</v>
      </c>
      <c r="AD201" s="726" t="e">
        <f t="shared" si="429"/>
        <v>#REF!</v>
      </c>
      <c r="AE201" s="726" t="e">
        <f t="shared" si="430"/>
        <v>#REF!</v>
      </c>
      <c r="AF201" s="726" t="e">
        <f t="shared" si="431"/>
        <v>#REF!</v>
      </c>
      <c r="AG201" s="727" t="e">
        <f t="shared" si="432"/>
        <v>#REF!</v>
      </c>
    </row>
    <row r="202" spans="1:33" hidden="1">
      <c r="A202" s="344">
        <v>10</v>
      </c>
      <c r="B202" s="345" t="str">
        <f t="shared" si="425"/>
        <v>Medical supplies</v>
      </c>
      <c r="C202" s="365" t="s">
        <v>156</v>
      </c>
      <c r="D202" s="347" t="e">
        <f t="shared" ref="D202" si="440">D173+D$184*AD173/100</f>
        <v>#REF!</v>
      </c>
      <c r="E202" s="347" t="e">
        <f t="shared" si="427"/>
        <v>#REF!</v>
      </c>
      <c r="F202" s="347" t="e">
        <f t="shared" si="428"/>
        <v>#REF!</v>
      </c>
      <c r="G202" s="348" t="e">
        <f t="shared" si="404"/>
        <v>#REF!</v>
      </c>
      <c r="H202" s="347">
        <f t="shared" si="405"/>
        <v>0</v>
      </c>
      <c r="I202" s="347">
        <f t="shared" si="406"/>
        <v>0</v>
      </c>
      <c r="J202" s="347">
        <f t="shared" si="407"/>
        <v>0</v>
      </c>
      <c r="K202" s="348">
        <f t="shared" si="408"/>
        <v>0</v>
      </c>
      <c r="L202" s="1045"/>
      <c r="M202" s="1045"/>
      <c r="N202" s="347">
        <f t="shared" si="409"/>
        <v>0</v>
      </c>
      <c r="O202" s="347">
        <f t="shared" si="410"/>
        <v>0</v>
      </c>
      <c r="P202" s="347">
        <f t="shared" si="411"/>
        <v>0</v>
      </c>
      <c r="Q202" s="348">
        <f t="shared" si="412"/>
        <v>0</v>
      </c>
      <c r="R202" s="347">
        <f t="shared" si="413"/>
        <v>0</v>
      </c>
      <c r="S202" s="347">
        <f t="shared" si="414"/>
        <v>0</v>
      </c>
      <c r="T202" s="347">
        <f t="shared" si="415"/>
        <v>0</v>
      </c>
      <c r="U202" s="348">
        <f t="shared" si="416"/>
        <v>0</v>
      </c>
      <c r="V202" s="347">
        <f t="shared" si="417"/>
        <v>0</v>
      </c>
      <c r="W202" s="347">
        <f t="shared" si="418"/>
        <v>0</v>
      </c>
      <c r="X202" s="347">
        <f t="shared" si="419"/>
        <v>0</v>
      </c>
      <c r="Y202" s="348">
        <f t="shared" si="420"/>
        <v>0</v>
      </c>
      <c r="Z202" s="347" t="e">
        <f t="shared" si="421"/>
        <v>#REF!</v>
      </c>
      <c r="AA202" s="347" t="e">
        <f t="shared" si="422"/>
        <v>#REF!</v>
      </c>
      <c r="AB202" s="347" t="e">
        <f t="shared" si="423"/>
        <v>#REF!</v>
      </c>
      <c r="AC202" s="348" t="e">
        <f t="shared" si="424"/>
        <v>#REF!</v>
      </c>
      <c r="AD202" s="726" t="e">
        <f t="shared" si="429"/>
        <v>#REF!</v>
      </c>
      <c r="AE202" s="726" t="e">
        <f t="shared" si="430"/>
        <v>#REF!</v>
      </c>
      <c r="AF202" s="726" t="e">
        <f t="shared" si="431"/>
        <v>#REF!</v>
      </c>
      <c r="AG202" s="727" t="e">
        <f t="shared" si="432"/>
        <v>#REF!</v>
      </c>
    </row>
    <row r="203" spans="1:33" hidden="1">
      <c r="A203" s="344">
        <v>11</v>
      </c>
      <c r="B203" s="345" t="str">
        <f t="shared" si="425"/>
        <v>Procurement and supply management costs</v>
      </c>
      <c r="C203" s="365" t="s">
        <v>1631</v>
      </c>
      <c r="D203" s="347" t="e">
        <f t="shared" ref="D203" si="441">D174+D$184*AD174/100</f>
        <v>#REF!</v>
      </c>
      <c r="E203" s="347" t="e">
        <f t="shared" si="427"/>
        <v>#REF!</v>
      </c>
      <c r="F203" s="347" t="e">
        <f t="shared" si="428"/>
        <v>#REF!</v>
      </c>
      <c r="G203" s="348" t="e">
        <f t="shared" si="404"/>
        <v>#REF!</v>
      </c>
      <c r="H203" s="347">
        <f t="shared" si="405"/>
        <v>0</v>
      </c>
      <c r="I203" s="347">
        <f t="shared" si="406"/>
        <v>0</v>
      </c>
      <c r="J203" s="347">
        <f t="shared" si="407"/>
        <v>0</v>
      </c>
      <c r="K203" s="348">
        <f t="shared" si="408"/>
        <v>0</v>
      </c>
      <c r="L203" s="1045"/>
      <c r="M203" s="1045"/>
      <c r="N203" s="347">
        <f t="shared" si="409"/>
        <v>0</v>
      </c>
      <c r="O203" s="347">
        <f t="shared" si="410"/>
        <v>0</v>
      </c>
      <c r="P203" s="347">
        <f t="shared" si="411"/>
        <v>0</v>
      </c>
      <c r="Q203" s="348">
        <f t="shared" si="412"/>
        <v>0</v>
      </c>
      <c r="R203" s="347">
        <f t="shared" si="413"/>
        <v>0</v>
      </c>
      <c r="S203" s="347">
        <f t="shared" si="414"/>
        <v>0</v>
      </c>
      <c r="T203" s="347">
        <f t="shared" si="415"/>
        <v>0</v>
      </c>
      <c r="U203" s="348">
        <f t="shared" si="416"/>
        <v>0</v>
      </c>
      <c r="V203" s="347">
        <f t="shared" si="417"/>
        <v>0</v>
      </c>
      <c r="W203" s="347">
        <f t="shared" si="418"/>
        <v>0</v>
      </c>
      <c r="X203" s="347">
        <f t="shared" si="419"/>
        <v>0</v>
      </c>
      <c r="Y203" s="348">
        <f t="shared" si="420"/>
        <v>0</v>
      </c>
      <c r="Z203" s="347" t="e">
        <f t="shared" si="421"/>
        <v>#REF!</v>
      </c>
      <c r="AA203" s="347" t="e">
        <f t="shared" si="422"/>
        <v>#REF!</v>
      </c>
      <c r="AB203" s="347" t="e">
        <f t="shared" si="423"/>
        <v>#REF!</v>
      </c>
      <c r="AC203" s="348" t="e">
        <f t="shared" si="424"/>
        <v>#REF!</v>
      </c>
      <c r="AD203" s="726" t="e">
        <f t="shared" si="429"/>
        <v>#REF!</v>
      </c>
      <c r="AE203" s="726" t="e">
        <f t="shared" si="430"/>
        <v>#REF!</v>
      </c>
      <c r="AF203" s="726" t="e">
        <f t="shared" si="431"/>
        <v>#REF!</v>
      </c>
      <c r="AG203" s="727" t="e">
        <f t="shared" si="432"/>
        <v>#REF!</v>
      </c>
    </row>
    <row r="204" spans="1:33" hidden="1">
      <c r="A204" s="344">
        <v>12</v>
      </c>
      <c r="B204" s="345" t="str">
        <f t="shared" si="425"/>
        <v>Works</v>
      </c>
      <c r="C204" s="365" t="s">
        <v>757</v>
      </c>
      <c r="D204" s="347" t="e">
        <f t="shared" ref="D204" si="442">D175+D$184*AD175/100</f>
        <v>#REF!</v>
      </c>
      <c r="E204" s="347" t="e">
        <f t="shared" si="427"/>
        <v>#REF!</v>
      </c>
      <c r="F204" s="347" t="e">
        <f t="shared" si="428"/>
        <v>#REF!</v>
      </c>
      <c r="G204" s="348" t="e">
        <f t="shared" si="404"/>
        <v>#REF!</v>
      </c>
      <c r="H204" s="347">
        <f t="shared" si="405"/>
        <v>0</v>
      </c>
      <c r="I204" s="347">
        <f t="shared" si="406"/>
        <v>0</v>
      </c>
      <c r="J204" s="347">
        <f t="shared" si="407"/>
        <v>0</v>
      </c>
      <c r="K204" s="348">
        <f t="shared" si="408"/>
        <v>0</v>
      </c>
      <c r="L204" s="1045"/>
      <c r="M204" s="1045"/>
      <c r="N204" s="347">
        <f t="shared" si="409"/>
        <v>0</v>
      </c>
      <c r="O204" s="347">
        <f t="shared" si="410"/>
        <v>0</v>
      </c>
      <c r="P204" s="347">
        <f t="shared" si="411"/>
        <v>0</v>
      </c>
      <c r="Q204" s="348">
        <f t="shared" si="412"/>
        <v>0</v>
      </c>
      <c r="R204" s="347">
        <f t="shared" si="413"/>
        <v>0</v>
      </c>
      <c r="S204" s="347">
        <f t="shared" si="414"/>
        <v>0</v>
      </c>
      <c r="T204" s="347">
        <f t="shared" si="415"/>
        <v>0</v>
      </c>
      <c r="U204" s="348">
        <f t="shared" si="416"/>
        <v>0</v>
      </c>
      <c r="V204" s="347">
        <f t="shared" si="417"/>
        <v>0</v>
      </c>
      <c r="W204" s="347">
        <f t="shared" si="418"/>
        <v>0</v>
      </c>
      <c r="X204" s="347">
        <f t="shared" si="419"/>
        <v>0</v>
      </c>
      <c r="Y204" s="348">
        <f t="shared" si="420"/>
        <v>0</v>
      </c>
      <c r="Z204" s="347" t="e">
        <f t="shared" si="421"/>
        <v>#REF!</v>
      </c>
      <c r="AA204" s="347" t="e">
        <f t="shared" si="422"/>
        <v>#REF!</v>
      </c>
      <c r="AB204" s="347" t="e">
        <f t="shared" si="423"/>
        <v>#REF!</v>
      </c>
      <c r="AC204" s="348" t="e">
        <f t="shared" si="424"/>
        <v>#REF!</v>
      </c>
      <c r="AD204" s="726" t="e">
        <f t="shared" si="429"/>
        <v>#REF!</v>
      </c>
      <c r="AE204" s="726" t="e">
        <f t="shared" si="430"/>
        <v>#REF!</v>
      </c>
      <c r="AF204" s="726" t="e">
        <f t="shared" si="431"/>
        <v>#REF!</v>
      </c>
      <c r="AG204" s="727" t="e">
        <f t="shared" si="432"/>
        <v>#REF!</v>
      </c>
    </row>
    <row r="205" spans="1:33" hidden="1">
      <c r="A205" s="344">
        <v>13</v>
      </c>
      <c r="B205" s="345" t="str">
        <f t="shared" si="425"/>
        <v>Facility costs</v>
      </c>
      <c r="C205" s="365" t="s">
        <v>50</v>
      </c>
      <c r="D205" s="347" t="e">
        <f t="shared" ref="D205" si="443">D176+D$184*AD176/100</f>
        <v>#REF!</v>
      </c>
      <c r="E205" s="347" t="e">
        <f t="shared" si="427"/>
        <v>#REF!</v>
      </c>
      <c r="F205" s="347" t="e">
        <f t="shared" si="428"/>
        <v>#REF!</v>
      </c>
      <c r="G205" s="348" t="e">
        <f t="shared" si="404"/>
        <v>#REF!</v>
      </c>
      <c r="H205" s="347">
        <f t="shared" si="405"/>
        <v>0</v>
      </c>
      <c r="I205" s="347">
        <f t="shared" si="406"/>
        <v>0</v>
      </c>
      <c r="J205" s="347">
        <f t="shared" si="407"/>
        <v>0</v>
      </c>
      <c r="K205" s="348">
        <f t="shared" si="408"/>
        <v>0</v>
      </c>
      <c r="L205" s="1045"/>
      <c r="M205" s="1045"/>
      <c r="N205" s="347">
        <f t="shared" si="409"/>
        <v>0</v>
      </c>
      <c r="O205" s="347">
        <f t="shared" si="410"/>
        <v>0</v>
      </c>
      <c r="P205" s="347">
        <f t="shared" si="411"/>
        <v>0</v>
      </c>
      <c r="Q205" s="348">
        <f t="shared" si="412"/>
        <v>0</v>
      </c>
      <c r="R205" s="347">
        <f t="shared" si="413"/>
        <v>0</v>
      </c>
      <c r="S205" s="347">
        <f t="shared" si="414"/>
        <v>0</v>
      </c>
      <c r="T205" s="347">
        <f t="shared" si="415"/>
        <v>0</v>
      </c>
      <c r="U205" s="348">
        <f t="shared" si="416"/>
        <v>0</v>
      </c>
      <c r="V205" s="347">
        <f t="shared" si="417"/>
        <v>0</v>
      </c>
      <c r="W205" s="347">
        <f t="shared" si="418"/>
        <v>0</v>
      </c>
      <c r="X205" s="347">
        <f t="shared" si="419"/>
        <v>0</v>
      </c>
      <c r="Y205" s="348">
        <f t="shared" si="420"/>
        <v>0</v>
      </c>
      <c r="Z205" s="347" t="e">
        <f t="shared" si="421"/>
        <v>#REF!</v>
      </c>
      <c r="AA205" s="347" t="e">
        <f t="shared" si="422"/>
        <v>#REF!</v>
      </c>
      <c r="AB205" s="347" t="e">
        <f t="shared" si="423"/>
        <v>#REF!</v>
      </c>
      <c r="AC205" s="348" t="e">
        <f t="shared" si="424"/>
        <v>#REF!</v>
      </c>
      <c r="AD205" s="726" t="e">
        <f t="shared" si="429"/>
        <v>#REF!</v>
      </c>
      <c r="AE205" s="726" t="e">
        <f t="shared" si="430"/>
        <v>#REF!</v>
      </c>
      <c r="AF205" s="726" t="e">
        <f t="shared" si="431"/>
        <v>#REF!</v>
      </c>
      <c r="AG205" s="727" t="e">
        <f t="shared" si="432"/>
        <v>#REF!</v>
      </c>
    </row>
    <row r="206" spans="1:33" hidden="1">
      <c r="A206" s="344">
        <v>14</v>
      </c>
      <c r="B206" s="345" t="str">
        <f t="shared" si="425"/>
        <v>Patient support</v>
      </c>
      <c r="C206" s="365" t="s">
        <v>1632</v>
      </c>
      <c r="D206" s="347" t="e">
        <f t="shared" ref="D206" si="444">D177+D$184*AD177/100</f>
        <v>#REF!</v>
      </c>
      <c r="E206" s="347" t="e">
        <f t="shared" si="427"/>
        <v>#REF!</v>
      </c>
      <c r="F206" s="347" t="e">
        <f t="shared" si="428"/>
        <v>#REF!</v>
      </c>
      <c r="G206" s="348" t="e">
        <f t="shared" si="404"/>
        <v>#REF!</v>
      </c>
      <c r="H206" s="347">
        <f t="shared" si="405"/>
        <v>0</v>
      </c>
      <c r="I206" s="347">
        <f t="shared" si="406"/>
        <v>0</v>
      </c>
      <c r="J206" s="347">
        <f t="shared" si="407"/>
        <v>0</v>
      </c>
      <c r="K206" s="348">
        <f t="shared" si="408"/>
        <v>0</v>
      </c>
      <c r="L206" s="1045"/>
      <c r="M206" s="1045"/>
      <c r="N206" s="347">
        <f t="shared" si="409"/>
        <v>0</v>
      </c>
      <c r="O206" s="347">
        <f t="shared" si="410"/>
        <v>0</v>
      </c>
      <c r="P206" s="347">
        <f t="shared" si="411"/>
        <v>0</v>
      </c>
      <c r="Q206" s="348">
        <f t="shared" si="412"/>
        <v>0</v>
      </c>
      <c r="R206" s="347">
        <f t="shared" si="413"/>
        <v>0</v>
      </c>
      <c r="S206" s="347">
        <f t="shared" si="414"/>
        <v>0</v>
      </c>
      <c r="T206" s="347">
        <f t="shared" si="415"/>
        <v>0</v>
      </c>
      <c r="U206" s="348">
        <f t="shared" si="416"/>
        <v>0</v>
      </c>
      <c r="V206" s="347">
        <f t="shared" si="417"/>
        <v>0</v>
      </c>
      <c r="W206" s="347">
        <f t="shared" si="418"/>
        <v>0</v>
      </c>
      <c r="X206" s="347">
        <f t="shared" si="419"/>
        <v>0</v>
      </c>
      <c r="Y206" s="348">
        <f t="shared" si="420"/>
        <v>0</v>
      </c>
      <c r="Z206" s="347" t="e">
        <f t="shared" si="421"/>
        <v>#REF!</v>
      </c>
      <c r="AA206" s="347" t="e">
        <f t="shared" si="422"/>
        <v>#REF!</v>
      </c>
      <c r="AB206" s="347" t="e">
        <f t="shared" si="423"/>
        <v>#REF!</v>
      </c>
      <c r="AC206" s="348" t="e">
        <f t="shared" si="424"/>
        <v>#REF!</v>
      </c>
      <c r="AD206" s="726" t="e">
        <f t="shared" si="429"/>
        <v>#REF!</v>
      </c>
      <c r="AE206" s="726" t="e">
        <f t="shared" si="430"/>
        <v>#REF!</v>
      </c>
      <c r="AF206" s="726" t="e">
        <f t="shared" si="431"/>
        <v>#REF!</v>
      </c>
      <c r="AG206" s="727" t="e">
        <f t="shared" si="432"/>
        <v>#REF!</v>
      </c>
    </row>
    <row r="207" spans="1:33" hidden="1">
      <c r="A207" s="344">
        <v>15</v>
      </c>
      <c r="B207" s="345" t="str">
        <f t="shared" si="425"/>
        <v>Information, education and communication</v>
      </c>
      <c r="C207" s="365" t="s">
        <v>1007</v>
      </c>
      <c r="D207" s="347" t="e">
        <f t="shared" ref="D207" si="445">D178+D$184*AD178/100</f>
        <v>#REF!</v>
      </c>
      <c r="E207" s="347" t="e">
        <f t="shared" si="427"/>
        <v>#REF!</v>
      </c>
      <c r="F207" s="347" t="e">
        <f t="shared" si="428"/>
        <v>#REF!</v>
      </c>
      <c r="G207" s="348" t="e">
        <f t="shared" si="404"/>
        <v>#REF!</v>
      </c>
      <c r="H207" s="347">
        <f t="shared" si="405"/>
        <v>0</v>
      </c>
      <c r="I207" s="347">
        <f t="shared" si="406"/>
        <v>0</v>
      </c>
      <c r="J207" s="347">
        <f t="shared" si="407"/>
        <v>0</v>
      </c>
      <c r="K207" s="348">
        <f t="shared" si="408"/>
        <v>0</v>
      </c>
      <c r="L207" s="1045"/>
      <c r="M207" s="1045"/>
      <c r="N207" s="347">
        <f t="shared" si="409"/>
        <v>0</v>
      </c>
      <c r="O207" s="347">
        <f t="shared" si="410"/>
        <v>0</v>
      </c>
      <c r="P207" s="347">
        <f t="shared" si="411"/>
        <v>0</v>
      </c>
      <c r="Q207" s="348">
        <f t="shared" si="412"/>
        <v>0</v>
      </c>
      <c r="R207" s="347">
        <f t="shared" si="413"/>
        <v>0</v>
      </c>
      <c r="S207" s="347">
        <f t="shared" si="414"/>
        <v>0</v>
      </c>
      <c r="T207" s="347">
        <f t="shared" si="415"/>
        <v>0</v>
      </c>
      <c r="U207" s="348">
        <f t="shared" si="416"/>
        <v>0</v>
      </c>
      <c r="V207" s="347">
        <f t="shared" si="417"/>
        <v>0</v>
      </c>
      <c r="W207" s="347">
        <f t="shared" si="418"/>
        <v>0</v>
      </c>
      <c r="X207" s="347">
        <f t="shared" si="419"/>
        <v>0</v>
      </c>
      <c r="Y207" s="348">
        <f t="shared" si="420"/>
        <v>0</v>
      </c>
      <c r="Z207" s="347" t="e">
        <f t="shared" si="421"/>
        <v>#REF!</v>
      </c>
      <c r="AA207" s="347" t="e">
        <f t="shared" si="422"/>
        <v>#REF!</v>
      </c>
      <c r="AB207" s="347" t="e">
        <f t="shared" si="423"/>
        <v>#REF!</v>
      </c>
      <c r="AC207" s="348" t="e">
        <f t="shared" si="424"/>
        <v>#REF!</v>
      </c>
      <c r="AD207" s="726" t="e">
        <f t="shared" si="429"/>
        <v>#REF!</v>
      </c>
      <c r="AE207" s="726" t="e">
        <f t="shared" si="430"/>
        <v>#REF!</v>
      </c>
      <c r="AF207" s="726" t="e">
        <f t="shared" si="431"/>
        <v>#REF!</v>
      </c>
      <c r="AG207" s="727" t="e">
        <f t="shared" si="432"/>
        <v>#REF!</v>
      </c>
    </row>
    <row r="208" spans="1:33" hidden="1">
      <c r="A208" s="344">
        <v>16</v>
      </c>
      <c r="B208" s="345" t="str">
        <f t="shared" si="425"/>
        <v>NGO grants</v>
      </c>
      <c r="C208" s="365" t="s">
        <v>1006</v>
      </c>
      <c r="D208" s="347" t="e">
        <f t="shared" ref="D208" si="446">D179+D$184*AD179/100</f>
        <v>#REF!</v>
      </c>
      <c r="E208" s="347" t="e">
        <f t="shared" si="427"/>
        <v>#REF!</v>
      </c>
      <c r="F208" s="347" t="e">
        <f t="shared" si="428"/>
        <v>#REF!</v>
      </c>
      <c r="G208" s="348" t="e">
        <f t="shared" si="404"/>
        <v>#REF!</v>
      </c>
      <c r="H208" s="347">
        <f t="shared" si="405"/>
        <v>0</v>
      </c>
      <c r="I208" s="347">
        <f t="shared" si="406"/>
        <v>0</v>
      </c>
      <c r="J208" s="347">
        <f t="shared" si="407"/>
        <v>0</v>
      </c>
      <c r="K208" s="348">
        <f t="shared" si="408"/>
        <v>0</v>
      </c>
      <c r="L208" s="1045"/>
      <c r="M208" s="1045"/>
      <c r="N208" s="347">
        <f t="shared" si="409"/>
        <v>0</v>
      </c>
      <c r="O208" s="347">
        <f t="shared" si="410"/>
        <v>0</v>
      </c>
      <c r="P208" s="347">
        <f t="shared" si="411"/>
        <v>0</v>
      </c>
      <c r="Q208" s="348">
        <f t="shared" si="412"/>
        <v>0</v>
      </c>
      <c r="R208" s="347">
        <f t="shared" si="413"/>
        <v>0</v>
      </c>
      <c r="S208" s="347">
        <f t="shared" si="414"/>
        <v>0</v>
      </c>
      <c r="T208" s="347">
        <f t="shared" si="415"/>
        <v>0</v>
      </c>
      <c r="U208" s="348">
        <f t="shared" si="416"/>
        <v>0</v>
      </c>
      <c r="V208" s="347">
        <f t="shared" si="417"/>
        <v>0</v>
      </c>
      <c r="W208" s="347">
        <f t="shared" si="418"/>
        <v>0</v>
      </c>
      <c r="X208" s="347">
        <f t="shared" si="419"/>
        <v>0</v>
      </c>
      <c r="Y208" s="348">
        <f t="shared" si="420"/>
        <v>0</v>
      </c>
      <c r="Z208" s="347" t="e">
        <f t="shared" si="421"/>
        <v>#REF!</v>
      </c>
      <c r="AA208" s="347" t="e">
        <f t="shared" si="422"/>
        <v>#REF!</v>
      </c>
      <c r="AB208" s="347" t="e">
        <f t="shared" si="423"/>
        <v>#REF!</v>
      </c>
      <c r="AC208" s="348" t="e">
        <f t="shared" si="424"/>
        <v>#REF!</v>
      </c>
      <c r="AD208" s="726" t="e">
        <f t="shared" si="429"/>
        <v>#REF!</v>
      </c>
      <c r="AE208" s="726" t="e">
        <f t="shared" si="430"/>
        <v>#REF!</v>
      </c>
      <c r="AF208" s="726" t="e">
        <f t="shared" si="431"/>
        <v>#REF!</v>
      </c>
      <c r="AG208" s="727" t="e">
        <f t="shared" si="432"/>
        <v>#REF!</v>
      </c>
    </row>
    <row r="209" spans="1:33" hidden="1">
      <c r="A209" s="344">
        <v>17</v>
      </c>
      <c r="B209" s="345" t="str">
        <f t="shared" si="425"/>
        <v>Clinical and operational research</v>
      </c>
      <c r="C209" s="365" t="s">
        <v>752</v>
      </c>
      <c r="D209" s="347" t="e">
        <f t="shared" ref="D209" si="447">D180+D$184*AD180/100</f>
        <v>#REF!</v>
      </c>
      <c r="E209" s="347" t="e">
        <f t="shared" si="427"/>
        <v>#REF!</v>
      </c>
      <c r="F209" s="347" t="e">
        <f t="shared" si="428"/>
        <v>#REF!</v>
      </c>
      <c r="G209" s="348" t="e">
        <f t="shared" si="404"/>
        <v>#REF!</v>
      </c>
      <c r="H209" s="347">
        <f t="shared" si="405"/>
        <v>0</v>
      </c>
      <c r="I209" s="347">
        <f t="shared" si="406"/>
        <v>0</v>
      </c>
      <c r="J209" s="347">
        <f t="shared" si="407"/>
        <v>0</v>
      </c>
      <c r="K209" s="348">
        <f t="shared" si="408"/>
        <v>0</v>
      </c>
      <c r="L209" s="1045"/>
      <c r="M209" s="1045"/>
      <c r="N209" s="347">
        <f t="shared" si="409"/>
        <v>0</v>
      </c>
      <c r="O209" s="347">
        <f t="shared" si="410"/>
        <v>0</v>
      </c>
      <c r="P209" s="347">
        <f t="shared" si="411"/>
        <v>0</v>
      </c>
      <c r="Q209" s="348">
        <f t="shared" si="412"/>
        <v>0</v>
      </c>
      <c r="R209" s="347">
        <f t="shared" si="413"/>
        <v>0</v>
      </c>
      <c r="S209" s="347">
        <f t="shared" si="414"/>
        <v>0</v>
      </c>
      <c r="T209" s="347">
        <f t="shared" si="415"/>
        <v>0</v>
      </c>
      <c r="U209" s="348">
        <f t="shared" si="416"/>
        <v>0</v>
      </c>
      <c r="V209" s="347">
        <f t="shared" si="417"/>
        <v>0</v>
      </c>
      <c r="W209" s="347">
        <f t="shared" si="418"/>
        <v>0</v>
      </c>
      <c r="X209" s="347">
        <f t="shared" si="419"/>
        <v>0</v>
      </c>
      <c r="Y209" s="348">
        <f t="shared" si="420"/>
        <v>0</v>
      </c>
      <c r="Z209" s="347" t="e">
        <f t="shared" si="421"/>
        <v>#REF!</v>
      </c>
      <c r="AA209" s="347" t="e">
        <f t="shared" si="422"/>
        <v>#REF!</v>
      </c>
      <c r="AB209" s="347" t="e">
        <f t="shared" si="423"/>
        <v>#REF!</v>
      </c>
      <c r="AC209" s="348" t="e">
        <f t="shared" si="424"/>
        <v>#REF!</v>
      </c>
      <c r="AD209" s="726" t="e">
        <f t="shared" si="429"/>
        <v>#REF!</v>
      </c>
      <c r="AE209" s="726" t="e">
        <f t="shared" si="430"/>
        <v>#REF!</v>
      </c>
      <c r="AF209" s="726" t="e">
        <f t="shared" si="431"/>
        <v>#REF!</v>
      </c>
      <c r="AG209" s="727" t="e">
        <f t="shared" si="432"/>
        <v>#REF!</v>
      </c>
    </row>
    <row r="210" spans="1:33" hidden="1">
      <c r="A210" s="344">
        <v>18</v>
      </c>
      <c r="B210" s="345" t="str">
        <f t="shared" si="425"/>
        <v>Quality assurance, program management, supervision</v>
      </c>
      <c r="C210" s="365" t="s">
        <v>1001</v>
      </c>
      <c r="D210" s="347" t="e">
        <f t="shared" ref="D210" si="448">D181+D$184*AD181/100</f>
        <v>#REF!</v>
      </c>
      <c r="E210" s="347" t="e">
        <f t="shared" si="427"/>
        <v>#REF!</v>
      </c>
      <c r="F210" s="347" t="e">
        <f t="shared" si="428"/>
        <v>#REF!</v>
      </c>
      <c r="G210" s="348" t="e">
        <f t="shared" si="404"/>
        <v>#REF!</v>
      </c>
      <c r="H210" s="347">
        <f t="shared" si="405"/>
        <v>0</v>
      </c>
      <c r="I210" s="347">
        <f t="shared" si="406"/>
        <v>0</v>
      </c>
      <c r="J210" s="347">
        <f t="shared" si="407"/>
        <v>0</v>
      </c>
      <c r="K210" s="348">
        <f t="shared" si="408"/>
        <v>0</v>
      </c>
      <c r="L210" s="1045"/>
      <c r="M210" s="1045"/>
      <c r="N210" s="347">
        <f t="shared" si="409"/>
        <v>0</v>
      </c>
      <c r="O210" s="347">
        <f t="shared" si="410"/>
        <v>0</v>
      </c>
      <c r="P210" s="347">
        <f t="shared" si="411"/>
        <v>0</v>
      </c>
      <c r="Q210" s="348">
        <f t="shared" si="412"/>
        <v>0</v>
      </c>
      <c r="R210" s="347">
        <f t="shared" si="413"/>
        <v>0</v>
      </c>
      <c r="S210" s="347">
        <f t="shared" si="414"/>
        <v>0</v>
      </c>
      <c r="T210" s="347">
        <f t="shared" si="415"/>
        <v>0</v>
      </c>
      <c r="U210" s="348">
        <f t="shared" si="416"/>
        <v>0</v>
      </c>
      <c r="V210" s="347">
        <f t="shared" si="417"/>
        <v>0</v>
      </c>
      <c r="W210" s="347">
        <f t="shared" si="418"/>
        <v>0</v>
      </c>
      <c r="X210" s="347">
        <f t="shared" si="419"/>
        <v>0</v>
      </c>
      <c r="Y210" s="348">
        <f t="shared" si="420"/>
        <v>0</v>
      </c>
      <c r="Z210" s="347" t="e">
        <f t="shared" si="421"/>
        <v>#REF!</v>
      </c>
      <c r="AA210" s="347" t="e">
        <f t="shared" si="422"/>
        <v>#REF!</v>
      </c>
      <c r="AB210" s="347" t="e">
        <f t="shared" si="423"/>
        <v>#REF!</v>
      </c>
      <c r="AC210" s="348" t="e">
        <f t="shared" si="424"/>
        <v>#REF!</v>
      </c>
      <c r="AD210" s="726" t="e">
        <f t="shared" si="429"/>
        <v>#REF!</v>
      </c>
      <c r="AE210" s="726" t="e">
        <f t="shared" si="430"/>
        <v>#REF!</v>
      </c>
      <c r="AF210" s="726" t="e">
        <f t="shared" si="431"/>
        <v>#REF!</v>
      </c>
      <c r="AG210" s="727" t="e">
        <f t="shared" si="432"/>
        <v>#REF!</v>
      </c>
    </row>
    <row r="211" spans="1:33" hidden="1">
      <c r="A211" s="344">
        <v>19</v>
      </c>
      <c r="B211" s="345" t="str">
        <f t="shared" si="425"/>
        <v>Other and unclassified costs</v>
      </c>
      <c r="C211" s="365" t="s">
        <v>749</v>
      </c>
      <c r="D211" s="347" t="e">
        <f t="shared" ref="D211" si="449">D182+D$184*AD182/100</f>
        <v>#REF!</v>
      </c>
      <c r="E211" s="347" t="e">
        <f t="shared" si="427"/>
        <v>#REF!</v>
      </c>
      <c r="F211" s="347" t="e">
        <f t="shared" si="428"/>
        <v>#REF!</v>
      </c>
      <c r="G211" s="348" t="e">
        <f t="shared" si="404"/>
        <v>#REF!</v>
      </c>
      <c r="H211" s="347">
        <f t="shared" si="405"/>
        <v>0</v>
      </c>
      <c r="I211" s="347">
        <f t="shared" si="406"/>
        <v>0</v>
      </c>
      <c r="J211" s="347">
        <f t="shared" si="407"/>
        <v>0</v>
      </c>
      <c r="K211" s="348">
        <f t="shared" si="408"/>
        <v>0</v>
      </c>
      <c r="L211" s="1045"/>
      <c r="M211" s="1045"/>
      <c r="N211" s="347">
        <f t="shared" si="409"/>
        <v>0</v>
      </c>
      <c r="O211" s="347">
        <f t="shared" si="410"/>
        <v>0</v>
      </c>
      <c r="P211" s="347">
        <f t="shared" si="411"/>
        <v>0</v>
      </c>
      <c r="Q211" s="348">
        <f t="shared" si="412"/>
        <v>0</v>
      </c>
      <c r="R211" s="347">
        <f t="shared" si="413"/>
        <v>0</v>
      </c>
      <c r="S211" s="347">
        <f t="shared" si="414"/>
        <v>0</v>
      </c>
      <c r="T211" s="347">
        <f t="shared" si="415"/>
        <v>0</v>
      </c>
      <c r="U211" s="348">
        <f t="shared" si="416"/>
        <v>0</v>
      </c>
      <c r="V211" s="347">
        <f t="shared" si="417"/>
        <v>0</v>
      </c>
      <c r="W211" s="347">
        <f t="shared" si="418"/>
        <v>0</v>
      </c>
      <c r="X211" s="347">
        <f t="shared" si="419"/>
        <v>0</v>
      </c>
      <c r="Y211" s="348">
        <f t="shared" si="420"/>
        <v>0</v>
      </c>
      <c r="Z211" s="347" t="e">
        <f t="shared" si="421"/>
        <v>#REF!</v>
      </c>
      <c r="AA211" s="347" t="e">
        <f t="shared" si="422"/>
        <v>#REF!</v>
      </c>
      <c r="AB211" s="347" t="e">
        <f t="shared" si="423"/>
        <v>#REF!</v>
      </c>
      <c r="AC211" s="348" t="e">
        <f t="shared" si="424"/>
        <v>#REF!</v>
      </c>
      <c r="AD211" s="726" t="e">
        <f t="shared" si="429"/>
        <v>#REF!</v>
      </c>
      <c r="AE211" s="726" t="e">
        <f t="shared" si="430"/>
        <v>#REF!</v>
      </c>
      <c r="AF211" s="726" t="e">
        <f t="shared" si="431"/>
        <v>#REF!</v>
      </c>
      <c r="AG211" s="727" t="e">
        <f t="shared" si="432"/>
        <v>#REF!</v>
      </c>
    </row>
    <row r="212" spans="1:33" ht="15.75" hidden="1">
      <c r="A212" s="349"/>
      <c r="B212" s="349" t="s">
        <v>809</v>
      </c>
      <c r="C212" s="350"/>
      <c r="D212" s="351" t="e">
        <f t="shared" ref="D212:AC212" si="450">SUM(D193:D211)</f>
        <v>#REF!</v>
      </c>
      <c r="E212" s="351" t="e">
        <f t="shared" si="450"/>
        <v>#REF!</v>
      </c>
      <c r="F212" s="351" t="e">
        <f t="shared" si="450"/>
        <v>#REF!</v>
      </c>
      <c r="G212" s="352" t="e">
        <f t="shared" si="450"/>
        <v>#REF!</v>
      </c>
      <c r="H212" s="351">
        <f t="shared" si="450"/>
        <v>0</v>
      </c>
      <c r="I212" s="351">
        <f t="shared" si="450"/>
        <v>0</v>
      </c>
      <c r="J212" s="351">
        <f t="shared" si="450"/>
        <v>0</v>
      </c>
      <c r="K212" s="352">
        <f t="shared" si="450"/>
        <v>0</v>
      </c>
      <c r="L212" s="1047"/>
      <c r="M212" s="1047"/>
      <c r="N212" s="351">
        <f t="shared" si="450"/>
        <v>0</v>
      </c>
      <c r="O212" s="351">
        <f t="shared" si="450"/>
        <v>0</v>
      </c>
      <c r="P212" s="351">
        <f t="shared" si="450"/>
        <v>0</v>
      </c>
      <c r="Q212" s="352">
        <f t="shared" si="450"/>
        <v>0</v>
      </c>
      <c r="R212" s="351">
        <f t="shared" si="450"/>
        <v>0</v>
      </c>
      <c r="S212" s="351">
        <f t="shared" si="450"/>
        <v>0</v>
      </c>
      <c r="T212" s="351">
        <f t="shared" si="450"/>
        <v>0</v>
      </c>
      <c r="U212" s="352">
        <f t="shared" si="450"/>
        <v>0</v>
      </c>
      <c r="V212" s="351">
        <f t="shared" si="450"/>
        <v>0</v>
      </c>
      <c r="W212" s="351">
        <f t="shared" si="450"/>
        <v>0</v>
      </c>
      <c r="X212" s="351">
        <f t="shared" si="450"/>
        <v>0</v>
      </c>
      <c r="Y212" s="352">
        <f t="shared" si="450"/>
        <v>0</v>
      </c>
      <c r="Z212" s="351" t="e">
        <f t="shared" si="450"/>
        <v>#REF!</v>
      </c>
      <c r="AA212" s="351" t="e">
        <f t="shared" si="450"/>
        <v>#REF!</v>
      </c>
      <c r="AB212" s="351" t="e">
        <f t="shared" si="450"/>
        <v>#REF!</v>
      </c>
      <c r="AC212" s="352" t="e">
        <f t="shared" si="450"/>
        <v>#REF!</v>
      </c>
      <c r="AD212" s="727" t="e">
        <f t="shared" si="429"/>
        <v>#REF!</v>
      </c>
      <c r="AE212" s="727" t="e">
        <f t="shared" si="430"/>
        <v>#REF!</v>
      </c>
      <c r="AF212" s="727" t="e">
        <f t="shared" si="431"/>
        <v>#REF!</v>
      </c>
      <c r="AG212" s="727" t="e">
        <f t="shared" si="432"/>
        <v>#REF!</v>
      </c>
    </row>
    <row r="213" spans="1:33" hidden="1"/>
    <row r="214" spans="1:33" hidden="1">
      <c r="A214" s="478"/>
      <c r="B214" s="479" t="s">
        <v>26</v>
      </c>
      <c r="C214" s="480"/>
      <c r="D214" s="481" t="e">
        <f t="shared" ref="D214:K214" si="451">D131-D212</f>
        <v>#REF!</v>
      </c>
      <c r="E214" s="481" t="e">
        <f t="shared" si="451"/>
        <v>#REF!</v>
      </c>
      <c r="F214" s="481" t="e">
        <f t="shared" si="451"/>
        <v>#REF!</v>
      </c>
      <c r="G214" s="481" t="e">
        <f t="shared" si="451"/>
        <v>#REF!</v>
      </c>
      <c r="H214" s="481">
        <f t="shared" si="451"/>
        <v>6712710</v>
      </c>
      <c r="I214" s="481">
        <f t="shared" si="451"/>
        <v>7448630</v>
      </c>
      <c r="J214" s="481">
        <f t="shared" si="451"/>
        <v>7525690</v>
      </c>
      <c r="K214" s="481">
        <f t="shared" si="451"/>
        <v>21687030</v>
      </c>
      <c r="L214" s="481"/>
      <c r="M214" s="481"/>
      <c r="N214" s="481">
        <f t="shared" ref="N214:AC214" si="452">M131-N212</f>
        <v>3020631</v>
      </c>
      <c r="O214" s="481">
        <f t="shared" si="452"/>
        <v>5251849.0999999996</v>
      </c>
      <c r="P214" s="481">
        <f t="shared" si="452"/>
        <v>3634252.7798938667</v>
      </c>
      <c r="Q214" s="481">
        <f t="shared" si="452"/>
        <v>13225960.479893865</v>
      </c>
      <c r="R214" s="481">
        <f t="shared" si="452"/>
        <v>5797015.3300000001</v>
      </c>
      <c r="S214" s="481">
        <f t="shared" si="452"/>
        <v>5822753.4253735365</v>
      </c>
      <c r="T214" s="481">
        <f t="shared" si="452"/>
        <v>4931114.370949191</v>
      </c>
      <c r="U214" s="481">
        <f t="shared" si="452"/>
        <v>16550883.12632273</v>
      </c>
      <c r="V214" s="481">
        <f t="shared" si="452"/>
        <v>10136873.93</v>
      </c>
      <c r="W214" s="481">
        <f t="shared" si="452"/>
        <v>11074602.525373537</v>
      </c>
      <c r="X214" s="481">
        <f t="shared" si="452"/>
        <v>8565367.1508430578</v>
      </c>
      <c r="Y214" s="481">
        <f t="shared" si="452"/>
        <v>29776843.606216595</v>
      </c>
      <c r="Z214" s="481" t="e">
        <f t="shared" si="452"/>
        <v>#REF!</v>
      </c>
      <c r="AA214" s="481" t="e">
        <f t="shared" si="452"/>
        <v>#REF!</v>
      </c>
      <c r="AB214" s="481" t="e">
        <f t="shared" si="452"/>
        <v>#REF!</v>
      </c>
      <c r="AC214" s="481" t="e">
        <f t="shared" si="452"/>
        <v>#REF!</v>
      </c>
      <c r="AD214" s="481"/>
      <c r="AE214" s="481"/>
      <c r="AF214" s="481"/>
      <c r="AG214" s="481"/>
    </row>
    <row r="215" spans="1:33" hidden="1"/>
    <row r="216" spans="1:33" ht="15.75" hidden="1">
      <c r="A216" s="484" t="s">
        <v>49</v>
      </c>
      <c r="B216" s="357" t="s">
        <v>1031</v>
      </c>
      <c r="C216" s="358"/>
    </row>
    <row r="217" spans="1:33" hidden="1">
      <c r="C217" s="358"/>
    </row>
    <row r="218" spans="1:33" ht="15.6" hidden="1" customHeight="1">
      <c r="A218" s="1762" t="s">
        <v>243</v>
      </c>
      <c r="B218" s="1762" t="s">
        <v>1032</v>
      </c>
      <c r="C218" s="1762"/>
      <c r="D218" s="1758" t="str">
        <f>D8</f>
        <v>Total funding needs</v>
      </c>
      <c r="E218" s="1759"/>
      <c r="F218" s="1759"/>
      <c r="G218" s="1761"/>
      <c r="H218" s="1758" t="str">
        <f>H8</f>
        <v>Government funding</v>
      </c>
      <c r="I218" s="1759"/>
      <c r="J218" s="1759"/>
      <c r="K218" s="1761"/>
      <c r="L218" s="1041"/>
      <c r="M218" s="1041"/>
      <c r="N218" s="1758" t="str">
        <f>M8</f>
        <v xml:space="preserve">External funding: Global Fund </v>
      </c>
      <c r="O218" s="1759"/>
      <c r="P218" s="1759"/>
      <c r="Q218" s="1761"/>
      <c r="R218" s="1758" t="str">
        <f>Q8</f>
        <v>External funding: other partners</v>
      </c>
      <c r="S218" s="1759"/>
      <c r="T218" s="1759"/>
      <c r="U218" s="1761"/>
      <c r="V218" s="1758" t="str">
        <f>U8</f>
        <v>External funding: TOTAL</v>
      </c>
      <c r="W218" s="1759"/>
      <c r="X218" s="1759"/>
      <c r="Y218" s="1761"/>
      <c r="Z218" s="1758" t="str">
        <f>Y8</f>
        <v>Funding gap</v>
      </c>
      <c r="AA218" s="1759"/>
      <c r="AB218" s="1759"/>
      <c r="AC218" s="1761"/>
      <c r="AD218" s="1777" t="s">
        <v>1634</v>
      </c>
      <c r="AE218" s="1778"/>
      <c r="AF218" s="1778"/>
      <c r="AG218" s="1779"/>
    </row>
    <row r="219" spans="1:33" ht="28.9" hidden="1" customHeight="1">
      <c r="A219" s="1763"/>
      <c r="B219" s="1763"/>
      <c r="C219" s="1763"/>
      <c r="D219" s="334" t="s">
        <v>995</v>
      </c>
      <c r="E219" s="334" t="s">
        <v>996</v>
      </c>
      <c r="F219" s="334" t="s">
        <v>997</v>
      </c>
      <c r="G219" s="335" t="s">
        <v>4</v>
      </c>
      <c r="H219" s="334" t="s">
        <v>995</v>
      </c>
      <c r="I219" s="334" t="s">
        <v>996</v>
      </c>
      <c r="J219" s="334" t="s">
        <v>997</v>
      </c>
      <c r="K219" s="335" t="s">
        <v>4</v>
      </c>
      <c r="L219" s="1042"/>
      <c r="M219" s="1042"/>
      <c r="N219" s="334" t="s">
        <v>995</v>
      </c>
      <c r="O219" s="334" t="s">
        <v>996</v>
      </c>
      <c r="P219" s="334" t="s">
        <v>997</v>
      </c>
      <c r="Q219" s="335" t="s">
        <v>4</v>
      </c>
      <c r="R219" s="334" t="s">
        <v>995</v>
      </c>
      <c r="S219" s="334" t="s">
        <v>996</v>
      </c>
      <c r="T219" s="334" t="s">
        <v>997</v>
      </c>
      <c r="U219" s="335" t="s">
        <v>4</v>
      </c>
      <c r="V219" s="334" t="s">
        <v>995</v>
      </c>
      <c r="W219" s="334" t="s">
        <v>996</v>
      </c>
      <c r="X219" s="334" t="s">
        <v>997</v>
      </c>
      <c r="Y219" s="335" t="s">
        <v>4</v>
      </c>
      <c r="Z219" s="334" t="s">
        <v>995</v>
      </c>
      <c r="AA219" s="334" t="s">
        <v>996</v>
      </c>
      <c r="AB219" s="334" t="s">
        <v>997</v>
      </c>
      <c r="AC219" s="335" t="s">
        <v>4</v>
      </c>
      <c r="AD219" s="728" t="str">
        <f>Z219</f>
        <v>Year 1 (2015)</v>
      </c>
      <c r="AE219" s="728" t="str">
        <f>AA219</f>
        <v>Year 2 (2016)</v>
      </c>
      <c r="AF219" s="728" t="str">
        <f>AB219</f>
        <v>Year 3 (2017)</v>
      </c>
      <c r="AG219" s="730" t="str">
        <f>AC219</f>
        <v>Total</v>
      </c>
    </row>
    <row r="220" spans="1:33" hidden="1">
      <c r="A220" s="344">
        <v>1</v>
      </c>
      <c r="B220" s="345" t="s">
        <v>1013</v>
      </c>
      <c r="C220" s="365" t="s">
        <v>998</v>
      </c>
      <c r="D220" s="347" t="e">
        <f>SUM(D194)</f>
        <v>#REF!</v>
      </c>
      <c r="E220" s="347" t="e">
        <f t="shared" ref="E220:F220" si="453">SUM(E194)</f>
        <v>#REF!</v>
      </c>
      <c r="F220" s="347" t="e">
        <f t="shared" si="453"/>
        <v>#REF!</v>
      </c>
      <c r="G220" s="348" t="e">
        <f t="shared" ref="G220:G229" si="454">SUM(D220:F220)</f>
        <v>#REF!</v>
      </c>
      <c r="H220" s="347">
        <f>SUM(H194)</f>
        <v>0</v>
      </c>
      <c r="I220" s="347">
        <f t="shared" ref="I220:J220" si="455">SUM(I194)</f>
        <v>0</v>
      </c>
      <c r="J220" s="347">
        <f t="shared" si="455"/>
        <v>0</v>
      </c>
      <c r="K220" s="348">
        <f t="shared" ref="K220:K229" si="456">SUM(H220:J220)</f>
        <v>0</v>
      </c>
      <c r="L220" s="1045"/>
      <c r="M220" s="1045"/>
      <c r="N220" s="347">
        <f>SUM(N194)</f>
        <v>0</v>
      </c>
      <c r="O220" s="347">
        <f t="shared" ref="O220:P220" si="457">SUM(O194)</f>
        <v>0</v>
      </c>
      <c r="P220" s="347">
        <f t="shared" si="457"/>
        <v>0</v>
      </c>
      <c r="Q220" s="348">
        <f t="shared" ref="Q220:Q229" si="458">SUM(N220:P220)</f>
        <v>0</v>
      </c>
      <c r="R220" s="347">
        <f>SUM(R194)</f>
        <v>0</v>
      </c>
      <c r="S220" s="347">
        <f t="shared" ref="S220:T220" si="459">SUM(S194)</f>
        <v>0</v>
      </c>
      <c r="T220" s="347">
        <f t="shared" si="459"/>
        <v>0</v>
      </c>
      <c r="U220" s="348">
        <f t="shared" ref="U220:U229" si="460">SUM(R220:T220)</f>
        <v>0</v>
      </c>
      <c r="V220" s="347">
        <f>SUM(V194)</f>
        <v>0</v>
      </c>
      <c r="W220" s="347">
        <f t="shared" ref="W220:X220" si="461">SUM(W194)</f>
        <v>0</v>
      </c>
      <c r="X220" s="347">
        <f t="shared" si="461"/>
        <v>0</v>
      </c>
      <c r="Y220" s="348">
        <f t="shared" ref="Y220:Y229" si="462">SUM(V220:X220)</f>
        <v>0</v>
      </c>
      <c r="Z220" s="347" t="e">
        <f t="shared" ref="Z220:Z229" si="463">D220-(H220+V220)</f>
        <v>#REF!</v>
      </c>
      <c r="AA220" s="347" t="e">
        <f t="shared" ref="AA220:AA229" si="464">E220-(I220+W220)</f>
        <v>#REF!</v>
      </c>
      <c r="AB220" s="347" t="e">
        <f t="shared" ref="AB220:AB229" si="465">F220-(J220+X220)</f>
        <v>#REF!</v>
      </c>
      <c r="AC220" s="348" t="e">
        <f t="shared" ref="AC220:AC229" si="466">SUM(Z220:AB220)</f>
        <v>#REF!</v>
      </c>
      <c r="AD220" s="726" t="e">
        <f t="shared" ref="AD220:AD230" si="467">D220/D$230%</f>
        <v>#REF!</v>
      </c>
      <c r="AE220" s="726" t="e">
        <f t="shared" ref="AE220:AE230" si="468">E220/E$230%</f>
        <v>#REF!</v>
      </c>
      <c r="AF220" s="726" t="e">
        <f t="shared" ref="AF220:AF230" si="469">F220/F$230%</f>
        <v>#REF!</v>
      </c>
      <c r="AG220" s="727" t="e">
        <f t="shared" ref="AG220:AG230" si="470">G220/G$230%</f>
        <v>#REF!</v>
      </c>
    </row>
    <row r="221" spans="1:33" ht="30" hidden="1">
      <c r="A221" s="344">
        <v>2</v>
      </c>
      <c r="B221" s="740" t="s">
        <v>1677</v>
      </c>
      <c r="C221" s="365" t="s">
        <v>1033</v>
      </c>
      <c r="D221" s="347" t="e">
        <f>SUM(D195,D196,D197,D198,D210)</f>
        <v>#REF!</v>
      </c>
      <c r="E221" s="347" t="e">
        <f t="shared" ref="E221:F221" si="471">SUM(E195,E196,E197,E198,E210)</f>
        <v>#REF!</v>
      </c>
      <c r="F221" s="347" t="e">
        <f t="shared" si="471"/>
        <v>#REF!</v>
      </c>
      <c r="G221" s="348" t="e">
        <f t="shared" si="454"/>
        <v>#REF!</v>
      </c>
      <c r="H221" s="347">
        <f>SUM(H195,H196,H197,H198,H210)</f>
        <v>0</v>
      </c>
      <c r="I221" s="347">
        <f t="shared" ref="I221:J221" si="472">SUM(I195,I196,I197,I198,I210)</f>
        <v>0</v>
      </c>
      <c r="J221" s="347">
        <f t="shared" si="472"/>
        <v>0</v>
      </c>
      <c r="K221" s="348">
        <f t="shared" si="456"/>
        <v>0</v>
      </c>
      <c r="L221" s="1045"/>
      <c r="M221" s="1045"/>
      <c r="N221" s="347">
        <f>SUM(N195,N196,N197,N198,N210)</f>
        <v>0</v>
      </c>
      <c r="O221" s="347">
        <f t="shared" ref="O221:P221" si="473">SUM(O195,O196,O197,O198,O210)</f>
        <v>0</v>
      </c>
      <c r="P221" s="347">
        <f t="shared" si="473"/>
        <v>0</v>
      </c>
      <c r="Q221" s="348">
        <f t="shared" si="458"/>
        <v>0</v>
      </c>
      <c r="R221" s="347">
        <f>SUM(R195,R196,R197,R198,R210)</f>
        <v>0</v>
      </c>
      <c r="S221" s="347">
        <f t="shared" ref="S221:T221" si="474">SUM(S195,S196,S197,S198,S210)</f>
        <v>0</v>
      </c>
      <c r="T221" s="347">
        <f t="shared" si="474"/>
        <v>0</v>
      </c>
      <c r="U221" s="348">
        <f t="shared" si="460"/>
        <v>0</v>
      </c>
      <c r="V221" s="347">
        <f>SUM(V195,V196,V197,V198,V210)</f>
        <v>0</v>
      </c>
      <c r="W221" s="347">
        <f t="shared" ref="W221:X221" si="475">SUM(W195,W196,W197,W198,W210)</f>
        <v>0</v>
      </c>
      <c r="X221" s="347">
        <f t="shared" si="475"/>
        <v>0</v>
      </c>
      <c r="Y221" s="348">
        <f t="shared" si="462"/>
        <v>0</v>
      </c>
      <c r="Z221" s="347" t="e">
        <f t="shared" si="463"/>
        <v>#REF!</v>
      </c>
      <c r="AA221" s="347" t="e">
        <f t="shared" si="464"/>
        <v>#REF!</v>
      </c>
      <c r="AB221" s="347" t="e">
        <f t="shared" si="465"/>
        <v>#REF!</v>
      </c>
      <c r="AC221" s="348" t="e">
        <f t="shared" si="466"/>
        <v>#REF!</v>
      </c>
      <c r="AD221" s="726" t="e">
        <f t="shared" si="467"/>
        <v>#REF!</v>
      </c>
      <c r="AE221" s="726" t="e">
        <f t="shared" si="468"/>
        <v>#REF!</v>
      </c>
      <c r="AF221" s="726" t="e">
        <f t="shared" si="469"/>
        <v>#REF!</v>
      </c>
      <c r="AG221" s="727" t="e">
        <f t="shared" si="470"/>
        <v>#REF!</v>
      </c>
    </row>
    <row r="222" spans="1:33" hidden="1">
      <c r="A222" s="344">
        <v>3</v>
      </c>
      <c r="B222" s="740" t="s">
        <v>1678</v>
      </c>
      <c r="C222" s="365" t="s">
        <v>1675</v>
      </c>
      <c r="D222" s="347" t="e">
        <f>SUM(D199,D200,D203)</f>
        <v>#REF!</v>
      </c>
      <c r="E222" s="347" t="e">
        <f t="shared" ref="E222:F222" si="476">SUM(E199,E200,E203)</f>
        <v>#REF!</v>
      </c>
      <c r="F222" s="347" t="e">
        <f t="shared" si="476"/>
        <v>#REF!</v>
      </c>
      <c r="G222" s="348" t="e">
        <f t="shared" si="454"/>
        <v>#REF!</v>
      </c>
      <c r="H222" s="347">
        <f>SUM(H199,H200,H203)</f>
        <v>0</v>
      </c>
      <c r="I222" s="347">
        <f t="shared" ref="I222:J222" si="477">SUM(I199,I200,I203)</f>
        <v>0</v>
      </c>
      <c r="J222" s="347">
        <f t="shared" si="477"/>
        <v>0</v>
      </c>
      <c r="K222" s="348">
        <f t="shared" si="456"/>
        <v>0</v>
      </c>
      <c r="L222" s="1045"/>
      <c r="M222" s="1045"/>
      <c r="N222" s="347">
        <f>SUM(N199,N200,N203)</f>
        <v>0</v>
      </c>
      <c r="O222" s="347">
        <f t="shared" ref="O222:P222" si="478">SUM(O199,O200,O203)</f>
        <v>0</v>
      </c>
      <c r="P222" s="347">
        <f t="shared" si="478"/>
        <v>0</v>
      </c>
      <c r="Q222" s="348">
        <f t="shared" si="458"/>
        <v>0</v>
      </c>
      <c r="R222" s="347">
        <f>SUM(R199,R200,R203)</f>
        <v>0</v>
      </c>
      <c r="S222" s="347">
        <f t="shared" ref="S222:T222" si="479">SUM(S199,S200,S203)</f>
        <v>0</v>
      </c>
      <c r="T222" s="347">
        <f t="shared" si="479"/>
        <v>0</v>
      </c>
      <c r="U222" s="348">
        <f t="shared" si="460"/>
        <v>0</v>
      </c>
      <c r="V222" s="347">
        <f>SUM(V199,V200,V203)</f>
        <v>0</v>
      </c>
      <c r="W222" s="347">
        <f t="shared" ref="W222:X222" si="480">SUM(W199,W200,W203)</f>
        <v>0</v>
      </c>
      <c r="X222" s="347">
        <f t="shared" si="480"/>
        <v>0</v>
      </c>
      <c r="Y222" s="348">
        <f t="shared" si="462"/>
        <v>0</v>
      </c>
      <c r="Z222" s="347" t="e">
        <f t="shared" si="463"/>
        <v>#REF!</v>
      </c>
      <c r="AA222" s="347" t="e">
        <f t="shared" si="464"/>
        <v>#REF!</v>
      </c>
      <c r="AB222" s="347" t="e">
        <f t="shared" si="465"/>
        <v>#REF!</v>
      </c>
      <c r="AC222" s="348" t="e">
        <f t="shared" si="466"/>
        <v>#REF!</v>
      </c>
      <c r="AD222" s="726" t="e">
        <f t="shared" si="467"/>
        <v>#REF!</v>
      </c>
      <c r="AE222" s="726" t="e">
        <f t="shared" si="468"/>
        <v>#REF!</v>
      </c>
      <c r="AF222" s="726" t="e">
        <f t="shared" si="469"/>
        <v>#REF!</v>
      </c>
      <c r="AG222" s="727" t="e">
        <f t="shared" si="470"/>
        <v>#REF!</v>
      </c>
    </row>
    <row r="223" spans="1:33" hidden="1">
      <c r="A223" s="344">
        <v>4</v>
      </c>
      <c r="B223" s="345" t="s">
        <v>1034</v>
      </c>
      <c r="C223" s="365" t="s">
        <v>1676</v>
      </c>
      <c r="D223" s="347" t="e">
        <f>SUM(D201,D202)</f>
        <v>#REF!</v>
      </c>
      <c r="E223" s="347" t="e">
        <f t="shared" ref="E223:F223" si="481">SUM(E201,E202)</f>
        <v>#REF!</v>
      </c>
      <c r="F223" s="347" t="e">
        <f t="shared" si="481"/>
        <v>#REF!</v>
      </c>
      <c r="G223" s="348" t="e">
        <f t="shared" si="454"/>
        <v>#REF!</v>
      </c>
      <c r="H223" s="347">
        <f>SUM(H201,H202)</f>
        <v>0</v>
      </c>
      <c r="I223" s="347">
        <f t="shared" ref="I223:J223" si="482">SUM(I201,I202)</f>
        <v>0</v>
      </c>
      <c r="J223" s="347">
        <f t="shared" si="482"/>
        <v>0</v>
      </c>
      <c r="K223" s="348">
        <f t="shared" si="456"/>
        <v>0</v>
      </c>
      <c r="L223" s="1045"/>
      <c r="M223" s="1045"/>
      <c r="N223" s="347">
        <f>SUM(N201,N202)</f>
        <v>0</v>
      </c>
      <c r="O223" s="347">
        <f t="shared" ref="O223:P223" si="483">SUM(O201,O202)</f>
        <v>0</v>
      </c>
      <c r="P223" s="347">
        <f t="shared" si="483"/>
        <v>0</v>
      </c>
      <c r="Q223" s="348">
        <f t="shared" si="458"/>
        <v>0</v>
      </c>
      <c r="R223" s="347">
        <f>SUM(R201,R202)</f>
        <v>0</v>
      </c>
      <c r="S223" s="347">
        <f t="shared" ref="S223:T223" si="484">SUM(S201,S202)</f>
        <v>0</v>
      </c>
      <c r="T223" s="347">
        <f t="shared" si="484"/>
        <v>0</v>
      </c>
      <c r="U223" s="348">
        <f t="shared" si="460"/>
        <v>0</v>
      </c>
      <c r="V223" s="347">
        <f>SUM(V201,V202)</f>
        <v>0</v>
      </c>
      <c r="W223" s="347">
        <f t="shared" ref="W223:X223" si="485">SUM(W201,W202)</f>
        <v>0</v>
      </c>
      <c r="X223" s="347">
        <f t="shared" si="485"/>
        <v>0</v>
      </c>
      <c r="Y223" s="348">
        <f t="shared" si="462"/>
        <v>0</v>
      </c>
      <c r="Z223" s="347" t="e">
        <f t="shared" si="463"/>
        <v>#REF!</v>
      </c>
      <c r="AA223" s="347" t="e">
        <f t="shared" si="464"/>
        <v>#REF!</v>
      </c>
      <c r="AB223" s="347" t="e">
        <f t="shared" si="465"/>
        <v>#REF!</v>
      </c>
      <c r="AC223" s="348" t="e">
        <f t="shared" si="466"/>
        <v>#REF!</v>
      </c>
      <c r="AD223" s="726" t="e">
        <f t="shared" si="467"/>
        <v>#REF!</v>
      </c>
      <c r="AE223" s="726" t="e">
        <f t="shared" si="468"/>
        <v>#REF!</v>
      </c>
      <c r="AF223" s="726" t="e">
        <f t="shared" si="469"/>
        <v>#REF!</v>
      </c>
      <c r="AG223" s="727" t="e">
        <f t="shared" si="470"/>
        <v>#REF!</v>
      </c>
    </row>
    <row r="224" spans="1:33" hidden="1">
      <c r="A224" s="344">
        <v>5</v>
      </c>
      <c r="B224" s="740" t="s">
        <v>1025</v>
      </c>
      <c r="C224" s="365" t="s">
        <v>1632</v>
      </c>
      <c r="D224" s="347" t="e">
        <f>SUM(D206)</f>
        <v>#REF!</v>
      </c>
      <c r="E224" s="347" t="e">
        <f t="shared" ref="E224:F224" si="486">SUM(E206)</f>
        <v>#REF!</v>
      </c>
      <c r="F224" s="347" t="e">
        <f t="shared" si="486"/>
        <v>#REF!</v>
      </c>
      <c r="G224" s="348" t="e">
        <f t="shared" si="454"/>
        <v>#REF!</v>
      </c>
      <c r="H224" s="347">
        <f>SUM(H206)</f>
        <v>0</v>
      </c>
      <c r="I224" s="347">
        <f t="shared" ref="I224:J224" si="487">SUM(I206)</f>
        <v>0</v>
      </c>
      <c r="J224" s="347">
        <f t="shared" si="487"/>
        <v>0</v>
      </c>
      <c r="K224" s="348">
        <f t="shared" si="456"/>
        <v>0</v>
      </c>
      <c r="L224" s="1045"/>
      <c r="M224" s="1045"/>
      <c r="N224" s="347">
        <f>SUM(N206)</f>
        <v>0</v>
      </c>
      <c r="O224" s="347">
        <f t="shared" ref="O224:P224" si="488">SUM(O206)</f>
        <v>0</v>
      </c>
      <c r="P224" s="347">
        <f t="shared" si="488"/>
        <v>0</v>
      </c>
      <c r="Q224" s="348">
        <f t="shared" si="458"/>
        <v>0</v>
      </c>
      <c r="R224" s="347">
        <f>SUM(R206)</f>
        <v>0</v>
      </c>
      <c r="S224" s="347">
        <f t="shared" ref="S224:T224" si="489">SUM(S206)</f>
        <v>0</v>
      </c>
      <c r="T224" s="347">
        <f t="shared" si="489"/>
        <v>0</v>
      </c>
      <c r="U224" s="348">
        <f t="shared" si="460"/>
        <v>0</v>
      </c>
      <c r="V224" s="347">
        <f>SUM(V206)</f>
        <v>0</v>
      </c>
      <c r="W224" s="347">
        <f t="shared" ref="W224:X224" si="490">SUM(W206)</f>
        <v>0</v>
      </c>
      <c r="X224" s="347">
        <f t="shared" si="490"/>
        <v>0</v>
      </c>
      <c r="Y224" s="348">
        <f t="shared" si="462"/>
        <v>0</v>
      </c>
      <c r="Z224" s="347" t="e">
        <f t="shared" si="463"/>
        <v>#REF!</v>
      </c>
      <c r="AA224" s="347" t="e">
        <f t="shared" si="464"/>
        <v>#REF!</v>
      </c>
      <c r="AB224" s="347" t="e">
        <f t="shared" si="465"/>
        <v>#REF!</v>
      </c>
      <c r="AC224" s="348" t="e">
        <f t="shared" si="466"/>
        <v>#REF!</v>
      </c>
      <c r="AD224" s="726" t="e">
        <f t="shared" si="467"/>
        <v>#REF!</v>
      </c>
      <c r="AE224" s="726" t="e">
        <f t="shared" si="468"/>
        <v>#REF!</v>
      </c>
      <c r="AF224" s="726" t="e">
        <f t="shared" si="469"/>
        <v>#REF!</v>
      </c>
      <c r="AG224" s="727" t="e">
        <f t="shared" si="470"/>
        <v>#REF!</v>
      </c>
    </row>
    <row r="225" spans="1:33" ht="30" hidden="1">
      <c r="A225" s="344">
        <v>6</v>
      </c>
      <c r="B225" s="345" t="s">
        <v>1035</v>
      </c>
      <c r="C225" s="365" t="s">
        <v>1036</v>
      </c>
      <c r="D225" s="347" t="e">
        <f>SUM(D193,D204,D205)</f>
        <v>#REF!</v>
      </c>
      <c r="E225" s="347" t="e">
        <f>SUM(E193,E204,E205)</f>
        <v>#REF!</v>
      </c>
      <c r="F225" s="347" t="e">
        <f>SUM(F193,F204,F205)</f>
        <v>#REF!</v>
      </c>
      <c r="G225" s="348" t="e">
        <f t="shared" si="454"/>
        <v>#REF!</v>
      </c>
      <c r="H225" s="347">
        <f>SUM(H193,H204,H205)</f>
        <v>0</v>
      </c>
      <c r="I225" s="347">
        <f>SUM(I193,I204,I205)</f>
        <v>0</v>
      </c>
      <c r="J225" s="347">
        <f>SUM(J193,J204,J205)</f>
        <v>0</v>
      </c>
      <c r="K225" s="348">
        <f t="shared" si="456"/>
        <v>0</v>
      </c>
      <c r="L225" s="1045"/>
      <c r="M225" s="1045"/>
      <c r="N225" s="347">
        <f>SUM(N193,N204,N205)</f>
        <v>0</v>
      </c>
      <c r="O225" s="347">
        <f>SUM(O193,O204,O205)</f>
        <v>0</v>
      </c>
      <c r="P225" s="347">
        <f>SUM(P193,P204,P205)</f>
        <v>0</v>
      </c>
      <c r="Q225" s="348">
        <f t="shared" si="458"/>
        <v>0</v>
      </c>
      <c r="R225" s="347">
        <f>SUM(R193,R204,R205)</f>
        <v>0</v>
      </c>
      <c r="S225" s="347">
        <f>SUM(S193,S204,S205)</f>
        <v>0</v>
      </c>
      <c r="T225" s="347">
        <f>SUM(T193,T204,T205)</f>
        <v>0</v>
      </c>
      <c r="U225" s="348">
        <f t="shared" si="460"/>
        <v>0</v>
      </c>
      <c r="V225" s="347">
        <f>SUM(V193,V204,V205)</f>
        <v>0</v>
      </c>
      <c r="W225" s="347">
        <f>SUM(W193,W204,W205)</f>
        <v>0</v>
      </c>
      <c r="X225" s="347">
        <f>SUM(X193,X204,X205)</f>
        <v>0</v>
      </c>
      <c r="Y225" s="348">
        <f t="shared" si="462"/>
        <v>0</v>
      </c>
      <c r="Z225" s="347" t="e">
        <f t="shared" si="463"/>
        <v>#REF!</v>
      </c>
      <c r="AA225" s="347" t="e">
        <f t="shared" si="464"/>
        <v>#REF!</v>
      </c>
      <c r="AB225" s="347" t="e">
        <f t="shared" si="465"/>
        <v>#REF!</v>
      </c>
      <c r="AC225" s="348" t="e">
        <f t="shared" si="466"/>
        <v>#REF!</v>
      </c>
      <c r="AD225" s="726" t="e">
        <f t="shared" si="467"/>
        <v>#REF!</v>
      </c>
      <c r="AE225" s="726" t="e">
        <f t="shared" si="468"/>
        <v>#REF!</v>
      </c>
      <c r="AF225" s="726" t="e">
        <f t="shared" si="469"/>
        <v>#REF!</v>
      </c>
      <c r="AG225" s="727" t="e">
        <f t="shared" si="470"/>
        <v>#REF!</v>
      </c>
    </row>
    <row r="226" spans="1:33" hidden="1">
      <c r="A226" s="344">
        <v>7</v>
      </c>
      <c r="B226" s="345" t="s">
        <v>1026</v>
      </c>
      <c r="C226" s="365" t="s">
        <v>1007</v>
      </c>
      <c r="D226" s="347" t="e">
        <f t="shared" ref="D226:F228" si="491">SUM(D207)</f>
        <v>#REF!</v>
      </c>
      <c r="E226" s="347" t="e">
        <f t="shared" si="491"/>
        <v>#REF!</v>
      </c>
      <c r="F226" s="347" t="e">
        <f t="shared" si="491"/>
        <v>#REF!</v>
      </c>
      <c r="G226" s="348" t="e">
        <f t="shared" si="454"/>
        <v>#REF!</v>
      </c>
      <c r="H226" s="347">
        <f t="shared" ref="H226:J228" si="492">SUM(H207)</f>
        <v>0</v>
      </c>
      <c r="I226" s="347">
        <f t="shared" si="492"/>
        <v>0</v>
      </c>
      <c r="J226" s="347">
        <f t="shared" si="492"/>
        <v>0</v>
      </c>
      <c r="K226" s="348">
        <f t="shared" si="456"/>
        <v>0</v>
      </c>
      <c r="L226" s="1045"/>
      <c r="M226" s="1045"/>
      <c r="N226" s="347">
        <f t="shared" ref="N226:P228" si="493">SUM(N207)</f>
        <v>0</v>
      </c>
      <c r="O226" s="347">
        <f t="shared" si="493"/>
        <v>0</v>
      </c>
      <c r="P226" s="347">
        <f t="shared" si="493"/>
        <v>0</v>
      </c>
      <c r="Q226" s="348">
        <f t="shared" si="458"/>
        <v>0</v>
      </c>
      <c r="R226" s="347">
        <f t="shared" ref="R226:T228" si="494">SUM(R207)</f>
        <v>0</v>
      </c>
      <c r="S226" s="347">
        <f t="shared" si="494"/>
        <v>0</v>
      </c>
      <c r="T226" s="347">
        <f t="shared" si="494"/>
        <v>0</v>
      </c>
      <c r="U226" s="348">
        <f t="shared" si="460"/>
        <v>0</v>
      </c>
      <c r="V226" s="347">
        <f t="shared" ref="V226:X228" si="495">SUM(V207)</f>
        <v>0</v>
      </c>
      <c r="W226" s="347">
        <f t="shared" si="495"/>
        <v>0</v>
      </c>
      <c r="X226" s="347">
        <f t="shared" si="495"/>
        <v>0</v>
      </c>
      <c r="Y226" s="348">
        <f t="shared" si="462"/>
        <v>0</v>
      </c>
      <c r="Z226" s="347" t="e">
        <f t="shared" si="463"/>
        <v>#REF!</v>
      </c>
      <c r="AA226" s="347" t="e">
        <f t="shared" si="464"/>
        <v>#REF!</v>
      </c>
      <c r="AB226" s="347" t="e">
        <f t="shared" si="465"/>
        <v>#REF!</v>
      </c>
      <c r="AC226" s="348" t="e">
        <f t="shared" si="466"/>
        <v>#REF!</v>
      </c>
      <c r="AD226" s="726" t="e">
        <f t="shared" si="467"/>
        <v>#REF!</v>
      </c>
      <c r="AE226" s="726" t="e">
        <f t="shared" si="468"/>
        <v>#REF!</v>
      </c>
      <c r="AF226" s="726" t="e">
        <f t="shared" si="469"/>
        <v>#REF!</v>
      </c>
      <c r="AG226" s="727" t="e">
        <f t="shared" si="470"/>
        <v>#REF!</v>
      </c>
    </row>
    <row r="227" spans="1:33" hidden="1">
      <c r="A227" s="344">
        <v>8</v>
      </c>
      <c r="B227" s="345" t="s">
        <v>1027</v>
      </c>
      <c r="C227" s="365" t="s">
        <v>1006</v>
      </c>
      <c r="D227" s="347" t="e">
        <f t="shared" si="491"/>
        <v>#REF!</v>
      </c>
      <c r="E227" s="347" t="e">
        <f t="shared" si="491"/>
        <v>#REF!</v>
      </c>
      <c r="F227" s="347" t="e">
        <f t="shared" si="491"/>
        <v>#REF!</v>
      </c>
      <c r="G227" s="348" t="e">
        <f t="shared" si="454"/>
        <v>#REF!</v>
      </c>
      <c r="H227" s="347">
        <f t="shared" si="492"/>
        <v>0</v>
      </c>
      <c r="I227" s="347">
        <f t="shared" si="492"/>
        <v>0</v>
      </c>
      <c r="J227" s="347">
        <f t="shared" si="492"/>
        <v>0</v>
      </c>
      <c r="K227" s="348">
        <f t="shared" si="456"/>
        <v>0</v>
      </c>
      <c r="L227" s="1045"/>
      <c r="M227" s="1045"/>
      <c r="N227" s="347">
        <f t="shared" si="493"/>
        <v>0</v>
      </c>
      <c r="O227" s="347">
        <f t="shared" si="493"/>
        <v>0</v>
      </c>
      <c r="P227" s="347">
        <f t="shared" si="493"/>
        <v>0</v>
      </c>
      <c r="Q227" s="348">
        <f t="shared" si="458"/>
        <v>0</v>
      </c>
      <c r="R227" s="347">
        <f t="shared" si="494"/>
        <v>0</v>
      </c>
      <c r="S227" s="347">
        <f t="shared" si="494"/>
        <v>0</v>
      </c>
      <c r="T227" s="347">
        <f t="shared" si="494"/>
        <v>0</v>
      </c>
      <c r="U227" s="348">
        <f t="shared" si="460"/>
        <v>0</v>
      </c>
      <c r="V227" s="347">
        <f t="shared" si="495"/>
        <v>0</v>
      </c>
      <c r="W227" s="347">
        <f t="shared" si="495"/>
        <v>0</v>
      </c>
      <c r="X227" s="347">
        <f t="shared" si="495"/>
        <v>0</v>
      </c>
      <c r="Y227" s="348">
        <f t="shared" si="462"/>
        <v>0</v>
      </c>
      <c r="Z227" s="347" t="e">
        <f t="shared" si="463"/>
        <v>#REF!</v>
      </c>
      <c r="AA227" s="347" t="e">
        <f t="shared" si="464"/>
        <v>#REF!</v>
      </c>
      <c r="AB227" s="347" t="e">
        <f t="shared" si="465"/>
        <v>#REF!</v>
      </c>
      <c r="AC227" s="348" t="e">
        <f t="shared" si="466"/>
        <v>#REF!</v>
      </c>
      <c r="AD227" s="726" t="e">
        <f t="shared" si="467"/>
        <v>#REF!</v>
      </c>
      <c r="AE227" s="726" t="e">
        <f t="shared" si="468"/>
        <v>#REF!</v>
      </c>
      <c r="AF227" s="726" t="e">
        <f t="shared" si="469"/>
        <v>#REF!</v>
      </c>
      <c r="AG227" s="727" t="e">
        <f t="shared" si="470"/>
        <v>#REF!</v>
      </c>
    </row>
    <row r="228" spans="1:33" hidden="1">
      <c r="A228" s="344">
        <v>9</v>
      </c>
      <c r="B228" s="345" t="s">
        <v>1629</v>
      </c>
      <c r="C228" s="365" t="s">
        <v>752</v>
      </c>
      <c r="D228" s="347" t="e">
        <f t="shared" si="491"/>
        <v>#REF!</v>
      </c>
      <c r="E228" s="347" t="e">
        <f t="shared" si="491"/>
        <v>#REF!</v>
      </c>
      <c r="F228" s="347" t="e">
        <f t="shared" si="491"/>
        <v>#REF!</v>
      </c>
      <c r="G228" s="348" t="e">
        <f t="shared" si="454"/>
        <v>#REF!</v>
      </c>
      <c r="H228" s="347">
        <f t="shared" si="492"/>
        <v>0</v>
      </c>
      <c r="I228" s="347">
        <f t="shared" si="492"/>
        <v>0</v>
      </c>
      <c r="J228" s="347">
        <f t="shared" si="492"/>
        <v>0</v>
      </c>
      <c r="K228" s="348">
        <f t="shared" si="456"/>
        <v>0</v>
      </c>
      <c r="L228" s="1045"/>
      <c r="M228" s="1045"/>
      <c r="N228" s="347">
        <f t="shared" si="493"/>
        <v>0</v>
      </c>
      <c r="O228" s="347">
        <f t="shared" si="493"/>
        <v>0</v>
      </c>
      <c r="P228" s="347">
        <f t="shared" si="493"/>
        <v>0</v>
      </c>
      <c r="Q228" s="348">
        <f t="shared" si="458"/>
        <v>0</v>
      </c>
      <c r="R228" s="347">
        <f t="shared" si="494"/>
        <v>0</v>
      </c>
      <c r="S228" s="347">
        <f t="shared" si="494"/>
        <v>0</v>
      </c>
      <c r="T228" s="347">
        <f t="shared" si="494"/>
        <v>0</v>
      </c>
      <c r="U228" s="348">
        <f t="shared" si="460"/>
        <v>0</v>
      </c>
      <c r="V228" s="347">
        <f t="shared" si="495"/>
        <v>0</v>
      </c>
      <c r="W228" s="347">
        <f t="shared" si="495"/>
        <v>0</v>
      </c>
      <c r="X228" s="347">
        <f t="shared" si="495"/>
        <v>0</v>
      </c>
      <c r="Y228" s="348">
        <f t="shared" si="462"/>
        <v>0</v>
      </c>
      <c r="Z228" s="347" t="e">
        <f t="shared" si="463"/>
        <v>#REF!</v>
      </c>
      <c r="AA228" s="347" t="e">
        <f t="shared" si="464"/>
        <v>#REF!</v>
      </c>
      <c r="AB228" s="347" t="e">
        <f t="shared" si="465"/>
        <v>#REF!</v>
      </c>
      <c r="AC228" s="348" t="e">
        <f t="shared" si="466"/>
        <v>#REF!</v>
      </c>
      <c r="AD228" s="726" t="e">
        <f t="shared" si="467"/>
        <v>#REF!</v>
      </c>
      <c r="AE228" s="726" t="e">
        <f t="shared" si="468"/>
        <v>#REF!</v>
      </c>
      <c r="AF228" s="726" t="e">
        <f t="shared" si="469"/>
        <v>#REF!</v>
      </c>
      <c r="AG228" s="727" t="e">
        <f t="shared" si="470"/>
        <v>#REF!</v>
      </c>
    </row>
    <row r="229" spans="1:33" hidden="1">
      <c r="A229" s="344">
        <v>10</v>
      </c>
      <c r="B229" s="345" t="s">
        <v>1029</v>
      </c>
      <c r="C229" s="365" t="s">
        <v>749</v>
      </c>
      <c r="D229" s="347" t="e">
        <f>SUM(D211)</f>
        <v>#REF!</v>
      </c>
      <c r="E229" s="347" t="e">
        <f>SUM(E211)</f>
        <v>#REF!</v>
      </c>
      <c r="F229" s="347" t="e">
        <f>SUM(F211)</f>
        <v>#REF!</v>
      </c>
      <c r="G229" s="348" t="e">
        <f t="shared" si="454"/>
        <v>#REF!</v>
      </c>
      <c r="H229" s="347">
        <f>SUM(H211)</f>
        <v>0</v>
      </c>
      <c r="I229" s="347">
        <f>SUM(I211)</f>
        <v>0</v>
      </c>
      <c r="J229" s="347">
        <f>SUM(J211)</f>
        <v>0</v>
      </c>
      <c r="K229" s="348">
        <f t="shared" si="456"/>
        <v>0</v>
      </c>
      <c r="L229" s="1045"/>
      <c r="M229" s="1045"/>
      <c r="N229" s="347">
        <f>SUM(N211)</f>
        <v>0</v>
      </c>
      <c r="O229" s="347">
        <f>SUM(O211)</f>
        <v>0</v>
      </c>
      <c r="P229" s="347">
        <f>SUM(P211)</f>
        <v>0</v>
      </c>
      <c r="Q229" s="348">
        <f t="shared" si="458"/>
        <v>0</v>
      </c>
      <c r="R229" s="347">
        <f>SUM(R211)</f>
        <v>0</v>
      </c>
      <c r="S229" s="347">
        <f>SUM(S211)</f>
        <v>0</v>
      </c>
      <c r="T229" s="347">
        <f>SUM(T211)</f>
        <v>0</v>
      </c>
      <c r="U229" s="348">
        <f t="shared" si="460"/>
        <v>0</v>
      </c>
      <c r="V229" s="347">
        <f>SUM(V211)</f>
        <v>0</v>
      </c>
      <c r="W229" s="347">
        <f>SUM(W211)</f>
        <v>0</v>
      </c>
      <c r="X229" s="347">
        <f>SUM(X211)</f>
        <v>0</v>
      </c>
      <c r="Y229" s="348">
        <f t="shared" si="462"/>
        <v>0</v>
      </c>
      <c r="Z229" s="347" t="e">
        <f t="shared" si="463"/>
        <v>#REF!</v>
      </c>
      <c r="AA229" s="347" t="e">
        <f t="shared" si="464"/>
        <v>#REF!</v>
      </c>
      <c r="AB229" s="347" t="e">
        <f t="shared" si="465"/>
        <v>#REF!</v>
      </c>
      <c r="AC229" s="348" t="e">
        <f t="shared" si="466"/>
        <v>#REF!</v>
      </c>
      <c r="AD229" s="726" t="e">
        <f t="shared" si="467"/>
        <v>#REF!</v>
      </c>
      <c r="AE229" s="726" t="e">
        <f t="shared" si="468"/>
        <v>#REF!</v>
      </c>
      <c r="AF229" s="726" t="e">
        <f t="shared" si="469"/>
        <v>#REF!</v>
      </c>
      <c r="AG229" s="727" t="e">
        <f t="shared" si="470"/>
        <v>#REF!</v>
      </c>
    </row>
    <row r="230" spans="1:33" ht="15.75" hidden="1">
      <c r="A230" s="349"/>
      <c r="B230" s="349" t="s">
        <v>809</v>
      </c>
      <c r="C230" s="350"/>
      <c r="D230" s="351" t="e">
        <f t="shared" ref="D230:AC230" si="496">SUM(D220:D229)</f>
        <v>#REF!</v>
      </c>
      <c r="E230" s="351" t="e">
        <f t="shared" si="496"/>
        <v>#REF!</v>
      </c>
      <c r="F230" s="351" t="e">
        <f t="shared" si="496"/>
        <v>#REF!</v>
      </c>
      <c r="G230" s="352" t="e">
        <f t="shared" si="496"/>
        <v>#REF!</v>
      </c>
      <c r="H230" s="351">
        <f t="shared" si="496"/>
        <v>0</v>
      </c>
      <c r="I230" s="351">
        <f t="shared" si="496"/>
        <v>0</v>
      </c>
      <c r="J230" s="351">
        <f t="shared" si="496"/>
        <v>0</v>
      </c>
      <c r="K230" s="352">
        <f t="shared" si="496"/>
        <v>0</v>
      </c>
      <c r="L230" s="1047"/>
      <c r="M230" s="1047"/>
      <c r="N230" s="351">
        <f t="shared" si="496"/>
        <v>0</v>
      </c>
      <c r="O230" s="351">
        <f t="shared" si="496"/>
        <v>0</v>
      </c>
      <c r="P230" s="351">
        <f t="shared" si="496"/>
        <v>0</v>
      </c>
      <c r="Q230" s="352">
        <f t="shared" si="496"/>
        <v>0</v>
      </c>
      <c r="R230" s="351">
        <f t="shared" si="496"/>
        <v>0</v>
      </c>
      <c r="S230" s="351">
        <f t="shared" si="496"/>
        <v>0</v>
      </c>
      <c r="T230" s="351">
        <f t="shared" si="496"/>
        <v>0</v>
      </c>
      <c r="U230" s="352">
        <f t="shared" si="496"/>
        <v>0</v>
      </c>
      <c r="V230" s="351">
        <f t="shared" si="496"/>
        <v>0</v>
      </c>
      <c r="W230" s="351">
        <f t="shared" si="496"/>
        <v>0</v>
      </c>
      <c r="X230" s="351">
        <f t="shared" si="496"/>
        <v>0</v>
      </c>
      <c r="Y230" s="352">
        <f t="shared" si="496"/>
        <v>0</v>
      </c>
      <c r="Z230" s="351" t="e">
        <f t="shared" si="496"/>
        <v>#REF!</v>
      </c>
      <c r="AA230" s="351" t="e">
        <f t="shared" si="496"/>
        <v>#REF!</v>
      </c>
      <c r="AB230" s="351" t="e">
        <f t="shared" si="496"/>
        <v>#REF!</v>
      </c>
      <c r="AC230" s="352" t="e">
        <f t="shared" si="496"/>
        <v>#REF!</v>
      </c>
      <c r="AD230" s="727" t="e">
        <f t="shared" si="467"/>
        <v>#REF!</v>
      </c>
      <c r="AE230" s="727" t="e">
        <f t="shared" si="468"/>
        <v>#REF!</v>
      </c>
      <c r="AF230" s="727" t="e">
        <f t="shared" si="469"/>
        <v>#REF!</v>
      </c>
      <c r="AG230" s="727" t="e">
        <f t="shared" si="470"/>
        <v>#REF!</v>
      </c>
    </row>
    <row r="231" spans="1:33" hidden="1"/>
    <row r="232" spans="1:33" hidden="1">
      <c r="A232" s="478"/>
      <c r="B232" s="479" t="s">
        <v>26</v>
      </c>
      <c r="C232" s="480"/>
      <c r="D232" s="481" t="e">
        <f t="shared" ref="D232:K232" si="497">D131-D230</f>
        <v>#REF!</v>
      </c>
      <c r="E232" s="481" t="e">
        <f t="shared" si="497"/>
        <v>#REF!</v>
      </c>
      <c r="F232" s="481" t="e">
        <f t="shared" si="497"/>
        <v>#REF!</v>
      </c>
      <c r="G232" s="481" t="e">
        <f t="shared" si="497"/>
        <v>#REF!</v>
      </c>
      <c r="H232" s="481">
        <f t="shared" si="497"/>
        <v>6712710</v>
      </c>
      <c r="I232" s="481">
        <f t="shared" si="497"/>
        <v>7448630</v>
      </c>
      <c r="J232" s="481">
        <f t="shared" si="497"/>
        <v>7525690</v>
      </c>
      <c r="K232" s="481">
        <f t="shared" si="497"/>
        <v>21687030</v>
      </c>
      <c r="L232" s="481"/>
      <c r="M232" s="481"/>
      <c r="N232" s="481">
        <f t="shared" ref="N232:AC232" si="498">M131-N230</f>
        <v>3020631</v>
      </c>
      <c r="O232" s="481">
        <f t="shared" si="498"/>
        <v>5251849.0999999996</v>
      </c>
      <c r="P232" s="481">
        <f t="shared" si="498"/>
        <v>3634252.7798938667</v>
      </c>
      <c r="Q232" s="481">
        <f t="shared" si="498"/>
        <v>13225960.479893865</v>
      </c>
      <c r="R232" s="481">
        <f t="shared" si="498"/>
        <v>5797015.3300000001</v>
      </c>
      <c r="S232" s="481">
        <f t="shared" si="498"/>
        <v>5822753.4253735365</v>
      </c>
      <c r="T232" s="481">
        <f t="shared" si="498"/>
        <v>4931114.370949191</v>
      </c>
      <c r="U232" s="481">
        <f t="shared" si="498"/>
        <v>16550883.12632273</v>
      </c>
      <c r="V232" s="481">
        <f t="shared" si="498"/>
        <v>10136873.93</v>
      </c>
      <c r="W232" s="481">
        <f t="shared" si="498"/>
        <v>11074602.525373537</v>
      </c>
      <c r="X232" s="481">
        <f t="shared" si="498"/>
        <v>8565367.1508430578</v>
      </c>
      <c r="Y232" s="481">
        <f t="shared" si="498"/>
        <v>29776843.606216595</v>
      </c>
      <c r="Z232" s="481" t="e">
        <f t="shared" si="498"/>
        <v>#REF!</v>
      </c>
      <c r="AA232" s="481" t="e">
        <f t="shared" si="498"/>
        <v>#REF!</v>
      </c>
      <c r="AB232" s="481" t="e">
        <f t="shared" si="498"/>
        <v>#REF!</v>
      </c>
      <c r="AC232" s="481" t="e">
        <f t="shared" si="498"/>
        <v>#REF!</v>
      </c>
    </row>
    <row r="233" spans="1:33" hidden="1"/>
    <row r="234" spans="1:33" hidden="1"/>
    <row r="236" spans="1:33">
      <c r="B236" s="1029" t="s">
        <v>1827</v>
      </c>
      <c r="D236" s="1030">
        <f>AVERAGE(D156:F156)</f>
        <v>17757998.593490388</v>
      </c>
      <c r="E236" s="725"/>
      <c r="K236" s="356">
        <f>G156/3700000</f>
        <v>14.398377237965178</v>
      </c>
    </row>
    <row r="237" spans="1:33">
      <c r="B237" s="1029" t="s">
        <v>1828</v>
      </c>
      <c r="D237" s="1030">
        <f>Population!L6*1000</f>
        <v>4362800</v>
      </c>
      <c r="E237" s="993"/>
    </row>
    <row r="238" spans="1:33">
      <c r="B238" s="1029" t="s">
        <v>1829</v>
      </c>
      <c r="D238" s="1033">
        <f>D236/D237</f>
        <v>4.0703214892936623</v>
      </c>
    </row>
    <row r="240" spans="1:33">
      <c r="B240" s="1029"/>
      <c r="D240" s="1034">
        <v>2016</v>
      </c>
      <c r="E240" s="1034">
        <v>2017</v>
      </c>
      <c r="F240" s="1034">
        <v>2018</v>
      </c>
      <c r="G240" s="1035" t="s">
        <v>1348</v>
      </c>
    </row>
    <row r="241" spans="2:7">
      <c r="B241" s="1029" t="s">
        <v>1830</v>
      </c>
      <c r="D241" s="1031">
        <f>H156/D156%</f>
        <v>42.127290602165424</v>
      </c>
      <c r="E241" s="1031">
        <f t="shared" ref="E241:G241" si="499">I156/E156%</f>
        <v>38.785071725054976</v>
      </c>
      <c r="F241" s="1031">
        <f t="shared" si="499"/>
        <v>41.498709844792572</v>
      </c>
      <c r="G241" s="1032">
        <f t="shared" si="499"/>
        <v>40.708472646517514</v>
      </c>
    </row>
    <row r="242" spans="2:7">
      <c r="B242" s="1029" t="s">
        <v>1831</v>
      </c>
      <c r="D242" s="1031">
        <f>M156/D156%</f>
        <v>18.956725367088634</v>
      </c>
      <c r="E242" s="1031">
        <f>N156/E156%</f>
        <v>27.34641726500919</v>
      </c>
      <c r="F242" s="1031">
        <f>O156/F156%</f>
        <v>20.040262303582313</v>
      </c>
      <c r="G242" s="1032">
        <f>P156/G156%</f>
        <v>24.826297119507888</v>
      </c>
    </row>
    <row r="244" spans="2:7">
      <c r="B244" s="1029" t="s">
        <v>1832</v>
      </c>
      <c r="D244" s="1033">
        <f>P131/X131%</f>
        <v>44.416932347835029</v>
      </c>
    </row>
  </sheetData>
  <mergeCells count="49">
    <mergeCell ref="Q8:T8"/>
    <mergeCell ref="U8:X8"/>
    <mergeCell ref="Y8:AB8"/>
    <mergeCell ref="A135:A136"/>
    <mergeCell ref="B135:B136"/>
    <mergeCell ref="D135:G135"/>
    <mergeCell ref="H135:K135"/>
    <mergeCell ref="M135:P135"/>
    <mergeCell ref="A8:A9"/>
    <mergeCell ref="B8:B9"/>
    <mergeCell ref="C8:C9"/>
    <mergeCell ref="D8:G8"/>
    <mergeCell ref="H8:K8"/>
    <mergeCell ref="M8:P8"/>
    <mergeCell ref="AC135:AC136"/>
    <mergeCell ref="A162:A163"/>
    <mergeCell ref="B162:B163"/>
    <mergeCell ref="C162:C163"/>
    <mergeCell ref="D162:G162"/>
    <mergeCell ref="H162:K162"/>
    <mergeCell ref="C135:C136"/>
    <mergeCell ref="N162:Q162"/>
    <mergeCell ref="R162:U162"/>
    <mergeCell ref="V162:Y162"/>
    <mergeCell ref="Z162:AC162"/>
    <mergeCell ref="Q135:T135"/>
    <mergeCell ref="U135:X135"/>
    <mergeCell ref="Y135:AB135"/>
    <mergeCell ref="AD162:AG162"/>
    <mergeCell ref="A191:A192"/>
    <mergeCell ref="B191:B192"/>
    <mergeCell ref="C191:C192"/>
    <mergeCell ref="D191:G191"/>
    <mergeCell ref="H191:K191"/>
    <mergeCell ref="AD191:AG191"/>
    <mergeCell ref="R191:U191"/>
    <mergeCell ref="V191:Y191"/>
    <mergeCell ref="Z191:AC191"/>
    <mergeCell ref="N191:Q191"/>
    <mergeCell ref="A218:A219"/>
    <mergeCell ref="B218:B219"/>
    <mergeCell ref="C218:C219"/>
    <mergeCell ref="D218:G218"/>
    <mergeCell ref="H218:K218"/>
    <mergeCell ref="AD218:AG218"/>
    <mergeCell ref="N218:Q218"/>
    <mergeCell ref="R218:U218"/>
    <mergeCell ref="V218:Y218"/>
    <mergeCell ref="Z218:AC218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2:L150"/>
  <sheetViews>
    <sheetView zoomScale="80" zoomScaleNormal="80" workbookViewId="0"/>
  </sheetViews>
  <sheetFormatPr defaultColWidth="8.85546875" defaultRowHeight="15"/>
  <cols>
    <col min="1" max="1" width="9.7109375" style="559" customWidth="1"/>
    <col min="2" max="2" width="44" style="554" customWidth="1"/>
    <col min="3" max="3" width="18.42578125" style="554" customWidth="1"/>
    <col min="4" max="5" width="8.85546875" style="554"/>
    <col min="6" max="6" width="9.85546875" style="554" customWidth="1"/>
    <col min="7" max="16384" width="8.85546875" style="554"/>
  </cols>
  <sheetData>
    <row r="2" spans="1:8" ht="15.75">
      <c r="B2" s="785" t="s">
        <v>1689</v>
      </c>
    </row>
    <row r="3" spans="1:8">
      <c r="B3" s="556"/>
    </row>
    <row r="4" spans="1:8">
      <c r="A4" s="560" t="s">
        <v>1383</v>
      </c>
      <c r="B4" s="560" t="s">
        <v>1384</v>
      </c>
      <c r="C4" s="560" t="s">
        <v>1385</v>
      </c>
      <c r="D4" s="560" t="s">
        <v>1386</v>
      </c>
    </row>
    <row r="5" spans="1:8">
      <c r="A5" s="561" t="s">
        <v>1000</v>
      </c>
      <c r="B5" s="562" t="s">
        <v>1387</v>
      </c>
      <c r="C5" s="563" t="s">
        <v>1388</v>
      </c>
      <c r="D5" s="564">
        <v>600</v>
      </c>
      <c r="F5" s="565"/>
    </row>
    <row r="6" spans="1:8">
      <c r="A6" s="563"/>
      <c r="B6" s="562"/>
      <c r="C6" s="563"/>
      <c r="D6" s="566"/>
      <c r="F6" s="565"/>
    </row>
    <row r="7" spans="1:8">
      <c r="A7" s="561" t="s">
        <v>998</v>
      </c>
      <c r="B7" s="567" t="s">
        <v>1389</v>
      </c>
      <c r="C7" s="563"/>
      <c r="D7" s="566"/>
      <c r="F7" s="565"/>
      <c r="G7" s="568"/>
      <c r="H7" s="569"/>
    </row>
    <row r="8" spans="1:8">
      <c r="A8" s="563"/>
      <c r="B8" s="562" t="s">
        <v>1390</v>
      </c>
      <c r="C8" s="570" t="s">
        <v>1391</v>
      </c>
      <c r="D8" s="564">
        <v>600</v>
      </c>
      <c r="F8" s="565"/>
      <c r="G8" s="568"/>
      <c r="H8" s="569"/>
    </row>
    <row r="9" spans="1:8">
      <c r="A9" s="563"/>
      <c r="B9" s="562" t="s">
        <v>1392</v>
      </c>
      <c r="C9" s="570" t="s">
        <v>1393</v>
      </c>
      <c r="D9" s="564">
        <v>600</v>
      </c>
      <c r="F9" s="565"/>
      <c r="G9" s="568"/>
      <c r="H9" s="569"/>
    </row>
    <row r="10" spans="1:8">
      <c r="A10" s="563"/>
      <c r="B10" s="562" t="s">
        <v>1394</v>
      </c>
      <c r="C10" s="570" t="s">
        <v>1395</v>
      </c>
      <c r="D10" s="564">
        <v>200</v>
      </c>
      <c r="F10" s="565"/>
      <c r="G10" s="568"/>
      <c r="H10" s="569"/>
    </row>
    <row r="11" spans="1:8">
      <c r="A11" s="563"/>
      <c r="B11" s="562" t="s">
        <v>1396</v>
      </c>
      <c r="C11" s="570" t="s">
        <v>1397</v>
      </c>
      <c r="D11" s="564">
        <v>120</v>
      </c>
      <c r="F11" s="565"/>
      <c r="G11" s="568"/>
      <c r="H11" s="569"/>
    </row>
    <row r="12" spans="1:8">
      <c r="A12" s="563"/>
      <c r="B12" s="562" t="s">
        <v>1398</v>
      </c>
      <c r="C12" s="570" t="s">
        <v>1397</v>
      </c>
      <c r="D12" s="564">
        <v>150</v>
      </c>
      <c r="F12" s="565"/>
      <c r="G12" s="568"/>
      <c r="H12" s="569"/>
    </row>
    <row r="13" spans="1:8">
      <c r="A13" s="563"/>
      <c r="B13" s="562" t="s">
        <v>1399</v>
      </c>
      <c r="C13" s="570" t="s">
        <v>1400</v>
      </c>
      <c r="D13" s="564">
        <v>15</v>
      </c>
      <c r="F13" s="565"/>
      <c r="G13" s="568"/>
      <c r="H13" s="571"/>
    </row>
    <row r="14" spans="1:8">
      <c r="A14" s="563"/>
      <c r="B14" s="562" t="s">
        <v>978</v>
      </c>
      <c r="C14" s="570" t="s">
        <v>1401</v>
      </c>
      <c r="D14" s="558">
        <v>0.05</v>
      </c>
      <c r="F14" s="557"/>
    </row>
    <row r="15" spans="1:8">
      <c r="A15" s="563"/>
      <c r="B15" s="562"/>
      <c r="C15" s="570"/>
      <c r="D15" s="566"/>
      <c r="F15" s="565"/>
    </row>
    <row r="16" spans="1:8">
      <c r="A16" s="561" t="s">
        <v>754</v>
      </c>
      <c r="B16" s="567" t="s">
        <v>1438</v>
      </c>
      <c r="C16" s="563"/>
      <c r="D16" s="566"/>
      <c r="F16" s="565"/>
    </row>
    <row r="17" spans="1:8">
      <c r="A17" s="563"/>
      <c r="B17" s="562" t="s">
        <v>1402</v>
      </c>
      <c r="C17" s="570" t="s">
        <v>1393</v>
      </c>
      <c r="D17" s="564">
        <v>20</v>
      </c>
      <c r="F17" s="565"/>
      <c r="G17" s="568"/>
      <c r="H17" s="569"/>
    </row>
    <row r="18" spans="1:8">
      <c r="A18" s="563"/>
      <c r="B18" s="562" t="s">
        <v>1403</v>
      </c>
      <c r="C18" s="570" t="s">
        <v>1404</v>
      </c>
      <c r="D18" s="564">
        <v>60</v>
      </c>
      <c r="F18" s="565"/>
      <c r="G18" s="568"/>
      <c r="H18" s="569"/>
    </row>
    <row r="19" spans="1:8">
      <c r="A19" s="563"/>
      <c r="B19" s="562" t="s">
        <v>1405</v>
      </c>
      <c r="C19" s="570" t="s">
        <v>1406</v>
      </c>
      <c r="D19" s="564">
        <v>12</v>
      </c>
      <c r="F19" s="565"/>
      <c r="G19" s="568"/>
      <c r="H19" s="569"/>
    </row>
    <row r="20" spans="1:8">
      <c r="A20" s="563"/>
      <c r="B20" s="562" t="s">
        <v>1407</v>
      </c>
      <c r="C20" s="570" t="s">
        <v>1406</v>
      </c>
      <c r="D20" s="564">
        <v>80</v>
      </c>
      <c r="F20" s="565"/>
      <c r="G20" s="568"/>
      <c r="H20" s="569"/>
    </row>
    <row r="21" spans="1:8">
      <c r="A21" s="563"/>
      <c r="B21" s="562" t="s">
        <v>1408</v>
      </c>
      <c r="C21" s="570" t="s">
        <v>1409</v>
      </c>
      <c r="D21" s="564">
        <v>8</v>
      </c>
      <c r="F21" s="565"/>
      <c r="G21" s="568"/>
      <c r="H21" s="569"/>
    </row>
    <row r="22" spans="1:8">
      <c r="A22" s="563"/>
      <c r="B22" s="562" t="s">
        <v>1410</v>
      </c>
      <c r="C22" s="570" t="s">
        <v>1397</v>
      </c>
      <c r="D22" s="564">
        <v>30</v>
      </c>
      <c r="F22" s="565"/>
      <c r="G22" s="568"/>
      <c r="H22" s="569"/>
    </row>
    <row r="23" spans="1:8">
      <c r="A23" s="563"/>
      <c r="B23" s="562" t="s">
        <v>978</v>
      </c>
      <c r="C23" s="570" t="s">
        <v>1401</v>
      </c>
      <c r="D23" s="558">
        <v>0.05</v>
      </c>
      <c r="F23" s="557"/>
      <c r="G23" s="568"/>
      <c r="H23" s="571"/>
    </row>
    <row r="24" spans="1:8">
      <c r="A24" s="563"/>
      <c r="B24" s="562"/>
      <c r="C24" s="563"/>
      <c r="D24" s="566"/>
      <c r="F24" s="572"/>
    </row>
    <row r="25" spans="1:8">
      <c r="A25" s="561" t="s">
        <v>754</v>
      </c>
      <c r="B25" s="567" t="s">
        <v>1439</v>
      </c>
      <c r="C25" s="563"/>
      <c r="D25" s="566"/>
      <c r="F25" s="565"/>
    </row>
    <row r="26" spans="1:8">
      <c r="A26" s="563"/>
      <c r="B26" s="562" t="s">
        <v>1402</v>
      </c>
      <c r="C26" s="570" t="s">
        <v>1393</v>
      </c>
      <c r="D26" s="564">
        <v>10</v>
      </c>
      <c r="F26" s="565"/>
      <c r="G26" s="568"/>
      <c r="H26" s="569"/>
    </row>
    <row r="27" spans="1:8">
      <c r="A27" s="563"/>
      <c r="B27" s="562" t="s">
        <v>1403</v>
      </c>
      <c r="C27" s="570" t="s">
        <v>1404</v>
      </c>
      <c r="D27" s="564">
        <v>60</v>
      </c>
      <c r="F27" s="565"/>
      <c r="G27" s="568"/>
      <c r="H27" s="569"/>
    </row>
    <row r="28" spans="1:8">
      <c r="A28" s="563"/>
      <c r="B28" s="562" t="s">
        <v>1405</v>
      </c>
      <c r="C28" s="570" t="s">
        <v>1406</v>
      </c>
      <c r="D28" s="564">
        <v>10</v>
      </c>
      <c r="F28" s="565"/>
      <c r="G28" s="568"/>
      <c r="H28" s="569"/>
    </row>
    <row r="29" spans="1:8">
      <c r="A29" s="563"/>
      <c r="B29" s="562" t="s">
        <v>1407</v>
      </c>
      <c r="C29" s="570" t="s">
        <v>1406</v>
      </c>
      <c r="D29" s="564">
        <v>80</v>
      </c>
      <c r="F29" s="565"/>
      <c r="G29" s="568"/>
      <c r="H29" s="569"/>
    </row>
    <row r="30" spans="1:8">
      <c r="A30" s="563"/>
      <c r="B30" s="562" t="s">
        <v>1408</v>
      </c>
      <c r="C30" s="570" t="s">
        <v>1409</v>
      </c>
      <c r="D30" s="564">
        <v>5</v>
      </c>
      <c r="F30" s="565"/>
      <c r="G30" s="568"/>
      <c r="H30" s="569"/>
    </row>
    <row r="31" spans="1:8">
      <c r="A31" s="563"/>
      <c r="B31" s="562" t="s">
        <v>1410</v>
      </c>
      <c r="C31" s="570" t="s">
        <v>1397</v>
      </c>
      <c r="D31" s="564">
        <v>20</v>
      </c>
      <c r="F31" s="565"/>
      <c r="G31" s="568"/>
      <c r="H31" s="569"/>
    </row>
    <row r="32" spans="1:8">
      <c r="A32" s="563"/>
      <c r="B32" s="562" t="s">
        <v>978</v>
      </c>
      <c r="C32" s="570" t="s">
        <v>1401</v>
      </c>
      <c r="D32" s="558">
        <v>0.05</v>
      </c>
      <c r="F32" s="557"/>
      <c r="G32" s="568"/>
      <c r="H32" s="571"/>
    </row>
    <row r="33" spans="1:8">
      <c r="A33" s="563"/>
      <c r="B33" s="562"/>
      <c r="C33" s="563"/>
      <c r="D33" s="566"/>
      <c r="F33" s="572"/>
    </row>
    <row r="34" spans="1:8">
      <c r="A34" s="561" t="s">
        <v>1002</v>
      </c>
      <c r="B34" s="567" t="s">
        <v>1411</v>
      </c>
      <c r="C34" s="563"/>
      <c r="D34" s="566"/>
      <c r="F34" s="572"/>
    </row>
    <row r="35" spans="1:8">
      <c r="A35" s="563"/>
      <c r="B35" s="562" t="s">
        <v>1392</v>
      </c>
      <c r="C35" s="570" t="s">
        <v>1393</v>
      </c>
      <c r="D35" s="564">
        <v>800</v>
      </c>
      <c r="F35" s="565"/>
      <c r="G35" s="568"/>
      <c r="H35" s="569"/>
    </row>
    <row r="36" spans="1:8">
      <c r="A36" s="563"/>
      <c r="B36" s="562" t="s">
        <v>1412</v>
      </c>
      <c r="C36" s="570" t="s">
        <v>1413</v>
      </c>
      <c r="D36" s="564">
        <v>160</v>
      </c>
      <c r="F36" s="565"/>
      <c r="G36" s="568"/>
      <c r="H36" s="569"/>
    </row>
    <row r="37" spans="1:8">
      <c r="A37" s="563"/>
      <c r="B37" s="562" t="s">
        <v>1414</v>
      </c>
      <c r="C37" s="570" t="s">
        <v>1397</v>
      </c>
      <c r="D37" s="564">
        <v>80</v>
      </c>
      <c r="F37" s="565"/>
      <c r="G37" s="568"/>
      <c r="H37" s="569"/>
    </row>
    <row r="38" spans="1:8">
      <c r="A38" s="563"/>
      <c r="B38" s="562" t="s">
        <v>1415</v>
      </c>
      <c r="C38" s="570" t="s">
        <v>1416</v>
      </c>
      <c r="D38" s="564">
        <v>1500</v>
      </c>
      <c r="F38" s="565"/>
      <c r="G38" s="568"/>
      <c r="H38" s="569"/>
    </row>
    <row r="39" spans="1:8">
      <c r="A39" s="563"/>
      <c r="B39" s="562" t="s">
        <v>1417</v>
      </c>
      <c r="C39" s="570" t="s">
        <v>1416</v>
      </c>
      <c r="D39" s="564">
        <v>30</v>
      </c>
      <c r="F39" s="565"/>
      <c r="G39" s="568"/>
      <c r="H39" s="569"/>
    </row>
    <row r="40" spans="1:8">
      <c r="A40" s="563"/>
      <c r="B40" s="562" t="s">
        <v>1418</v>
      </c>
      <c r="C40" s="570" t="s">
        <v>1416</v>
      </c>
      <c r="D40" s="564">
        <v>70</v>
      </c>
      <c r="F40" s="565"/>
      <c r="G40" s="568"/>
      <c r="H40" s="569"/>
    </row>
    <row r="41" spans="1:8">
      <c r="A41" s="563"/>
      <c r="B41" s="562" t="s">
        <v>978</v>
      </c>
      <c r="C41" s="570" t="s">
        <v>1401</v>
      </c>
      <c r="D41" s="558">
        <v>0.05</v>
      </c>
      <c r="F41" s="557"/>
      <c r="G41" s="568"/>
      <c r="H41" s="571"/>
    </row>
    <row r="42" spans="1:8">
      <c r="A42" s="563"/>
      <c r="B42" s="562"/>
      <c r="C42" s="563"/>
      <c r="D42" s="566"/>
      <c r="F42" s="565"/>
    </row>
    <row r="43" spans="1:8">
      <c r="A43" s="561" t="s">
        <v>1001</v>
      </c>
      <c r="B43" s="567" t="s">
        <v>1419</v>
      </c>
      <c r="C43" s="563"/>
      <c r="D43" s="566"/>
      <c r="F43" s="565"/>
    </row>
    <row r="44" spans="1:8">
      <c r="A44" s="563"/>
      <c r="B44" s="562" t="s">
        <v>1425</v>
      </c>
      <c r="C44" s="570" t="s">
        <v>1427</v>
      </c>
      <c r="D44" s="573">
        <v>2</v>
      </c>
      <c r="F44" s="574"/>
      <c r="G44" s="551"/>
      <c r="H44" s="569"/>
    </row>
    <row r="45" spans="1:8">
      <c r="A45" s="563"/>
      <c r="B45" s="562" t="s">
        <v>1426</v>
      </c>
      <c r="C45" s="570" t="s">
        <v>1428</v>
      </c>
      <c r="D45" s="573">
        <v>1</v>
      </c>
      <c r="F45" s="574"/>
      <c r="G45" s="552"/>
      <c r="H45" s="569"/>
    </row>
    <row r="46" spans="1:8">
      <c r="A46" s="563"/>
      <c r="B46" s="562" t="s">
        <v>1420</v>
      </c>
      <c r="C46" s="570" t="s">
        <v>1421</v>
      </c>
      <c r="D46" s="564">
        <v>12</v>
      </c>
      <c r="F46" s="574"/>
      <c r="G46" s="553"/>
      <c r="H46" s="569"/>
    </row>
    <row r="47" spans="1:8">
      <c r="A47" s="563"/>
      <c r="B47" s="562" t="s">
        <v>1422</v>
      </c>
      <c r="C47" s="563" t="s">
        <v>1397</v>
      </c>
      <c r="D47" s="564">
        <v>10</v>
      </c>
      <c r="F47" s="565"/>
    </row>
    <row r="48" spans="1:8">
      <c r="A48" s="563"/>
      <c r="B48" s="562" t="s">
        <v>1403</v>
      </c>
      <c r="C48" s="563" t="s">
        <v>1413</v>
      </c>
      <c r="D48" s="564">
        <v>60</v>
      </c>
      <c r="F48" s="565"/>
      <c r="G48" s="555"/>
    </row>
    <row r="49" spans="1:12">
      <c r="A49" s="563"/>
      <c r="B49" s="562" t="s">
        <v>1423</v>
      </c>
      <c r="C49" s="563" t="s">
        <v>1424</v>
      </c>
      <c r="D49" s="558">
        <v>0.1</v>
      </c>
      <c r="F49" s="557"/>
    </row>
    <row r="50" spans="1:12">
      <c r="A50" s="563"/>
      <c r="B50" s="562"/>
      <c r="C50" s="563"/>
      <c r="D50" s="575"/>
    </row>
    <row r="51" spans="1:12" ht="15.75" thickBot="1"/>
    <row r="52" spans="1:12">
      <c r="A52" s="579"/>
      <c r="B52" s="776" t="s">
        <v>1442</v>
      </c>
      <c r="C52" s="743"/>
      <c r="D52" s="743"/>
      <c r="E52" s="743"/>
      <c r="F52" s="744"/>
      <c r="G52" s="579"/>
      <c r="H52" s="579"/>
      <c r="I52" s="579"/>
      <c r="J52" s="579"/>
    </row>
    <row r="53" spans="1:12">
      <c r="A53" s="579"/>
      <c r="B53" s="780"/>
      <c r="C53" s="585"/>
      <c r="D53" s="585"/>
      <c r="E53" s="585"/>
      <c r="F53" s="747"/>
      <c r="G53" s="579"/>
      <c r="H53" s="579"/>
      <c r="I53" s="579"/>
      <c r="J53" s="579"/>
    </row>
    <row r="54" spans="1:12" ht="45">
      <c r="A54" s="579"/>
      <c r="B54" s="778" t="s">
        <v>1384</v>
      </c>
      <c r="C54" s="748" t="s">
        <v>1385</v>
      </c>
      <c r="D54" s="748" t="s">
        <v>1430</v>
      </c>
      <c r="E54" s="748" t="s">
        <v>1429</v>
      </c>
      <c r="F54" s="749" t="s">
        <v>1432</v>
      </c>
    </row>
    <row r="55" spans="1:12">
      <c r="A55" s="579"/>
      <c r="B55" s="745" t="s">
        <v>1390</v>
      </c>
      <c r="C55" s="750" t="s">
        <v>1391</v>
      </c>
      <c r="D55" s="751">
        <f t="shared" ref="D55:D61" si="0">D8</f>
        <v>600</v>
      </c>
      <c r="E55" s="751">
        <v>10</v>
      </c>
      <c r="F55" s="752">
        <f t="shared" ref="F55:F60" si="1">D55*E55</f>
        <v>6000</v>
      </c>
    </row>
    <row r="56" spans="1:12">
      <c r="A56" s="579"/>
      <c r="B56" s="745" t="s">
        <v>1392</v>
      </c>
      <c r="C56" s="750" t="s">
        <v>1393</v>
      </c>
      <c r="D56" s="751">
        <f t="shared" si="0"/>
        <v>600</v>
      </c>
      <c r="E56" s="751">
        <v>1</v>
      </c>
      <c r="F56" s="752">
        <f t="shared" si="1"/>
        <v>600</v>
      </c>
    </row>
    <row r="57" spans="1:12">
      <c r="A57" s="579"/>
      <c r="B57" s="745" t="s">
        <v>1394</v>
      </c>
      <c r="C57" s="750" t="s">
        <v>1395</v>
      </c>
      <c r="D57" s="751">
        <f t="shared" si="0"/>
        <v>200</v>
      </c>
      <c r="E57" s="751">
        <v>7</v>
      </c>
      <c r="F57" s="752">
        <f t="shared" si="1"/>
        <v>1400</v>
      </c>
    </row>
    <row r="58" spans="1:12">
      <c r="A58" s="579"/>
      <c r="B58" s="745" t="s">
        <v>1396</v>
      </c>
      <c r="C58" s="750" t="s">
        <v>1397</v>
      </c>
      <c r="D58" s="751">
        <f t="shared" si="0"/>
        <v>120</v>
      </c>
      <c r="E58" s="751">
        <v>3</v>
      </c>
      <c r="F58" s="752">
        <f t="shared" si="1"/>
        <v>360</v>
      </c>
    </row>
    <row r="59" spans="1:12">
      <c r="A59" s="579"/>
      <c r="B59" s="745" t="s">
        <v>1398</v>
      </c>
      <c r="C59" s="750" t="s">
        <v>1397</v>
      </c>
      <c r="D59" s="751">
        <f t="shared" si="0"/>
        <v>150</v>
      </c>
      <c r="E59" s="751">
        <v>3</v>
      </c>
      <c r="F59" s="752">
        <f t="shared" si="1"/>
        <v>450</v>
      </c>
    </row>
    <row r="60" spans="1:12">
      <c r="A60" s="579"/>
      <c r="B60" s="745" t="s">
        <v>1399</v>
      </c>
      <c r="C60" s="750" t="s">
        <v>1400</v>
      </c>
      <c r="D60" s="751">
        <f t="shared" si="0"/>
        <v>15</v>
      </c>
      <c r="E60" s="751">
        <v>50</v>
      </c>
      <c r="F60" s="752">
        <f t="shared" si="1"/>
        <v>750</v>
      </c>
    </row>
    <row r="61" spans="1:12">
      <c r="A61" s="579"/>
      <c r="B61" s="745" t="s">
        <v>978</v>
      </c>
      <c r="C61" s="750" t="s">
        <v>1401</v>
      </c>
      <c r="D61" s="770">
        <f t="shared" si="0"/>
        <v>0.05</v>
      </c>
      <c r="E61" s="751">
        <v>1</v>
      </c>
      <c r="F61" s="754">
        <f>SUM(F55:F60)*D61</f>
        <v>478</v>
      </c>
    </row>
    <row r="62" spans="1:12" ht="15.75" thickBot="1">
      <c r="A62" s="579"/>
      <c r="B62" s="779" t="s">
        <v>4</v>
      </c>
      <c r="C62" s="757"/>
      <c r="D62" s="757"/>
      <c r="E62" s="757"/>
      <c r="F62" s="758">
        <f>ROUND(SUM(F55:F61),-2)</f>
        <v>10000</v>
      </c>
    </row>
    <row r="63" spans="1:12" ht="15.75" thickBot="1"/>
    <row r="64" spans="1:12">
      <c r="B64" s="776" t="s">
        <v>1443</v>
      </c>
      <c r="C64" s="743"/>
      <c r="D64" s="743"/>
      <c r="E64" s="743"/>
      <c r="F64" s="743"/>
      <c r="G64" s="744"/>
      <c r="H64" s="579"/>
      <c r="I64" s="579"/>
      <c r="J64" s="579"/>
      <c r="K64" s="579"/>
      <c r="L64" s="579"/>
    </row>
    <row r="65" spans="2:12">
      <c r="B65" s="780"/>
      <c r="C65" s="585"/>
      <c r="D65" s="585"/>
      <c r="E65" s="585"/>
      <c r="F65" s="585"/>
      <c r="G65" s="747"/>
      <c r="H65" s="579"/>
      <c r="I65" s="579"/>
      <c r="J65" s="579"/>
      <c r="K65" s="579"/>
      <c r="L65" s="579"/>
    </row>
    <row r="66" spans="2:12">
      <c r="B66" s="781" t="s">
        <v>1433</v>
      </c>
      <c r="C66" s="769">
        <v>3</v>
      </c>
      <c r="D66" s="585"/>
      <c r="E66" s="585"/>
      <c r="F66" s="585"/>
      <c r="G66" s="747"/>
      <c r="H66" s="579"/>
      <c r="I66" s="579"/>
      <c r="J66" s="579"/>
      <c r="K66" s="579"/>
      <c r="L66" s="579"/>
    </row>
    <row r="67" spans="2:12">
      <c r="B67" s="781" t="s">
        <v>1434</v>
      </c>
      <c r="C67" s="769">
        <v>20</v>
      </c>
      <c r="D67" s="585"/>
      <c r="E67" s="585"/>
      <c r="F67" s="585"/>
      <c r="G67" s="747"/>
      <c r="H67" s="579"/>
      <c r="I67" s="579"/>
      <c r="J67" s="579"/>
      <c r="K67" s="579"/>
      <c r="L67" s="579"/>
    </row>
    <row r="68" spans="2:12">
      <c r="B68" s="781" t="s">
        <v>1437</v>
      </c>
      <c r="C68" s="769">
        <v>14</v>
      </c>
      <c r="D68" s="585"/>
      <c r="E68" s="585"/>
      <c r="F68" s="585"/>
      <c r="G68" s="747"/>
      <c r="H68" s="579"/>
      <c r="I68" s="579"/>
      <c r="J68" s="579"/>
      <c r="K68" s="579"/>
      <c r="L68" s="579"/>
    </row>
    <row r="69" spans="2:12">
      <c r="B69" s="781" t="s">
        <v>1435</v>
      </c>
      <c r="C69" s="769">
        <v>2</v>
      </c>
      <c r="D69" s="585"/>
      <c r="E69" s="585"/>
      <c r="F69" s="585"/>
      <c r="G69" s="747"/>
      <c r="H69" s="579"/>
      <c r="I69" s="579"/>
      <c r="J69" s="579"/>
      <c r="K69" s="579"/>
      <c r="L69" s="579"/>
    </row>
    <row r="70" spans="2:12">
      <c r="B70" s="780"/>
      <c r="C70" s="585"/>
      <c r="D70" s="585"/>
      <c r="E70" s="585"/>
      <c r="F70" s="585"/>
      <c r="G70" s="747"/>
      <c r="H70" s="579"/>
      <c r="I70" s="579"/>
      <c r="J70" s="579"/>
      <c r="K70" s="579"/>
      <c r="L70" s="579"/>
    </row>
    <row r="71" spans="2:12" ht="45">
      <c r="B71" s="778" t="s">
        <v>1384</v>
      </c>
      <c r="C71" s="748" t="s">
        <v>1385</v>
      </c>
      <c r="D71" s="748" t="s">
        <v>1430</v>
      </c>
      <c r="E71" s="748" t="s">
        <v>1429</v>
      </c>
      <c r="F71" s="748" t="s">
        <v>1436</v>
      </c>
      <c r="G71" s="749" t="s">
        <v>1431</v>
      </c>
      <c r="H71" s="579"/>
    </row>
    <row r="72" spans="2:12">
      <c r="B72" s="745" t="s">
        <v>1402</v>
      </c>
      <c r="C72" s="750" t="s">
        <v>1393</v>
      </c>
      <c r="D72" s="751">
        <f t="shared" ref="D72:D78" si="2">D17</f>
        <v>20</v>
      </c>
      <c r="E72" s="751">
        <f>C68</f>
        <v>14</v>
      </c>
      <c r="F72" s="585"/>
      <c r="G72" s="752">
        <f>D72*E72</f>
        <v>280</v>
      </c>
      <c r="H72" s="579"/>
    </row>
    <row r="73" spans="2:12">
      <c r="B73" s="745" t="s">
        <v>1403</v>
      </c>
      <c r="C73" s="750" t="s">
        <v>1404</v>
      </c>
      <c r="D73" s="751">
        <f t="shared" si="2"/>
        <v>60</v>
      </c>
      <c r="E73" s="751">
        <f>C68</f>
        <v>14</v>
      </c>
      <c r="F73" s="585">
        <f>C$66</f>
        <v>3</v>
      </c>
      <c r="G73" s="752">
        <f>D73*E73*F73</f>
        <v>2520</v>
      </c>
      <c r="H73" s="579"/>
    </row>
    <row r="74" spans="2:12">
      <c r="B74" s="745" t="s">
        <v>1405</v>
      </c>
      <c r="C74" s="750" t="s">
        <v>1406</v>
      </c>
      <c r="D74" s="751">
        <f t="shared" si="2"/>
        <v>12</v>
      </c>
      <c r="E74" s="751">
        <f>C67+C69</f>
        <v>22</v>
      </c>
      <c r="F74" s="585">
        <f>C$66</f>
        <v>3</v>
      </c>
      <c r="G74" s="752">
        <f>D74*E74*F74</f>
        <v>792</v>
      </c>
      <c r="H74" s="579"/>
    </row>
    <row r="75" spans="2:12">
      <c r="B75" s="745" t="s">
        <v>1407</v>
      </c>
      <c r="C75" s="750" t="s">
        <v>1406</v>
      </c>
      <c r="D75" s="751">
        <f t="shared" si="2"/>
        <v>80</v>
      </c>
      <c r="E75" s="751">
        <f>C69</f>
        <v>2</v>
      </c>
      <c r="F75" s="585">
        <f>C$66</f>
        <v>3</v>
      </c>
      <c r="G75" s="752">
        <f>D75*E75*F75</f>
        <v>480</v>
      </c>
      <c r="H75" s="579"/>
    </row>
    <row r="76" spans="2:12">
      <c r="B76" s="745" t="s">
        <v>1408</v>
      </c>
      <c r="C76" s="750" t="s">
        <v>1409</v>
      </c>
      <c r="D76" s="751">
        <f t="shared" si="2"/>
        <v>8</v>
      </c>
      <c r="E76" s="751">
        <f>C67</f>
        <v>20</v>
      </c>
      <c r="F76" s="585"/>
      <c r="G76" s="752">
        <f>D76*E76</f>
        <v>160</v>
      </c>
      <c r="H76" s="579"/>
    </row>
    <row r="77" spans="2:12">
      <c r="B77" s="745" t="s">
        <v>1410</v>
      </c>
      <c r="C77" s="750" t="s">
        <v>1397</v>
      </c>
      <c r="D77" s="751">
        <f t="shared" si="2"/>
        <v>30</v>
      </c>
      <c r="E77" s="751">
        <v>1</v>
      </c>
      <c r="F77" s="585">
        <f>C66+1</f>
        <v>4</v>
      </c>
      <c r="G77" s="752">
        <f>D77*E77*F77</f>
        <v>120</v>
      </c>
      <c r="H77" s="579"/>
    </row>
    <row r="78" spans="2:12">
      <c r="B78" s="745" t="s">
        <v>978</v>
      </c>
      <c r="C78" s="750" t="s">
        <v>1401</v>
      </c>
      <c r="D78" s="770">
        <f t="shared" si="2"/>
        <v>0.05</v>
      </c>
      <c r="E78" s="585">
        <v>1</v>
      </c>
      <c r="F78" s="585"/>
      <c r="G78" s="754">
        <f>SUM(G72:G77)*D78</f>
        <v>217.60000000000002</v>
      </c>
      <c r="H78" s="579"/>
    </row>
    <row r="79" spans="2:12" ht="15.75" thickBot="1">
      <c r="B79" s="779" t="s">
        <v>4</v>
      </c>
      <c r="C79" s="757"/>
      <c r="D79" s="757"/>
      <c r="E79" s="757"/>
      <c r="F79" s="757"/>
      <c r="G79" s="758">
        <f>ROUND(SUM(G72:G78),-2)</f>
        <v>4600</v>
      </c>
      <c r="H79" s="579"/>
    </row>
    <row r="80" spans="2:12" ht="15.75" thickBot="1"/>
    <row r="81" spans="2:7">
      <c r="B81" s="776" t="s">
        <v>1441</v>
      </c>
      <c r="C81" s="743"/>
      <c r="D81" s="743"/>
      <c r="E81" s="743"/>
      <c r="F81" s="743"/>
      <c r="G81" s="744"/>
    </row>
    <row r="82" spans="2:7">
      <c r="B82" s="780"/>
      <c r="C82" s="585"/>
      <c r="D82" s="585"/>
      <c r="E82" s="585"/>
      <c r="F82" s="585"/>
      <c r="G82" s="747"/>
    </row>
    <row r="83" spans="2:7">
      <c r="B83" s="781" t="s">
        <v>1433</v>
      </c>
      <c r="C83" s="769">
        <v>2</v>
      </c>
      <c r="D83" s="585"/>
      <c r="E83" s="585"/>
      <c r="F83" s="585"/>
      <c r="G83" s="747"/>
    </row>
    <row r="84" spans="2:7">
      <c r="B84" s="781" t="s">
        <v>1434</v>
      </c>
      <c r="C84" s="769">
        <v>15</v>
      </c>
      <c r="D84" s="585"/>
      <c r="E84" s="585"/>
      <c r="F84" s="585"/>
      <c r="G84" s="747"/>
    </row>
    <row r="85" spans="2:7">
      <c r="B85" s="781" t="s">
        <v>1440</v>
      </c>
      <c r="C85" s="769">
        <v>10</v>
      </c>
      <c r="D85" s="585"/>
      <c r="E85" s="585"/>
      <c r="F85" s="585"/>
      <c r="G85" s="747"/>
    </row>
    <row r="86" spans="2:7">
      <c r="B86" s="781" t="s">
        <v>1435</v>
      </c>
      <c r="C86" s="769">
        <v>1</v>
      </c>
      <c r="D86" s="585"/>
      <c r="E86" s="585"/>
      <c r="F86" s="585"/>
      <c r="G86" s="747"/>
    </row>
    <row r="87" spans="2:7">
      <c r="B87" s="780"/>
      <c r="C87" s="585"/>
      <c r="D87" s="585"/>
      <c r="E87" s="585"/>
      <c r="F87" s="585"/>
      <c r="G87" s="747"/>
    </row>
    <row r="88" spans="2:7" ht="45">
      <c r="B88" s="778" t="s">
        <v>1384</v>
      </c>
      <c r="C88" s="748" t="s">
        <v>1385</v>
      </c>
      <c r="D88" s="748" t="s">
        <v>1430</v>
      </c>
      <c r="E88" s="748" t="s">
        <v>1429</v>
      </c>
      <c r="F88" s="748" t="s">
        <v>1436</v>
      </c>
      <c r="G88" s="749" t="s">
        <v>1431</v>
      </c>
    </row>
    <row r="89" spans="2:7">
      <c r="B89" s="745" t="s">
        <v>1402</v>
      </c>
      <c r="C89" s="750" t="s">
        <v>1393</v>
      </c>
      <c r="D89" s="751">
        <f t="shared" ref="D89:D95" si="3">D26</f>
        <v>10</v>
      </c>
      <c r="E89" s="751">
        <f>C85</f>
        <v>10</v>
      </c>
      <c r="F89" s="585"/>
      <c r="G89" s="752">
        <f>D89*E89</f>
        <v>100</v>
      </c>
    </row>
    <row r="90" spans="2:7">
      <c r="B90" s="745" t="s">
        <v>1403</v>
      </c>
      <c r="C90" s="750" t="s">
        <v>1404</v>
      </c>
      <c r="D90" s="751">
        <f t="shared" si="3"/>
        <v>60</v>
      </c>
      <c r="E90" s="751">
        <f>C85</f>
        <v>10</v>
      </c>
      <c r="F90" s="585">
        <f>C$66</f>
        <v>3</v>
      </c>
      <c r="G90" s="752">
        <f>D90*E90*F90</f>
        <v>1800</v>
      </c>
    </row>
    <row r="91" spans="2:7">
      <c r="B91" s="745" t="s">
        <v>1405</v>
      </c>
      <c r="C91" s="750" t="s">
        <v>1406</v>
      </c>
      <c r="D91" s="751">
        <f t="shared" si="3"/>
        <v>10</v>
      </c>
      <c r="E91" s="751">
        <f>C84+C86</f>
        <v>16</v>
      </c>
      <c r="F91" s="585">
        <f>C$66</f>
        <v>3</v>
      </c>
      <c r="G91" s="752">
        <f>D91*E91*F91</f>
        <v>480</v>
      </c>
    </row>
    <row r="92" spans="2:7">
      <c r="B92" s="745" t="s">
        <v>1407</v>
      </c>
      <c r="C92" s="750" t="s">
        <v>1406</v>
      </c>
      <c r="D92" s="751">
        <f t="shared" si="3"/>
        <v>80</v>
      </c>
      <c r="E92" s="751">
        <f>C86</f>
        <v>1</v>
      </c>
      <c r="F92" s="585">
        <f>C$66</f>
        <v>3</v>
      </c>
      <c r="G92" s="752">
        <f>D92*E92*F92</f>
        <v>240</v>
      </c>
    </row>
    <row r="93" spans="2:7">
      <c r="B93" s="745" t="s">
        <v>1408</v>
      </c>
      <c r="C93" s="750" t="s">
        <v>1409</v>
      </c>
      <c r="D93" s="751">
        <f t="shared" si="3"/>
        <v>5</v>
      </c>
      <c r="E93" s="751">
        <f>C84</f>
        <v>15</v>
      </c>
      <c r="F93" s="585"/>
      <c r="G93" s="752">
        <f>D93*E93</f>
        <v>75</v>
      </c>
    </row>
    <row r="94" spans="2:7">
      <c r="B94" s="745" t="s">
        <v>1410</v>
      </c>
      <c r="C94" s="750" t="s">
        <v>1397</v>
      </c>
      <c r="D94" s="751">
        <f t="shared" si="3"/>
        <v>20</v>
      </c>
      <c r="E94" s="751">
        <v>1</v>
      </c>
      <c r="F94" s="585">
        <f>C83+1</f>
        <v>3</v>
      </c>
      <c r="G94" s="752">
        <f>D94*E94*F94</f>
        <v>60</v>
      </c>
    </row>
    <row r="95" spans="2:7">
      <c r="B95" s="745" t="s">
        <v>978</v>
      </c>
      <c r="C95" s="750" t="s">
        <v>1401</v>
      </c>
      <c r="D95" s="753">
        <f t="shared" si="3"/>
        <v>0.05</v>
      </c>
      <c r="E95" s="585">
        <v>1</v>
      </c>
      <c r="F95" s="585"/>
      <c r="G95" s="754">
        <f>SUM(G89:G94)*D95</f>
        <v>137.75</v>
      </c>
    </row>
    <row r="96" spans="2:7" ht="15.75" thickBot="1">
      <c r="B96" s="779" t="s">
        <v>4</v>
      </c>
      <c r="C96" s="757"/>
      <c r="D96" s="757"/>
      <c r="E96" s="757"/>
      <c r="F96" s="757"/>
      <c r="G96" s="758">
        <f>ROUND(SUM(G89:G95),-2)</f>
        <v>2900</v>
      </c>
    </row>
    <row r="97" spans="2:10" ht="15.75" thickBot="1"/>
    <row r="98" spans="2:10">
      <c r="B98" s="776" t="s">
        <v>1449</v>
      </c>
      <c r="C98" s="743"/>
      <c r="D98" s="743"/>
      <c r="E98" s="743"/>
      <c r="F98" s="744"/>
      <c r="G98" s="579"/>
      <c r="H98" s="579"/>
      <c r="I98" s="579"/>
      <c r="J98" s="579"/>
    </row>
    <row r="99" spans="2:10">
      <c r="B99" s="777"/>
      <c r="C99" s="585"/>
      <c r="D99" s="585"/>
      <c r="E99" s="585"/>
      <c r="F99" s="747"/>
      <c r="G99" s="579"/>
      <c r="H99" s="579"/>
      <c r="I99" s="579"/>
      <c r="J99" s="579"/>
    </row>
    <row r="100" spans="2:10" ht="45">
      <c r="B100" s="778" t="s">
        <v>1384</v>
      </c>
      <c r="C100" s="748" t="s">
        <v>1385</v>
      </c>
      <c r="D100" s="748" t="s">
        <v>1430</v>
      </c>
      <c r="E100" s="748" t="s">
        <v>1429</v>
      </c>
      <c r="F100" s="749" t="s">
        <v>1431</v>
      </c>
      <c r="G100" s="579"/>
    </row>
    <row r="101" spans="2:10">
      <c r="B101" s="745" t="s">
        <v>1392</v>
      </c>
      <c r="C101" s="750" t="s">
        <v>1393</v>
      </c>
      <c r="D101" s="751">
        <f t="shared" ref="D101:D107" si="4">D35</f>
        <v>800</v>
      </c>
      <c r="E101" s="751">
        <v>1</v>
      </c>
      <c r="F101" s="752">
        <f t="shared" ref="F101:F106" si="5">D101*E101</f>
        <v>800</v>
      </c>
      <c r="G101" s="579"/>
    </row>
    <row r="102" spans="2:10">
      <c r="B102" s="745" t="s">
        <v>1412</v>
      </c>
      <c r="C102" s="750" t="s">
        <v>1413</v>
      </c>
      <c r="D102" s="751">
        <f t="shared" si="4"/>
        <v>160</v>
      </c>
      <c r="E102" s="751">
        <v>6</v>
      </c>
      <c r="F102" s="752">
        <f t="shared" si="5"/>
        <v>960</v>
      </c>
      <c r="G102" s="579"/>
    </row>
    <row r="103" spans="2:10">
      <c r="B103" s="745" t="s">
        <v>1414</v>
      </c>
      <c r="C103" s="750" t="s">
        <v>1397</v>
      </c>
      <c r="D103" s="751">
        <f t="shared" si="4"/>
        <v>80</v>
      </c>
      <c r="E103" s="751">
        <v>7</v>
      </c>
      <c r="F103" s="752">
        <f t="shared" si="5"/>
        <v>560</v>
      </c>
      <c r="G103" s="579"/>
    </row>
    <row r="104" spans="2:10">
      <c r="B104" s="745" t="s">
        <v>1415</v>
      </c>
      <c r="C104" s="750" t="s">
        <v>1416</v>
      </c>
      <c r="D104" s="751">
        <f t="shared" si="4"/>
        <v>1500</v>
      </c>
      <c r="E104" s="751">
        <v>1</v>
      </c>
      <c r="F104" s="752">
        <f t="shared" si="5"/>
        <v>1500</v>
      </c>
      <c r="G104" s="579"/>
    </row>
    <row r="105" spans="2:10">
      <c r="B105" s="745" t="s">
        <v>1417</v>
      </c>
      <c r="C105" s="750" t="s">
        <v>1416</v>
      </c>
      <c r="D105" s="751">
        <f t="shared" si="4"/>
        <v>30</v>
      </c>
      <c r="E105" s="751">
        <v>1</v>
      </c>
      <c r="F105" s="752">
        <f t="shared" si="5"/>
        <v>30</v>
      </c>
      <c r="G105" s="579"/>
    </row>
    <row r="106" spans="2:10">
      <c r="B106" s="745" t="s">
        <v>1418</v>
      </c>
      <c r="C106" s="750" t="s">
        <v>1416</v>
      </c>
      <c r="D106" s="751">
        <f t="shared" si="4"/>
        <v>70</v>
      </c>
      <c r="E106" s="751">
        <v>1</v>
      </c>
      <c r="F106" s="752">
        <f t="shared" si="5"/>
        <v>70</v>
      </c>
      <c r="G106" s="579"/>
    </row>
    <row r="107" spans="2:10">
      <c r="B107" s="745" t="s">
        <v>978</v>
      </c>
      <c r="C107" s="750" t="s">
        <v>1401</v>
      </c>
      <c r="D107" s="753">
        <f t="shared" si="4"/>
        <v>0.05</v>
      </c>
      <c r="E107" s="585">
        <v>1</v>
      </c>
      <c r="F107" s="754">
        <f>SUM(F101:F106)*D107</f>
        <v>196</v>
      </c>
      <c r="G107" s="579"/>
    </row>
    <row r="108" spans="2:10" ht="15.75" thickBot="1">
      <c r="B108" s="779" t="s">
        <v>4</v>
      </c>
      <c r="C108" s="757"/>
      <c r="D108" s="757"/>
      <c r="E108" s="757"/>
      <c r="F108" s="758">
        <f>ROUND(SUM(F101:F107),-2)</f>
        <v>4100</v>
      </c>
      <c r="G108" s="579"/>
    </row>
    <row r="109" spans="2:10" ht="15.75" thickBot="1"/>
    <row r="110" spans="2:10">
      <c r="B110" s="776" t="s">
        <v>1450</v>
      </c>
      <c r="C110" s="743"/>
      <c r="D110" s="743"/>
      <c r="E110" s="743"/>
      <c r="F110" s="744"/>
    </row>
    <row r="111" spans="2:10">
      <c r="B111" s="777"/>
      <c r="C111" s="585"/>
      <c r="D111" s="585"/>
      <c r="E111" s="585"/>
      <c r="F111" s="747"/>
    </row>
    <row r="112" spans="2:10" ht="45">
      <c r="B112" s="778" t="s">
        <v>1384</v>
      </c>
      <c r="C112" s="748" t="s">
        <v>1385</v>
      </c>
      <c r="D112" s="748" t="s">
        <v>1430</v>
      </c>
      <c r="E112" s="748" t="s">
        <v>1429</v>
      </c>
      <c r="F112" s="749" t="s">
        <v>1431</v>
      </c>
    </row>
    <row r="113" spans="2:12">
      <c r="B113" s="745" t="s">
        <v>1392</v>
      </c>
      <c r="C113" s="750" t="s">
        <v>1393</v>
      </c>
      <c r="D113" s="751">
        <f t="shared" ref="D113:D119" si="6">D35</f>
        <v>800</v>
      </c>
      <c r="E113" s="751">
        <v>1</v>
      </c>
      <c r="F113" s="752">
        <f t="shared" ref="F113:F118" si="7">D113*E113</f>
        <v>800</v>
      </c>
    </row>
    <row r="114" spans="2:12">
      <c r="B114" s="745" t="s">
        <v>1412</v>
      </c>
      <c r="C114" s="750" t="s">
        <v>1413</v>
      </c>
      <c r="D114" s="751">
        <f t="shared" si="6"/>
        <v>160</v>
      </c>
      <c r="E114" s="751">
        <v>4</v>
      </c>
      <c r="F114" s="752">
        <f t="shared" si="7"/>
        <v>640</v>
      </c>
    </row>
    <row r="115" spans="2:12">
      <c r="B115" s="745" t="s">
        <v>1414</v>
      </c>
      <c r="C115" s="750" t="s">
        <v>1397</v>
      </c>
      <c r="D115" s="751">
        <f t="shared" si="6"/>
        <v>80</v>
      </c>
      <c r="E115" s="751">
        <v>5</v>
      </c>
      <c r="F115" s="752">
        <f t="shared" si="7"/>
        <v>400</v>
      </c>
    </row>
    <row r="116" spans="2:12">
      <c r="B116" s="745" t="s">
        <v>1415</v>
      </c>
      <c r="C116" s="750" t="s">
        <v>1416</v>
      </c>
      <c r="D116" s="751">
        <f t="shared" si="6"/>
        <v>1500</v>
      </c>
      <c r="E116" s="751">
        <v>0</v>
      </c>
      <c r="F116" s="752">
        <f t="shared" si="7"/>
        <v>0</v>
      </c>
    </row>
    <row r="117" spans="2:12">
      <c r="B117" s="745" t="s">
        <v>1417</v>
      </c>
      <c r="C117" s="750" t="s">
        <v>1416</v>
      </c>
      <c r="D117" s="751">
        <f t="shared" si="6"/>
        <v>30</v>
      </c>
      <c r="E117" s="751">
        <v>1</v>
      </c>
      <c r="F117" s="752">
        <f t="shared" si="7"/>
        <v>30</v>
      </c>
    </row>
    <row r="118" spans="2:12">
      <c r="B118" s="745" t="s">
        <v>1418</v>
      </c>
      <c r="C118" s="750" t="s">
        <v>1416</v>
      </c>
      <c r="D118" s="751">
        <f t="shared" si="6"/>
        <v>70</v>
      </c>
      <c r="E118" s="751">
        <v>1</v>
      </c>
      <c r="F118" s="752">
        <f t="shared" si="7"/>
        <v>70</v>
      </c>
    </row>
    <row r="119" spans="2:12">
      <c r="B119" s="745" t="s">
        <v>978</v>
      </c>
      <c r="C119" s="750" t="s">
        <v>1401</v>
      </c>
      <c r="D119" s="753">
        <f t="shared" si="6"/>
        <v>0.05</v>
      </c>
      <c r="E119" s="585">
        <v>1</v>
      </c>
      <c r="F119" s="754">
        <f>SUM(F113:F118)*D119</f>
        <v>97</v>
      </c>
    </row>
    <row r="120" spans="2:12" ht="15.75" thickBot="1">
      <c r="B120" s="779" t="s">
        <v>4</v>
      </c>
      <c r="C120" s="757"/>
      <c r="D120" s="757"/>
      <c r="E120" s="757"/>
      <c r="F120" s="758">
        <f>ROUND(SUM(F113:F119),-2)</f>
        <v>2000</v>
      </c>
    </row>
    <row r="121" spans="2:12" ht="15.75" thickBot="1"/>
    <row r="122" spans="2:12">
      <c r="B122" s="776" t="s">
        <v>1480</v>
      </c>
      <c r="C122" s="743"/>
      <c r="D122" s="743"/>
      <c r="E122" s="743"/>
      <c r="F122" s="743"/>
      <c r="G122" s="744"/>
      <c r="H122" s="579"/>
      <c r="I122" s="579"/>
      <c r="J122" s="579"/>
      <c r="K122" s="579"/>
      <c r="L122" s="579"/>
    </row>
    <row r="123" spans="2:12">
      <c r="B123" s="780"/>
      <c r="C123" s="585"/>
      <c r="D123" s="585"/>
      <c r="E123" s="585"/>
      <c r="F123" s="585"/>
      <c r="G123" s="747"/>
      <c r="H123" s="579"/>
      <c r="I123" s="579"/>
      <c r="J123" s="579"/>
      <c r="K123" s="579"/>
      <c r="L123" s="579"/>
    </row>
    <row r="124" spans="2:12">
      <c r="B124" s="781" t="s">
        <v>1433</v>
      </c>
      <c r="C124" s="769">
        <v>5</v>
      </c>
      <c r="D124" s="585"/>
      <c r="E124" s="585"/>
      <c r="F124" s="585"/>
      <c r="G124" s="747"/>
      <c r="H124" s="579"/>
      <c r="I124" s="579"/>
      <c r="J124" s="579"/>
      <c r="K124" s="579"/>
      <c r="L124" s="579"/>
    </row>
    <row r="125" spans="2:12">
      <c r="B125" s="781" t="s">
        <v>1434</v>
      </c>
      <c r="C125" s="769">
        <v>10</v>
      </c>
      <c r="D125" s="585"/>
      <c r="E125" s="585"/>
      <c r="F125" s="585"/>
      <c r="G125" s="747"/>
      <c r="H125" s="579"/>
      <c r="I125" s="579"/>
      <c r="J125" s="579"/>
      <c r="K125" s="579"/>
      <c r="L125" s="579"/>
    </row>
    <row r="126" spans="2:12">
      <c r="B126" s="781" t="s">
        <v>1437</v>
      </c>
      <c r="C126" s="769">
        <v>3</v>
      </c>
      <c r="D126" s="585"/>
      <c r="E126" s="585"/>
      <c r="F126" s="585"/>
      <c r="G126" s="747"/>
      <c r="H126" s="579"/>
      <c r="I126" s="579"/>
      <c r="J126" s="579"/>
      <c r="K126" s="579"/>
      <c r="L126" s="579"/>
    </row>
    <row r="127" spans="2:12">
      <c r="B127" s="781" t="s">
        <v>1435</v>
      </c>
      <c r="C127" s="769">
        <v>2</v>
      </c>
      <c r="D127" s="585"/>
      <c r="E127" s="585"/>
      <c r="F127" s="585"/>
      <c r="G127" s="747"/>
      <c r="H127" s="579"/>
      <c r="I127" s="579"/>
      <c r="J127" s="579"/>
      <c r="K127" s="579"/>
      <c r="L127" s="579"/>
    </row>
    <row r="128" spans="2:12">
      <c r="B128" s="780"/>
      <c r="C128" s="585"/>
      <c r="D128" s="585"/>
      <c r="E128" s="585"/>
      <c r="F128" s="585"/>
      <c r="G128" s="747"/>
      <c r="H128" s="579"/>
      <c r="I128" s="579"/>
      <c r="J128" s="579"/>
      <c r="K128" s="579"/>
      <c r="L128" s="579"/>
    </row>
    <row r="129" spans="2:12" ht="45">
      <c r="B129" s="778" t="s">
        <v>1384</v>
      </c>
      <c r="C129" s="748" t="s">
        <v>1385</v>
      </c>
      <c r="D129" s="748" t="s">
        <v>1430</v>
      </c>
      <c r="E129" s="748" t="s">
        <v>1429</v>
      </c>
      <c r="F129" s="748" t="s">
        <v>1436</v>
      </c>
      <c r="G129" s="749" t="s">
        <v>1431</v>
      </c>
      <c r="H129" s="579"/>
      <c r="I129" s="577"/>
      <c r="J129" s="577"/>
      <c r="K129" s="577"/>
      <c r="L129" s="577"/>
    </row>
    <row r="130" spans="2:12">
      <c r="B130" s="745" t="s">
        <v>1402</v>
      </c>
      <c r="C130" s="750" t="s">
        <v>1393</v>
      </c>
      <c r="D130" s="751">
        <f t="shared" ref="D130:D136" si="8">D17</f>
        <v>20</v>
      </c>
      <c r="E130" s="751">
        <f>C126</f>
        <v>3</v>
      </c>
      <c r="F130" s="585"/>
      <c r="G130" s="752">
        <f>D130*E130</f>
        <v>60</v>
      </c>
      <c r="H130" s="579"/>
      <c r="I130" s="580"/>
      <c r="J130" s="580"/>
      <c r="K130" s="579"/>
      <c r="L130" s="580"/>
    </row>
    <row r="131" spans="2:12">
      <c r="B131" s="745" t="s">
        <v>1403</v>
      </c>
      <c r="C131" s="750" t="s">
        <v>1404</v>
      </c>
      <c r="D131" s="751">
        <f t="shared" si="8"/>
        <v>60</v>
      </c>
      <c r="E131" s="751">
        <f>C126</f>
        <v>3</v>
      </c>
      <c r="F131" s="585">
        <f>C$124</f>
        <v>5</v>
      </c>
      <c r="G131" s="752">
        <f>D131*E131*F131</f>
        <v>900</v>
      </c>
      <c r="H131" s="579"/>
      <c r="I131" s="580"/>
      <c r="J131" s="580"/>
      <c r="K131" s="579"/>
      <c r="L131" s="580"/>
    </row>
    <row r="132" spans="2:12">
      <c r="B132" s="745" t="s">
        <v>1405</v>
      </c>
      <c r="C132" s="750" t="s">
        <v>1406</v>
      </c>
      <c r="D132" s="751">
        <f t="shared" si="8"/>
        <v>12</v>
      </c>
      <c r="E132" s="751">
        <f>C125+C127</f>
        <v>12</v>
      </c>
      <c r="F132" s="585">
        <f t="shared" ref="F132:F133" si="9">C$124</f>
        <v>5</v>
      </c>
      <c r="G132" s="752">
        <f>D132*E132*F132</f>
        <v>720</v>
      </c>
      <c r="H132" s="579"/>
      <c r="I132" s="580"/>
      <c r="J132" s="580"/>
      <c r="K132" s="579"/>
      <c r="L132" s="580"/>
    </row>
    <row r="133" spans="2:12">
      <c r="B133" s="745" t="s">
        <v>1407</v>
      </c>
      <c r="C133" s="750" t="s">
        <v>1406</v>
      </c>
      <c r="D133" s="751">
        <f t="shared" si="8"/>
        <v>80</v>
      </c>
      <c r="E133" s="751">
        <f>C127</f>
        <v>2</v>
      </c>
      <c r="F133" s="585">
        <f t="shared" si="9"/>
        <v>5</v>
      </c>
      <c r="G133" s="752">
        <f>D133*E133*F133</f>
        <v>800</v>
      </c>
      <c r="H133" s="579"/>
      <c r="I133" s="580"/>
      <c r="J133" s="580"/>
      <c r="K133" s="579"/>
      <c r="L133" s="580"/>
    </row>
    <row r="134" spans="2:12">
      <c r="B134" s="745" t="s">
        <v>1408</v>
      </c>
      <c r="C134" s="750" t="s">
        <v>1409</v>
      </c>
      <c r="D134" s="751">
        <f t="shared" si="8"/>
        <v>8</v>
      </c>
      <c r="E134" s="751">
        <f>C125</f>
        <v>10</v>
      </c>
      <c r="F134" s="585"/>
      <c r="G134" s="752">
        <f>D134*E134</f>
        <v>80</v>
      </c>
      <c r="H134" s="579"/>
      <c r="I134" s="580"/>
      <c r="J134" s="580"/>
      <c r="K134" s="579"/>
      <c r="L134" s="580"/>
    </row>
    <row r="135" spans="2:12">
      <c r="B135" s="745" t="s">
        <v>1410</v>
      </c>
      <c r="C135" s="750" t="s">
        <v>1397</v>
      </c>
      <c r="D135" s="751">
        <f t="shared" si="8"/>
        <v>30</v>
      </c>
      <c r="E135" s="751">
        <v>1</v>
      </c>
      <c r="F135" s="585">
        <f>C124+1</f>
        <v>6</v>
      </c>
      <c r="G135" s="752">
        <f>D135*E135*F135</f>
        <v>180</v>
      </c>
      <c r="H135" s="579"/>
      <c r="I135" s="580"/>
      <c r="J135" s="580"/>
      <c r="K135" s="579"/>
      <c r="L135" s="580"/>
    </row>
    <row r="136" spans="2:12">
      <c r="B136" s="745" t="s">
        <v>978</v>
      </c>
      <c r="C136" s="750" t="s">
        <v>1401</v>
      </c>
      <c r="D136" s="753">
        <f t="shared" si="8"/>
        <v>0.05</v>
      </c>
      <c r="E136" s="585">
        <v>1</v>
      </c>
      <c r="F136" s="585"/>
      <c r="G136" s="754">
        <f>SUM(G130:G135)*D136</f>
        <v>137</v>
      </c>
      <c r="H136" s="579"/>
      <c r="I136" s="581"/>
      <c r="J136" s="580"/>
      <c r="K136" s="579"/>
      <c r="L136" s="582"/>
    </row>
    <row r="137" spans="2:12">
      <c r="B137" s="782" t="s">
        <v>1477</v>
      </c>
      <c r="C137" s="585"/>
      <c r="D137" s="585"/>
      <c r="E137" s="585"/>
      <c r="F137" s="585"/>
      <c r="G137" s="783">
        <f>ROUND(SUM(G131:G136),-1)</f>
        <v>2820</v>
      </c>
      <c r="H137" s="579"/>
      <c r="I137" s="579"/>
      <c r="J137" s="579"/>
      <c r="K137" s="579"/>
      <c r="L137" s="578"/>
    </row>
    <row r="138" spans="2:12">
      <c r="B138" s="745"/>
      <c r="C138" s="585"/>
      <c r="D138" s="585"/>
      <c r="E138" s="585"/>
      <c r="F138" s="585"/>
      <c r="G138" s="747"/>
      <c r="H138" s="579"/>
      <c r="I138" s="579"/>
      <c r="J138" s="579"/>
      <c r="K138" s="579"/>
      <c r="L138" s="579"/>
    </row>
    <row r="139" spans="2:12" ht="45">
      <c r="B139" s="778" t="s">
        <v>1384</v>
      </c>
      <c r="C139" s="748" t="s">
        <v>1385</v>
      </c>
      <c r="D139" s="748" t="s">
        <v>1430</v>
      </c>
      <c r="E139" s="748" t="s">
        <v>1429</v>
      </c>
      <c r="F139" s="748"/>
      <c r="G139" s="749" t="s">
        <v>1431</v>
      </c>
      <c r="H139" s="579"/>
      <c r="I139" s="577"/>
      <c r="J139" s="577"/>
      <c r="K139" s="579"/>
      <c r="L139" s="577"/>
    </row>
    <row r="140" spans="2:12">
      <c r="B140" s="745" t="s">
        <v>1478</v>
      </c>
      <c r="C140" s="750" t="s">
        <v>1391</v>
      </c>
      <c r="D140" s="751">
        <f>D8</f>
        <v>600</v>
      </c>
      <c r="E140" s="751">
        <v>5</v>
      </c>
      <c r="F140" s="585"/>
      <c r="G140" s="752">
        <f t="shared" ref="G140:G145" si="10">D140*E140</f>
        <v>3000</v>
      </c>
      <c r="H140" s="579"/>
      <c r="I140" s="580"/>
      <c r="J140" s="580"/>
      <c r="K140" s="579"/>
      <c r="L140" s="580"/>
    </row>
    <row r="141" spans="2:12">
      <c r="B141" s="745" t="s">
        <v>1392</v>
      </c>
      <c r="C141" s="750" t="s">
        <v>1393</v>
      </c>
      <c r="D141" s="751">
        <f t="shared" ref="D141:D146" si="11">D9</f>
        <v>600</v>
      </c>
      <c r="E141" s="751">
        <v>1</v>
      </c>
      <c r="F141" s="585"/>
      <c r="G141" s="752">
        <f t="shared" si="10"/>
        <v>600</v>
      </c>
      <c r="H141" s="579"/>
      <c r="I141" s="580"/>
      <c r="J141" s="580"/>
      <c r="K141" s="579"/>
      <c r="L141" s="580"/>
    </row>
    <row r="142" spans="2:12">
      <c r="B142" s="745" t="s">
        <v>1394</v>
      </c>
      <c r="C142" s="750" t="s">
        <v>1395</v>
      </c>
      <c r="D142" s="751">
        <f t="shared" si="11"/>
        <v>200</v>
      </c>
      <c r="E142" s="751">
        <v>6</v>
      </c>
      <c r="F142" s="585"/>
      <c r="G142" s="752">
        <f t="shared" si="10"/>
        <v>1200</v>
      </c>
      <c r="H142" s="579"/>
      <c r="I142" s="580"/>
      <c r="J142" s="580"/>
      <c r="K142" s="579"/>
      <c r="L142" s="580"/>
    </row>
    <row r="143" spans="2:12">
      <c r="B143" s="745" t="s">
        <v>1396</v>
      </c>
      <c r="C143" s="750" t="s">
        <v>1397</v>
      </c>
      <c r="D143" s="751">
        <f t="shared" si="11"/>
        <v>120</v>
      </c>
      <c r="E143" s="751">
        <v>3</v>
      </c>
      <c r="F143" s="585"/>
      <c r="G143" s="752">
        <f t="shared" si="10"/>
        <v>360</v>
      </c>
      <c r="H143" s="579"/>
      <c r="I143" s="580"/>
      <c r="J143" s="580"/>
      <c r="K143" s="579"/>
      <c r="L143" s="580"/>
    </row>
    <row r="144" spans="2:12">
      <c r="B144" s="745" t="s">
        <v>1398</v>
      </c>
      <c r="C144" s="750" t="s">
        <v>1397</v>
      </c>
      <c r="D144" s="751">
        <f t="shared" si="11"/>
        <v>150</v>
      </c>
      <c r="E144" s="751">
        <v>10</v>
      </c>
      <c r="F144" s="687"/>
      <c r="G144" s="752">
        <f t="shared" si="10"/>
        <v>1500</v>
      </c>
      <c r="H144" s="584"/>
      <c r="I144" s="580"/>
      <c r="J144" s="580"/>
      <c r="K144" s="584"/>
      <c r="L144" s="580"/>
    </row>
    <row r="145" spans="2:12">
      <c r="B145" s="745" t="s">
        <v>1399</v>
      </c>
      <c r="C145" s="750" t="s">
        <v>1400</v>
      </c>
      <c r="D145" s="751">
        <f t="shared" si="11"/>
        <v>15</v>
      </c>
      <c r="E145" s="751">
        <v>50</v>
      </c>
      <c r="F145" s="687"/>
      <c r="G145" s="752">
        <f t="shared" si="10"/>
        <v>750</v>
      </c>
      <c r="H145" s="584"/>
      <c r="I145" s="580"/>
      <c r="J145" s="580"/>
      <c r="K145" s="584"/>
      <c r="L145" s="580"/>
    </row>
    <row r="146" spans="2:12">
      <c r="B146" s="745" t="s">
        <v>978</v>
      </c>
      <c r="C146" s="750" t="s">
        <v>1401</v>
      </c>
      <c r="D146" s="753">
        <f t="shared" si="11"/>
        <v>0.05</v>
      </c>
      <c r="E146" s="585">
        <v>1</v>
      </c>
      <c r="F146" s="586"/>
      <c r="G146" s="754">
        <f>SUM(G140:G145)*D146</f>
        <v>370.5</v>
      </c>
      <c r="H146" s="65"/>
      <c r="I146" s="581"/>
      <c r="J146" s="580"/>
      <c r="K146" s="65"/>
    </row>
    <row r="147" spans="2:12">
      <c r="B147" s="782" t="s">
        <v>1479</v>
      </c>
      <c r="C147" s="585"/>
      <c r="D147" s="585"/>
      <c r="E147" s="585"/>
      <c r="F147" s="586"/>
      <c r="G147" s="783">
        <f>ROUND(SUM(G140:G146),-2)</f>
        <v>7800</v>
      </c>
      <c r="H147" s="65"/>
      <c r="I147" s="579"/>
      <c r="J147" s="579"/>
      <c r="K147" s="65"/>
    </row>
    <row r="148" spans="2:12">
      <c r="B148" s="782"/>
      <c r="C148" s="585"/>
      <c r="D148" s="585"/>
      <c r="E148" s="585"/>
      <c r="F148" s="586"/>
      <c r="G148" s="783"/>
      <c r="H148" s="65"/>
      <c r="I148" s="579"/>
      <c r="J148" s="579"/>
      <c r="K148" s="65"/>
    </row>
    <row r="149" spans="2:12" ht="15.75" thickBot="1">
      <c r="B149" s="779" t="s">
        <v>4</v>
      </c>
      <c r="C149" s="784"/>
      <c r="D149" s="784"/>
      <c r="E149" s="784"/>
      <c r="F149" s="784"/>
      <c r="G149" s="758">
        <f>ROUND(SUM(G137,G147),-2)</f>
        <v>10600</v>
      </c>
      <c r="H149" s="65"/>
      <c r="I149" s="65"/>
      <c r="J149" s="65"/>
      <c r="K149" s="65"/>
    </row>
    <row r="150" spans="2:12">
      <c r="D150" s="587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2:J50"/>
  <sheetViews>
    <sheetView topLeftCell="A19" zoomScale="80" zoomScaleNormal="80" workbookViewId="0"/>
  </sheetViews>
  <sheetFormatPr defaultColWidth="8.85546875" defaultRowHeight="15"/>
  <cols>
    <col min="1" max="1" width="8" style="559" customWidth="1"/>
    <col min="2" max="2" width="44" style="554" customWidth="1"/>
    <col min="3" max="3" width="18.42578125" style="554" customWidth="1"/>
    <col min="4" max="5" width="8.85546875" style="554"/>
    <col min="6" max="6" width="9.85546875" style="554" customWidth="1"/>
    <col min="7" max="16384" width="8.85546875" style="554"/>
  </cols>
  <sheetData>
    <row r="2" spans="1:10" ht="15.75">
      <c r="A2" s="761" t="s">
        <v>998</v>
      </c>
      <c r="B2" s="785" t="s">
        <v>1013</v>
      </c>
    </row>
    <row r="3" spans="1:10" ht="15.75" thickBot="1"/>
    <row r="4" spans="1:10">
      <c r="A4" s="741" t="str">
        <f>'NSP Summary Budget (16-18)'!A31</f>
        <v>1.2.10</v>
      </c>
      <c r="B4" s="742" t="str">
        <f>'NSP Summary Budget (16-18)'!B31</f>
        <v>External technical assistance, strengthening NRL quality management system / support to ISO accreditation</v>
      </c>
      <c r="C4" s="743"/>
      <c r="D4" s="743"/>
      <c r="E4" s="743"/>
      <c r="F4" s="744"/>
      <c r="G4" s="579"/>
      <c r="H4" s="579"/>
      <c r="I4" s="579"/>
      <c r="J4" s="579"/>
    </row>
    <row r="5" spans="1:10">
      <c r="A5" s="745"/>
      <c r="B5" s="746"/>
      <c r="C5" s="585"/>
      <c r="D5" s="585"/>
      <c r="E5" s="585"/>
      <c r="F5" s="747"/>
      <c r="G5" s="579"/>
      <c r="H5" s="579"/>
      <c r="I5" s="579"/>
      <c r="J5" s="579"/>
    </row>
    <row r="6" spans="1:10" ht="45">
      <c r="A6" s="745"/>
      <c r="B6" s="748" t="s">
        <v>1384</v>
      </c>
      <c r="C6" s="748" t="s">
        <v>1385</v>
      </c>
      <c r="D6" s="748" t="s">
        <v>1430</v>
      </c>
      <c r="E6" s="748" t="s">
        <v>1429</v>
      </c>
      <c r="F6" s="749" t="s">
        <v>1432</v>
      </c>
    </row>
    <row r="7" spans="1:10">
      <c r="A7" s="745"/>
      <c r="B7" s="585" t="s">
        <v>1390</v>
      </c>
      <c r="C7" s="750" t="s">
        <v>1391</v>
      </c>
      <c r="D7" s="751">
        <f>'Unit costs'!D8</f>
        <v>600</v>
      </c>
      <c r="E7" s="751">
        <v>20</v>
      </c>
      <c r="F7" s="752">
        <f t="shared" ref="F7:F12" si="0">D7*E7</f>
        <v>12000</v>
      </c>
    </row>
    <row r="8" spans="1:10">
      <c r="A8" s="745"/>
      <c r="B8" s="585" t="s">
        <v>1392</v>
      </c>
      <c r="C8" s="750" t="s">
        <v>1393</v>
      </c>
      <c r="D8" s="751">
        <f>'Unit costs'!D9</f>
        <v>600</v>
      </c>
      <c r="E8" s="751">
        <v>1</v>
      </c>
      <c r="F8" s="752">
        <f t="shared" si="0"/>
        <v>600</v>
      </c>
    </row>
    <row r="9" spans="1:10">
      <c r="A9" s="745"/>
      <c r="B9" s="585" t="s">
        <v>1394</v>
      </c>
      <c r="C9" s="750" t="s">
        <v>1395</v>
      </c>
      <c r="D9" s="751">
        <f>'Unit costs'!D10</f>
        <v>200</v>
      </c>
      <c r="E9" s="751">
        <v>12</v>
      </c>
      <c r="F9" s="752">
        <f t="shared" si="0"/>
        <v>2400</v>
      </c>
    </row>
    <row r="10" spans="1:10">
      <c r="A10" s="745"/>
      <c r="B10" s="585" t="s">
        <v>1396</v>
      </c>
      <c r="C10" s="750" t="s">
        <v>1397</v>
      </c>
      <c r="D10" s="751">
        <f>'Unit costs'!D11</f>
        <v>120</v>
      </c>
      <c r="E10" s="751">
        <v>3</v>
      </c>
      <c r="F10" s="752">
        <f t="shared" si="0"/>
        <v>360</v>
      </c>
    </row>
    <row r="11" spans="1:10">
      <c r="A11" s="745"/>
      <c r="B11" s="585" t="s">
        <v>1398</v>
      </c>
      <c r="C11" s="750" t="s">
        <v>1397</v>
      </c>
      <c r="D11" s="751">
        <f>'Unit costs'!D12</f>
        <v>150</v>
      </c>
      <c r="E11" s="751">
        <v>3</v>
      </c>
      <c r="F11" s="752">
        <f t="shared" si="0"/>
        <v>450</v>
      </c>
    </row>
    <row r="12" spans="1:10">
      <c r="A12" s="745"/>
      <c r="B12" s="585" t="s">
        <v>1399</v>
      </c>
      <c r="C12" s="750" t="s">
        <v>1400</v>
      </c>
      <c r="D12" s="751">
        <f>'Unit costs'!D13</f>
        <v>15</v>
      </c>
      <c r="E12" s="751">
        <v>100</v>
      </c>
      <c r="F12" s="752">
        <f t="shared" si="0"/>
        <v>1500</v>
      </c>
    </row>
    <row r="13" spans="1:10">
      <c r="A13" s="745"/>
      <c r="B13" s="585" t="s">
        <v>978</v>
      </c>
      <c r="C13" s="750" t="s">
        <v>1401</v>
      </c>
      <c r="D13" s="753">
        <f>'Unit costs'!D14</f>
        <v>0.05</v>
      </c>
      <c r="E13" s="751">
        <v>1</v>
      </c>
      <c r="F13" s="754">
        <f>SUM(F7:F12)*D13</f>
        <v>865.5</v>
      </c>
    </row>
    <row r="14" spans="1:10" ht="15.75" thickBot="1">
      <c r="A14" s="755"/>
      <c r="B14" s="756" t="s">
        <v>4</v>
      </c>
      <c r="C14" s="757"/>
      <c r="D14" s="757"/>
      <c r="E14" s="757"/>
      <c r="F14" s="758">
        <f>ROUND(SUM(F7:F13),-2)</f>
        <v>18200</v>
      </c>
    </row>
    <row r="15" spans="1:10" ht="15.75" thickBot="1"/>
    <row r="16" spans="1:10">
      <c r="A16" s="741" t="str">
        <f>'NSP Summary Budget (16-18)'!A57</f>
        <v>2.1.7</v>
      </c>
      <c r="B16" s="742" t="str">
        <f>'NSP Summary Budget (16-18)'!B57</f>
        <v xml:space="preserve">External technical assistance in drug management, centralized procurement and pharmacovigiliance </v>
      </c>
      <c r="C16" s="743"/>
      <c r="D16" s="743"/>
      <c r="E16" s="743"/>
      <c r="F16" s="744"/>
      <c r="G16" s="579"/>
      <c r="H16" s="579"/>
      <c r="I16" s="579"/>
      <c r="J16" s="579"/>
    </row>
    <row r="17" spans="1:10">
      <c r="A17" s="745"/>
      <c r="B17" s="746"/>
      <c r="C17" s="585"/>
      <c r="D17" s="585"/>
      <c r="E17" s="585"/>
      <c r="F17" s="747"/>
      <c r="G17" s="579"/>
      <c r="H17" s="579"/>
      <c r="I17" s="579"/>
      <c r="J17" s="579"/>
    </row>
    <row r="18" spans="1:10" ht="45">
      <c r="A18" s="745"/>
      <c r="B18" s="748" t="s">
        <v>1384</v>
      </c>
      <c r="C18" s="748" t="s">
        <v>1385</v>
      </c>
      <c r="D18" s="748" t="s">
        <v>1430</v>
      </c>
      <c r="E18" s="748" t="s">
        <v>1429</v>
      </c>
      <c r="F18" s="749" t="s">
        <v>1432</v>
      </c>
    </row>
    <row r="19" spans="1:10">
      <c r="A19" s="745"/>
      <c r="B19" s="585" t="s">
        <v>1390</v>
      </c>
      <c r="C19" s="750" t="s">
        <v>1391</v>
      </c>
      <c r="D19" s="751">
        <f>'Unit costs'!D8</f>
        <v>600</v>
      </c>
      <c r="E19" s="751">
        <v>15</v>
      </c>
      <c r="F19" s="752">
        <f t="shared" ref="F19:F24" si="1">D19*E19</f>
        <v>9000</v>
      </c>
    </row>
    <row r="20" spans="1:10">
      <c r="A20" s="745"/>
      <c r="B20" s="585" t="s">
        <v>1392</v>
      </c>
      <c r="C20" s="750" t="s">
        <v>1393</v>
      </c>
      <c r="D20" s="751">
        <f>'Unit costs'!D9</f>
        <v>600</v>
      </c>
      <c r="E20" s="751">
        <v>1</v>
      </c>
      <c r="F20" s="752">
        <f t="shared" si="1"/>
        <v>600</v>
      </c>
    </row>
    <row r="21" spans="1:10">
      <c r="A21" s="745"/>
      <c r="B21" s="585" t="s">
        <v>1394</v>
      </c>
      <c r="C21" s="750" t="s">
        <v>1395</v>
      </c>
      <c r="D21" s="751">
        <f>'Unit costs'!D10</f>
        <v>200</v>
      </c>
      <c r="E21" s="751">
        <v>9</v>
      </c>
      <c r="F21" s="752">
        <f t="shared" si="1"/>
        <v>1800</v>
      </c>
    </row>
    <row r="22" spans="1:10">
      <c r="A22" s="745"/>
      <c r="B22" s="585" t="s">
        <v>1396</v>
      </c>
      <c r="C22" s="750" t="s">
        <v>1397</v>
      </c>
      <c r="D22" s="751">
        <f>'Unit costs'!D11</f>
        <v>120</v>
      </c>
      <c r="E22" s="751">
        <v>5</v>
      </c>
      <c r="F22" s="752">
        <f t="shared" si="1"/>
        <v>600</v>
      </c>
    </row>
    <row r="23" spans="1:10">
      <c r="A23" s="745"/>
      <c r="B23" s="585" t="s">
        <v>1398</v>
      </c>
      <c r="C23" s="750" t="s">
        <v>1397</v>
      </c>
      <c r="D23" s="751">
        <f>'Unit costs'!D12</f>
        <v>150</v>
      </c>
      <c r="E23" s="751">
        <v>5</v>
      </c>
      <c r="F23" s="752">
        <f t="shared" si="1"/>
        <v>750</v>
      </c>
    </row>
    <row r="24" spans="1:10">
      <c r="A24" s="745"/>
      <c r="B24" s="585" t="s">
        <v>1399</v>
      </c>
      <c r="C24" s="750" t="s">
        <v>1400</v>
      </c>
      <c r="D24" s="751">
        <f>'Unit costs'!D13</f>
        <v>15</v>
      </c>
      <c r="E24" s="751">
        <v>100</v>
      </c>
      <c r="F24" s="752">
        <f t="shared" si="1"/>
        <v>1500</v>
      </c>
    </row>
    <row r="25" spans="1:10">
      <c r="A25" s="745"/>
      <c r="B25" s="585" t="s">
        <v>978</v>
      </c>
      <c r="C25" s="750" t="s">
        <v>1401</v>
      </c>
      <c r="D25" s="753">
        <f>'Unit costs'!D14</f>
        <v>0.05</v>
      </c>
      <c r="E25" s="751">
        <v>1</v>
      </c>
      <c r="F25" s="754">
        <f>SUM(F19:F24)*D25</f>
        <v>712.5</v>
      </c>
    </row>
    <row r="26" spans="1:10" ht="15.75" thickBot="1">
      <c r="A26" s="755"/>
      <c r="B26" s="756" t="s">
        <v>4</v>
      </c>
      <c r="C26" s="757"/>
      <c r="D26" s="757"/>
      <c r="E26" s="757"/>
      <c r="F26" s="758">
        <f>ROUND(SUM(F19:F25),-2)</f>
        <v>15000</v>
      </c>
    </row>
    <row r="27" spans="1:10" ht="15.75" thickBot="1"/>
    <row r="28" spans="1:10">
      <c r="A28" s="741" t="str">
        <f>'NSP Summary Budget (16-18)'!A96</f>
        <v>3.1.1</v>
      </c>
      <c r="B28" s="742" t="str">
        <f>'NSP Summary Budget (16-18)'!B96</f>
        <v>External technical assistance, strengthening health system functions for TB control</v>
      </c>
      <c r="C28" s="743"/>
      <c r="D28" s="743"/>
      <c r="E28" s="743"/>
      <c r="F28" s="744"/>
      <c r="G28" s="579"/>
      <c r="H28" s="579"/>
      <c r="I28" s="579"/>
      <c r="J28" s="579"/>
    </row>
    <row r="29" spans="1:10">
      <c r="A29" s="745"/>
      <c r="B29" s="746"/>
      <c r="C29" s="585"/>
      <c r="D29" s="585"/>
      <c r="E29" s="585"/>
      <c r="F29" s="747"/>
      <c r="G29" s="579"/>
      <c r="H29" s="579"/>
      <c r="I29" s="579"/>
      <c r="J29" s="579"/>
    </row>
    <row r="30" spans="1:10" ht="45">
      <c r="A30" s="745"/>
      <c r="B30" s="748" t="s">
        <v>1384</v>
      </c>
      <c r="C30" s="748" t="s">
        <v>1385</v>
      </c>
      <c r="D30" s="748" t="s">
        <v>1430</v>
      </c>
      <c r="E30" s="748" t="s">
        <v>1429</v>
      </c>
      <c r="F30" s="749" t="s">
        <v>1432</v>
      </c>
    </row>
    <row r="31" spans="1:10">
      <c r="A31" s="745"/>
      <c r="B31" s="585" t="s">
        <v>1390</v>
      </c>
      <c r="C31" s="750" t="s">
        <v>1391</v>
      </c>
      <c r="D31" s="751">
        <f>'Unit costs'!D8</f>
        <v>600</v>
      </c>
      <c r="E31" s="751">
        <v>20</v>
      </c>
      <c r="F31" s="752">
        <f t="shared" ref="F31:F36" si="2">D31*E31</f>
        <v>12000</v>
      </c>
    </row>
    <row r="32" spans="1:10">
      <c r="A32" s="745"/>
      <c r="B32" s="585" t="s">
        <v>1392</v>
      </c>
      <c r="C32" s="750" t="s">
        <v>1393</v>
      </c>
      <c r="D32" s="751">
        <f>'Unit costs'!D9</f>
        <v>600</v>
      </c>
      <c r="E32" s="751">
        <v>1</v>
      </c>
      <c r="F32" s="752">
        <f t="shared" si="2"/>
        <v>600</v>
      </c>
    </row>
    <row r="33" spans="1:10">
      <c r="A33" s="745"/>
      <c r="B33" s="585" t="s">
        <v>1394</v>
      </c>
      <c r="C33" s="750" t="s">
        <v>1395</v>
      </c>
      <c r="D33" s="751">
        <f>'Unit costs'!D10</f>
        <v>200</v>
      </c>
      <c r="E33" s="751">
        <v>12</v>
      </c>
      <c r="F33" s="752">
        <f t="shared" si="2"/>
        <v>2400</v>
      </c>
    </row>
    <row r="34" spans="1:10">
      <c r="A34" s="745"/>
      <c r="B34" s="585" t="s">
        <v>1396</v>
      </c>
      <c r="C34" s="750" t="s">
        <v>1397</v>
      </c>
      <c r="D34" s="751">
        <f>'Unit costs'!D11</f>
        <v>120</v>
      </c>
      <c r="E34" s="751">
        <v>5</v>
      </c>
      <c r="F34" s="752">
        <f t="shared" si="2"/>
        <v>600</v>
      </c>
    </row>
    <row r="35" spans="1:10">
      <c r="A35" s="745"/>
      <c r="B35" s="585" t="s">
        <v>1398</v>
      </c>
      <c r="C35" s="750" t="s">
        <v>1397</v>
      </c>
      <c r="D35" s="751">
        <f>'Unit costs'!D12</f>
        <v>150</v>
      </c>
      <c r="E35" s="751">
        <v>5</v>
      </c>
      <c r="F35" s="752">
        <f t="shared" si="2"/>
        <v>750</v>
      </c>
    </row>
    <row r="36" spans="1:10">
      <c r="A36" s="745"/>
      <c r="B36" s="585" t="s">
        <v>1399</v>
      </c>
      <c r="C36" s="750" t="s">
        <v>1400</v>
      </c>
      <c r="D36" s="751">
        <f>'Unit costs'!D13</f>
        <v>15</v>
      </c>
      <c r="E36" s="751">
        <v>100</v>
      </c>
      <c r="F36" s="752">
        <f t="shared" si="2"/>
        <v>1500</v>
      </c>
    </row>
    <row r="37" spans="1:10">
      <c r="A37" s="745"/>
      <c r="B37" s="585" t="s">
        <v>978</v>
      </c>
      <c r="C37" s="750" t="s">
        <v>1401</v>
      </c>
      <c r="D37" s="753">
        <f>'Unit costs'!D14</f>
        <v>0.05</v>
      </c>
      <c r="E37" s="751">
        <v>1</v>
      </c>
      <c r="F37" s="754">
        <f>SUM(F31:F36)*D37</f>
        <v>892.5</v>
      </c>
    </row>
    <row r="38" spans="1:10" ht="15.75" thickBot="1">
      <c r="A38" s="755"/>
      <c r="B38" s="756" t="s">
        <v>4</v>
      </c>
      <c r="C38" s="757"/>
      <c r="D38" s="757"/>
      <c r="E38" s="757"/>
      <c r="F38" s="758">
        <f>ROUND(SUM(F31:F37),-2)</f>
        <v>18700</v>
      </c>
    </row>
    <row r="39" spans="1:10" ht="15.75" thickBot="1"/>
    <row r="40" spans="1:10">
      <c r="A40" s="741" t="str">
        <f>'NSP Summary Budget (16-18)'!A114</f>
        <v>3.2.9</v>
      </c>
      <c r="B40" s="742" t="str">
        <f>'NSP Summary Budget (16-18)'!B114</f>
        <v>WHO reviews of the National TB Program</v>
      </c>
      <c r="C40" s="743"/>
      <c r="D40" s="743"/>
      <c r="E40" s="743"/>
      <c r="F40" s="744"/>
      <c r="G40" s="579"/>
      <c r="H40" s="579"/>
      <c r="I40" s="579"/>
      <c r="J40" s="579"/>
    </row>
    <row r="41" spans="1:10">
      <c r="A41" s="745"/>
      <c r="B41" s="746"/>
      <c r="C41" s="585"/>
      <c r="D41" s="585"/>
      <c r="E41" s="585"/>
      <c r="F41" s="747"/>
      <c r="G41" s="579"/>
      <c r="H41" s="579"/>
      <c r="I41" s="579"/>
      <c r="J41" s="579"/>
    </row>
    <row r="42" spans="1:10" ht="45">
      <c r="A42" s="745"/>
      <c r="B42" s="748" t="s">
        <v>1384</v>
      </c>
      <c r="C42" s="748" t="s">
        <v>1385</v>
      </c>
      <c r="D42" s="748" t="s">
        <v>1430</v>
      </c>
      <c r="E42" s="748" t="s">
        <v>1429</v>
      </c>
      <c r="F42" s="749" t="s">
        <v>1432</v>
      </c>
    </row>
    <row r="43" spans="1:10">
      <c r="A43" s="745"/>
      <c r="B43" s="585" t="s">
        <v>1390</v>
      </c>
      <c r="C43" s="750" t="s">
        <v>1391</v>
      </c>
      <c r="D43" s="751">
        <f>'Unit costs'!D8</f>
        <v>600</v>
      </c>
      <c r="E43" s="751">
        <f>8*12</f>
        <v>96</v>
      </c>
      <c r="F43" s="752">
        <f t="shared" ref="F43:F48" si="3">D43*E43</f>
        <v>57600</v>
      </c>
    </row>
    <row r="44" spans="1:10">
      <c r="A44" s="745"/>
      <c r="B44" s="585" t="s">
        <v>1392</v>
      </c>
      <c r="C44" s="750" t="s">
        <v>1393</v>
      </c>
      <c r="D44" s="751">
        <f>'Unit costs'!D9</f>
        <v>600</v>
      </c>
      <c r="E44" s="751">
        <f>8*1</f>
        <v>8</v>
      </c>
      <c r="F44" s="752">
        <f t="shared" si="3"/>
        <v>4800</v>
      </c>
    </row>
    <row r="45" spans="1:10">
      <c r="A45" s="745"/>
      <c r="B45" s="585" t="s">
        <v>1394</v>
      </c>
      <c r="C45" s="750" t="s">
        <v>1395</v>
      </c>
      <c r="D45" s="751">
        <f>'Unit costs'!D10</f>
        <v>200</v>
      </c>
      <c r="E45" s="751">
        <f>8*12</f>
        <v>96</v>
      </c>
      <c r="F45" s="752">
        <f t="shared" si="3"/>
        <v>19200</v>
      </c>
    </row>
    <row r="46" spans="1:10">
      <c r="A46" s="745"/>
      <c r="B46" s="585" t="s">
        <v>1396</v>
      </c>
      <c r="C46" s="750" t="s">
        <v>1397</v>
      </c>
      <c r="D46" s="751">
        <f>'Unit costs'!D11</f>
        <v>120</v>
      </c>
      <c r="E46" s="751">
        <f>3*10</f>
        <v>30</v>
      </c>
      <c r="F46" s="752">
        <f t="shared" si="3"/>
        <v>3600</v>
      </c>
    </row>
    <row r="47" spans="1:10">
      <c r="A47" s="745"/>
      <c r="B47" s="585" t="s">
        <v>1398</v>
      </c>
      <c r="C47" s="750" t="s">
        <v>1397</v>
      </c>
      <c r="D47" s="751">
        <f>'Unit costs'!D12</f>
        <v>150</v>
      </c>
      <c r="E47" s="751">
        <f>3*10</f>
        <v>30</v>
      </c>
      <c r="F47" s="752">
        <f t="shared" si="3"/>
        <v>4500</v>
      </c>
    </row>
    <row r="48" spans="1:10">
      <c r="A48" s="745"/>
      <c r="B48" s="585" t="s">
        <v>1399</v>
      </c>
      <c r="C48" s="750" t="s">
        <v>1400</v>
      </c>
      <c r="D48" s="751">
        <f>'Unit costs'!D13</f>
        <v>15</v>
      </c>
      <c r="E48" s="751">
        <v>200</v>
      </c>
      <c r="F48" s="752">
        <f t="shared" si="3"/>
        <v>3000</v>
      </c>
    </row>
    <row r="49" spans="1:6">
      <c r="A49" s="745"/>
      <c r="B49" s="585" t="s">
        <v>978</v>
      </c>
      <c r="C49" s="750" t="s">
        <v>1401</v>
      </c>
      <c r="D49" s="753">
        <f>'Unit costs'!D14</f>
        <v>0.05</v>
      </c>
      <c r="E49" s="751">
        <v>1</v>
      </c>
      <c r="F49" s="754">
        <f>SUM(F43:F48)*D49</f>
        <v>4635</v>
      </c>
    </row>
    <row r="50" spans="1:6" ht="15.75" thickBot="1">
      <c r="A50" s="755"/>
      <c r="B50" s="756" t="s">
        <v>4</v>
      </c>
      <c r="C50" s="757"/>
      <c r="D50" s="757"/>
      <c r="E50" s="757"/>
      <c r="F50" s="758">
        <f>ROUND(SUM(F43:F49),-2)</f>
        <v>97300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2:L458"/>
  <sheetViews>
    <sheetView zoomScale="80" zoomScaleNormal="80" workbookViewId="0">
      <selection activeCell="M23" sqref="M23"/>
    </sheetView>
  </sheetViews>
  <sheetFormatPr defaultColWidth="8.85546875" defaultRowHeight="15"/>
  <cols>
    <col min="1" max="1" width="10.140625" style="559" customWidth="1"/>
    <col min="2" max="2" width="44" style="554" customWidth="1"/>
    <col min="3" max="3" width="18.42578125" style="554" customWidth="1"/>
    <col min="4" max="5" width="8.85546875" style="554"/>
    <col min="6" max="6" width="9.85546875" style="554" customWidth="1"/>
    <col min="7" max="16384" width="8.85546875" style="554"/>
  </cols>
  <sheetData>
    <row r="2" spans="1:12" ht="15.75">
      <c r="A2" s="761" t="s">
        <v>1688</v>
      </c>
      <c r="B2" s="785" t="s">
        <v>1680</v>
      </c>
    </row>
    <row r="3" spans="1:12" ht="15.75" thickBot="1">
      <c r="B3" s="556"/>
    </row>
    <row r="4" spans="1:12">
      <c r="A4" s="762" t="str">
        <f>'NSP Summary Budget (16-18)'!A13</f>
        <v>1.1.2</v>
      </c>
      <c r="B4" s="763" t="str">
        <f>'NSP Summary Budget (16-18)'!B13</f>
        <v xml:space="preserve">Training of staff in Xpert MTB/RIF </v>
      </c>
      <c r="C4" s="743"/>
      <c r="D4" s="743"/>
      <c r="E4" s="743"/>
      <c r="F4" s="743"/>
      <c r="G4" s="744"/>
      <c r="H4" s="579"/>
      <c r="I4" s="579"/>
      <c r="J4" s="579"/>
      <c r="K4" s="579"/>
      <c r="L4" s="579"/>
    </row>
    <row r="5" spans="1:12">
      <c r="A5" s="764"/>
      <c r="B5" s="746"/>
      <c r="C5" s="585"/>
      <c r="D5" s="585"/>
      <c r="E5" s="585"/>
      <c r="F5" s="585"/>
      <c r="G5" s="747"/>
      <c r="H5" s="579"/>
      <c r="I5" s="579"/>
      <c r="J5" s="579"/>
      <c r="K5" s="579"/>
      <c r="L5" s="579"/>
    </row>
    <row r="6" spans="1:12">
      <c r="A6" s="775" t="s">
        <v>1683</v>
      </c>
      <c r="B6" s="766" t="s">
        <v>1682</v>
      </c>
      <c r="C6" s="585"/>
      <c r="D6" s="585"/>
      <c r="E6" s="585"/>
      <c r="F6" s="585"/>
      <c r="G6" s="747"/>
    </row>
    <row r="7" spans="1:12">
      <c r="A7" s="764"/>
      <c r="B7" s="746"/>
      <c r="C7" s="585"/>
      <c r="D7" s="585"/>
      <c r="E7" s="585"/>
      <c r="F7" s="585"/>
      <c r="G7" s="747"/>
    </row>
    <row r="8" spans="1:12">
      <c r="A8" s="767"/>
      <c r="B8" s="768" t="s">
        <v>1433</v>
      </c>
      <c r="C8" s="769">
        <v>2</v>
      </c>
      <c r="D8" s="585"/>
      <c r="E8" s="585"/>
      <c r="F8" s="585"/>
      <c r="G8" s="747"/>
      <c r="H8" s="579"/>
      <c r="I8" s="579"/>
      <c r="J8" s="579"/>
      <c r="K8" s="579"/>
      <c r="L8" s="579"/>
    </row>
    <row r="9" spans="1:12">
      <c r="A9" s="764"/>
      <c r="B9" s="768" t="s">
        <v>1434</v>
      </c>
      <c r="C9" s="769">
        <v>20</v>
      </c>
      <c r="D9" s="585"/>
      <c r="E9" s="585"/>
      <c r="F9" s="585"/>
      <c r="G9" s="747"/>
      <c r="H9" s="579"/>
      <c r="I9" s="579"/>
      <c r="J9" s="579"/>
      <c r="K9" s="579"/>
      <c r="L9" s="579"/>
    </row>
    <row r="10" spans="1:12">
      <c r="A10" s="764"/>
      <c r="B10" s="768" t="s">
        <v>1437</v>
      </c>
      <c r="C10" s="769">
        <v>14</v>
      </c>
      <c r="D10" s="585"/>
      <c r="E10" s="585"/>
      <c r="F10" s="585"/>
      <c r="G10" s="747"/>
      <c r="H10" s="579"/>
      <c r="I10" s="579"/>
      <c r="J10" s="579"/>
      <c r="K10" s="579"/>
      <c r="L10" s="579"/>
    </row>
    <row r="11" spans="1:12">
      <c r="A11" s="764"/>
      <c r="B11" s="768" t="s">
        <v>1435</v>
      </c>
      <c r="C11" s="769">
        <v>2</v>
      </c>
      <c r="D11" s="585"/>
      <c r="E11" s="585"/>
      <c r="F11" s="585"/>
      <c r="G11" s="747"/>
      <c r="H11" s="579"/>
      <c r="I11" s="579"/>
      <c r="J11" s="579"/>
      <c r="K11" s="579"/>
      <c r="L11" s="579"/>
    </row>
    <row r="12" spans="1:12">
      <c r="A12" s="764"/>
      <c r="B12" s="746"/>
      <c r="C12" s="585"/>
      <c r="D12" s="585"/>
      <c r="E12" s="585"/>
      <c r="F12" s="585"/>
      <c r="G12" s="747"/>
      <c r="H12" s="579"/>
      <c r="I12" s="579"/>
      <c r="J12" s="579"/>
      <c r="K12" s="579"/>
      <c r="L12" s="579"/>
    </row>
    <row r="13" spans="1:12" ht="45">
      <c r="A13" s="764"/>
      <c r="B13" s="748" t="s">
        <v>1384</v>
      </c>
      <c r="C13" s="748" t="s">
        <v>1385</v>
      </c>
      <c r="D13" s="748" t="s">
        <v>1430</v>
      </c>
      <c r="E13" s="748" t="s">
        <v>1429</v>
      </c>
      <c r="F13" s="748" t="s">
        <v>1436</v>
      </c>
      <c r="G13" s="749" t="s">
        <v>1431</v>
      </c>
      <c r="H13" s="579"/>
    </row>
    <row r="14" spans="1:12">
      <c r="A14" s="764"/>
      <c r="B14" s="585" t="s">
        <v>1402</v>
      </c>
      <c r="C14" s="750" t="s">
        <v>1393</v>
      </c>
      <c r="D14" s="751">
        <f>'Unit costs'!D17</f>
        <v>20</v>
      </c>
      <c r="E14" s="751">
        <f>C10</f>
        <v>14</v>
      </c>
      <c r="F14" s="585"/>
      <c r="G14" s="752">
        <f>D14*E14</f>
        <v>280</v>
      </c>
      <c r="H14" s="579"/>
    </row>
    <row r="15" spans="1:12">
      <c r="A15" s="764"/>
      <c r="B15" s="585" t="s">
        <v>1403</v>
      </c>
      <c r="C15" s="750" t="s">
        <v>1404</v>
      </c>
      <c r="D15" s="751">
        <f>'Unit costs'!D18</f>
        <v>60</v>
      </c>
      <c r="E15" s="751">
        <f>C10</f>
        <v>14</v>
      </c>
      <c r="F15" s="585">
        <f>C8</f>
        <v>2</v>
      </c>
      <c r="G15" s="752">
        <f>D15*E15*F15</f>
        <v>1680</v>
      </c>
      <c r="H15" s="579"/>
    </row>
    <row r="16" spans="1:12">
      <c r="A16" s="764"/>
      <c r="B16" s="585" t="s">
        <v>1405</v>
      </c>
      <c r="C16" s="750" t="s">
        <v>1406</v>
      </c>
      <c r="D16" s="751">
        <f>'Unit costs'!D19</f>
        <v>12</v>
      </c>
      <c r="E16" s="751">
        <f>C9+C11</f>
        <v>22</v>
      </c>
      <c r="F16" s="585">
        <f>C8</f>
        <v>2</v>
      </c>
      <c r="G16" s="752">
        <f>D16*E16*F16</f>
        <v>528</v>
      </c>
      <c r="H16" s="579"/>
    </row>
    <row r="17" spans="1:8">
      <c r="A17" s="764"/>
      <c r="B17" s="585" t="s">
        <v>1407</v>
      </c>
      <c r="C17" s="750" t="s">
        <v>1406</v>
      </c>
      <c r="D17" s="751">
        <f>'Unit costs'!D20</f>
        <v>80</v>
      </c>
      <c r="E17" s="751">
        <f>C11</f>
        <v>2</v>
      </c>
      <c r="F17" s="585">
        <f>C8</f>
        <v>2</v>
      </c>
      <c r="G17" s="752">
        <f>D17*E17*F17</f>
        <v>320</v>
      </c>
      <c r="H17" s="579"/>
    </row>
    <row r="18" spans="1:8">
      <c r="A18" s="764"/>
      <c r="B18" s="585" t="s">
        <v>1408</v>
      </c>
      <c r="C18" s="750" t="s">
        <v>1409</v>
      </c>
      <c r="D18" s="751">
        <f>'Unit costs'!D21</f>
        <v>8</v>
      </c>
      <c r="E18" s="751">
        <f>C9</f>
        <v>20</v>
      </c>
      <c r="F18" s="585"/>
      <c r="G18" s="752">
        <f>D18*E18</f>
        <v>160</v>
      </c>
      <c r="H18" s="579"/>
    </row>
    <row r="19" spans="1:8">
      <c r="A19" s="764"/>
      <c r="B19" s="585" t="s">
        <v>1410</v>
      </c>
      <c r="C19" s="750" t="s">
        <v>1397</v>
      </c>
      <c r="D19" s="751">
        <f>'Unit costs'!D22</f>
        <v>30</v>
      </c>
      <c r="E19" s="751">
        <v>1</v>
      </c>
      <c r="F19" s="585">
        <f>C8+1</f>
        <v>3</v>
      </c>
      <c r="G19" s="752">
        <f>D19*E19*F19</f>
        <v>90</v>
      </c>
      <c r="H19" s="579"/>
    </row>
    <row r="20" spans="1:8">
      <c r="A20" s="764"/>
      <c r="B20" s="585" t="s">
        <v>978</v>
      </c>
      <c r="C20" s="750" t="s">
        <v>1401</v>
      </c>
      <c r="D20" s="753">
        <f>'Unit costs'!D23</f>
        <v>0.05</v>
      </c>
      <c r="E20" s="585">
        <v>1</v>
      </c>
      <c r="F20" s="585"/>
      <c r="G20" s="754">
        <f>SUM(G14:G19)*D20</f>
        <v>152.9</v>
      </c>
      <c r="H20" s="579"/>
    </row>
    <row r="21" spans="1:8">
      <c r="A21" s="764"/>
      <c r="B21" s="771" t="s">
        <v>4</v>
      </c>
      <c r="C21" s="585"/>
      <c r="D21" s="585"/>
      <c r="E21" s="585"/>
      <c r="F21" s="585"/>
      <c r="G21" s="772">
        <f>ROUND(SUM(G14:G20),-2)</f>
        <v>3200</v>
      </c>
      <c r="H21" s="579"/>
    </row>
    <row r="22" spans="1:8">
      <c r="A22" s="764"/>
      <c r="B22" s="587"/>
      <c r="C22" s="587"/>
      <c r="D22" s="587"/>
      <c r="E22" s="587"/>
      <c r="F22" s="587"/>
      <c r="G22" s="773"/>
    </row>
    <row r="23" spans="1:8">
      <c r="A23" s="775" t="s">
        <v>1684</v>
      </c>
      <c r="B23" s="766" t="s">
        <v>1681</v>
      </c>
      <c r="C23" s="585"/>
      <c r="D23" s="585"/>
      <c r="E23" s="585"/>
      <c r="F23" s="585"/>
      <c r="G23" s="747"/>
    </row>
    <row r="24" spans="1:8">
      <c r="A24" s="764"/>
      <c r="B24" s="746"/>
      <c r="C24" s="585"/>
      <c r="D24" s="585"/>
      <c r="E24" s="585"/>
      <c r="F24" s="585"/>
      <c r="G24" s="747"/>
    </row>
    <row r="25" spans="1:8">
      <c r="A25" s="767"/>
      <c r="B25" s="768" t="s">
        <v>1433</v>
      </c>
      <c r="C25" s="769">
        <v>2</v>
      </c>
      <c r="D25" s="585"/>
      <c r="E25" s="585"/>
      <c r="F25" s="585"/>
      <c r="G25" s="747"/>
    </row>
    <row r="26" spans="1:8">
      <c r="A26" s="764"/>
      <c r="B26" s="768" t="s">
        <v>1434</v>
      </c>
      <c r="C26" s="769">
        <v>15</v>
      </c>
      <c r="D26" s="585"/>
      <c r="E26" s="585"/>
      <c r="F26" s="585"/>
      <c r="G26" s="747"/>
    </row>
    <row r="27" spans="1:8">
      <c r="A27" s="764"/>
      <c r="B27" s="768" t="s">
        <v>1440</v>
      </c>
      <c r="C27" s="769">
        <v>10</v>
      </c>
      <c r="D27" s="585"/>
      <c r="E27" s="585"/>
      <c r="F27" s="585"/>
      <c r="G27" s="747"/>
    </row>
    <row r="28" spans="1:8">
      <c r="A28" s="764"/>
      <c r="B28" s="768" t="s">
        <v>1435</v>
      </c>
      <c r="C28" s="769">
        <v>2</v>
      </c>
      <c r="D28" s="585"/>
      <c r="E28" s="585"/>
      <c r="F28" s="585"/>
      <c r="G28" s="747"/>
    </row>
    <row r="29" spans="1:8">
      <c r="A29" s="764"/>
      <c r="B29" s="746"/>
      <c r="C29" s="585"/>
      <c r="D29" s="585"/>
      <c r="E29" s="585"/>
      <c r="F29" s="585"/>
      <c r="G29" s="747"/>
    </row>
    <row r="30" spans="1:8" ht="45">
      <c r="A30" s="764"/>
      <c r="B30" s="748" t="s">
        <v>1384</v>
      </c>
      <c r="C30" s="748" t="s">
        <v>1385</v>
      </c>
      <c r="D30" s="748" t="s">
        <v>1430</v>
      </c>
      <c r="E30" s="748" t="s">
        <v>1429</v>
      </c>
      <c r="F30" s="748" t="s">
        <v>1436</v>
      </c>
      <c r="G30" s="749" t="s">
        <v>1431</v>
      </c>
    </row>
    <row r="31" spans="1:8">
      <c r="A31" s="764"/>
      <c r="B31" s="585" t="s">
        <v>1402</v>
      </c>
      <c r="C31" s="750" t="s">
        <v>1393</v>
      </c>
      <c r="D31" s="751">
        <f>'Unit costs'!D26</f>
        <v>10</v>
      </c>
      <c r="E31" s="751">
        <f>C27</f>
        <v>10</v>
      </c>
      <c r="F31" s="585"/>
      <c r="G31" s="752">
        <f>D31*E31</f>
        <v>100</v>
      </c>
    </row>
    <row r="32" spans="1:8">
      <c r="A32" s="764"/>
      <c r="B32" s="585" t="s">
        <v>1403</v>
      </c>
      <c r="C32" s="750" t="s">
        <v>1404</v>
      </c>
      <c r="D32" s="751">
        <f>'Unit costs'!D27</f>
        <v>60</v>
      </c>
      <c r="E32" s="751">
        <f>C27</f>
        <v>10</v>
      </c>
      <c r="F32" s="585">
        <f>C25</f>
        <v>2</v>
      </c>
      <c r="G32" s="752">
        <f>D32*E32*F32</f>
        <v>1200</v>
      </c>
    </row>
    <row r="33" spans="1:12">
      <c r="A33" s="764"/>
      <c r="B33" s="585" t="s">
        <v>1405</v>
      </c>
      <c r="C33" s="750" t="s">
        <v>1406</v>
      </c>
      <c r="D33" s="751">
        <f>'Unit costs'!D28</f>
        <v>10</v>
      </c>
      <c r="E33" s="751">
        <f>C26+C28</f>
        <v>17</v>
      </c>
      <c r="F33" s="585">
        <f>C25</f>
        <v>2</v>
      </c>
      <c r="G33" s="752">
        <f>D33*E33*F33</f>
        <v>340</v>
      </c>
    </row>
    <row r="34" spans="1:12">
      <c r="A34" s="764"/>
      <c r="B34" s="585" t="s">
        <v>1407</v>
      </c>
      <c r="C34" s="750" t="s">
        <v>1406</v>
      </c>
      <c r="D34" s="751">
        <f>'Unit costs'!D29</f>
        <v>80</v>
      </c>
      <c r="E34" s="751">
        <f>C28</f>
        <v>2</v>
      </c>
      <c r="F34" s="585">
        <f>C25</f>
        <v>2</v>
      </c>
      <c r="G34" s="752">
        <f>D34*E34*F34</f>
        <v>320</v>
      </c>
    </row>
    <row r="35" spans="1:12">
      <c r="A35" s="764"/>
      <c r="B35" s="585" t="s">
        <v>1408</v>
      </c>
      <c r="C35" s="750" t="s">
        <v>1409</v>
      </c>
      <c r="D35" s="751">
        <f>'Unit costs'!D30</f>
        <v>5</v>
      </c>
      <c r="E35" s="751">
        <f>C26</f>
        <v>15</v>
      </c>
      <c r="F35" s="585"/>
      <c r="G35" s="752">
        <f>D35*E35</f>
        <v>75</v>
      </c>
    </row>
    <row r="36" spans="1:12">
      <c r="A36" s="764"/>
      <c r="B36" s="585" t="s">
        <v>1410</v>
      </c>
      <c r="C36" s="750" t="s">
        <v>1397</v>
      </c>
      <c r="D36" s="751">
        <f>'Unit costs'!D31</f>
        <v>20</v>
      </c>
      <c r="E36" s="751">
        <v>1</v>
      </c>
      <c r="F36" s="585">
        <f>C25+1</f>
        <v>3</v>
      </c>
      <c r="G36" s="752">
        <f>D36*E36*F36</f>
        <v>60</v>
      </c>
    </row>
    <row r="37" spans="1:12">
      <c r="A37" s="764"/>
      <c r="B37" s="585" t="s">
        <v>978</v>
      </c>
      <c r="C37" s="750" t="s">
        <v>1401</v>
      </c>
      <c r="D37" s="753">
        <f>'Unit costs'!D32</f>
        <v>0.05</v>
      </c>
      <c r="E37" s="585">
        <v>1</v>
      </c>
      <c r="F37" s="585"/>
      <c r="G37" s="754">
        <f>SUM(G31:G36)*D37</f>
        <v>104.75</v>
      </c>
    </row>
    <row r="38" spans="1:12" ht="15.75" thickBot="1">
      <c r="A38" s="774"/>
      <c r="B38" s="756" t="s">
        <v>4</v>
      </c>
      <c r="C38" s="757"/>
      <c r="D38" s="757"/>
      <c r="E38" s="757"/>
      <c r="F38" s="757"/>
      <c r="G38" s="758">
        <f>ROUND(SUM(G31:G37),-2)</f>
        <v>2200</v>
      </c>
    </row>
    <row r="39" spans="1:12" ht="15.75" thickBot="1"/>
    <row r="40" spans="1:12">
      <c r="A40" s="762" t="str">
        <f>'NSP Summary Budget (16-18)'!A20</f>
        <v>1.1.9</v>
      </c>
      <c r="B40" s="763" t="str">
        <f>'NSP Summary Budget (16-18)'!B20</f>
        <v>Workshops and coordination meetings on Xpert MTB/RIF</v>
      </c>
      <c r="C40" s="743"/>
      <c r="D40" s="743"/>
      <c r="E40" s="743"/>
      <c r="F40" s="743"/>
      <c r="G40" s="744"/>
      <c r="H40" s="579"/>
      <c r="I40" s="579"/>
      <c r="J40" s="579"/>
      <c r="K40" s="579"/>
      <c r="L40" s="579"/>
    </row>
    <row r="41" spans="1:12">
      <c r="A41" s="764"/>
      <c r="B41" s="746"/>
      <c r="C41" s="585"/>
      <c r="D41" s="585"/>
      <c r="E41" s="585"/>
      <c r="F41" s="585"/>
      <c r="G41" s="747"/>
      <c r="H41" s="579"/>
      <c r="I41" s="579"/>
      <c r="J41" s="579"/>
      <c r="K41" s="579"/>
      <c r="L41" s="579"/>
    </row>
    <row r="42" spans="1:12">
      <c r="A42" s="765"/>
      <c r="B42" s="766" t="s">
        <v>1682</v>
      </c>
      <c r="C42" s="585"/>
      <c r="D42" s="585"/>
      <c r="E42" s="585"/>
      <c r="F42" s="585"/>
      <c r="G42" s="747"/>
    </row>
    <row r="43" spans="1:12">
      <c r="A43" s="764"/>
      <c r="B43" s="746"/>
      <c r="C43" s="585"/>
      <c r="D43" s="585"/>
      <c r="E43" s="585"/>
      <c r="F43" s="585"/>
      <c r="G43" s="747"/>
    </row>
    <row r="44" spans="1:12">
      <c r="A44" s="767"/>
      <c r="B44" s="768" t="s">
        <v>1433</v>
      </c>
      <c r="C44" s="769">
        <v>2</v>
      </c>
      <c r="D44" s="585"/>
      <c r="E44" s="585"/>
      <c r="F44" s="585"/>
      <c r="G44" s="747"/>
      <c r="H44" s="579"/>
      <c r="I44" s="579"/>
      <c r="J44" s="579"/>
      <c r="K44" s="579"/>
      <c r="L44" s="579"/>
    </row>
    <row r="45" spans="1:12">
      <c r="A45" s="764"/>
      <c r="B45" s="768" t="s">
        <v>1434</v>
      </c>
      <c r="C45" s="769">
        <v>30</v>
      </c>
      <c r="D45" s="585"/>
      <c r="E45" s="585"/>
      <c r="F45" s="585"/>
      <c r="G45" s="747"/>
      <c r="H45" s="579"/>
      <c r="I45" s="579"/>
      <c r="J45" s="579"/>
      <c r="K45" s="579"/>
      <c r="L45" s="579"/>
    </row>
    <row r="46" spans="1:12">
      <c r="A46" s="764"/>
      <c r="B46" s="768" t="s">
        <v>1437</v>
      </c>
      <c r="C46" s="769">
        <v>22</v>
      </c>
      <c r="D46" s="585"/>
      <c r="E46" s="585"/>
      <c r="F46" s="585"/>
      <c r="G46" s="747"/>
      <c r="H46" s="579"/>
      <c r="I46" s="579"/>
      <c r="J46" s="579"/>
      <c r="K46" s="579"/>
      <c r="L46" s="579"/>
    </row>
    <row r="47" spans="1:12">
      <c r="A47" s="764"/>
      <c r="B47" s="768" t="s">
        <v>1435</v>
      </c>
      <c r="C47" s="769">
        <v>3</v>
      </c>
      <c r="D47" s="585"/>
      <c r="E47" s="585"/>
      <c r="F47" s="585"/>
      <c r="G47" s="747"/>
      <c r="H47" s="579"/>
      <c r="I47" s="579"/>
      <c r="J47" s="579"/>
      <c r="K47" s="579"/>
      <c r="L47" s="579"/>
    </row>
    <row r="48" spans="1:12">
      <c r="A48" s="764"/>
      <c r="B48" s="746"/>
      <c r="C48" s="585"/>
      <c r="D48" s="585"/>
      <c r="E48" s="585"/>
      <c r="F48" s="585"/>
      <c r="G48" s="747"/>
      <c r="H48" s="579"/>
      <c r="I48" s="579"/>
      <c r="J48" s="579"/>
      <c r="K48" s="579"/>
      <c r="L48" s="579"/>
    </row>
    <row r="49" spans="1:12" ht="45">
      <c r="A49" s="764"/>
      <c r="B49" s="748" t="s">
        <v>1384</v>
      </c>
      <c r="C49" s="748" t="s">
        <v>1385</v>
      </c>
      <c r="D49" s="748" t="s">
        <v>1430</v>
      </c>
      <c r="E49" s="748" t="s">
        <v>1429</v>
      </c>
      <c r="F49" s="748" t="s">
        <v>1436</v>
      </c>
      <c r="G49" s="749" t="s">
        <v>1431</v>
      </c>
      <c r="H49" s="579"/>
    </row>
    <row r="50" spans="1:12">
      <c r="A50" s="764"/>
      <c r="B50" s="585" t="s">
        <v>1402</v>
      </c>
      <c r="C50" s="750" t="s">
        <v>1393</v>
      </c>
      <c r="D50" s="751">
        <f>'Unit costs'!D17</f>
        <v>20</v>
      </c>
      <c r="E50" s="751">
        <f>C46</f>
        <v>22</v>
      </c>
      <c r="F50" s="585"/>
      <c r="G50" s="752">
        <f>D50*E50</f>
        <v>440</v>
      </c>
      <c r="H50" s="579"/>
    </row>
    <row r="51" spans="1:12">
      <c r="A51" s="764"/>
      <c r="B51" s="585" t="s">
        <v>1403</v>
      </c>
      <c r="C51" s="750" t="s">
        <v>1404</v>
      </c>
      <c r="D51" s="751">
        <f>'Unit costs'!D18</f>
        <v>60</v>
      </c>
      <c r="E51" s="751">
        <f>C46</f>
        <v>22</v>
      </c>
      <c r="F51" s="585">
        <f>C44</f>
        <v>2</v>
      </c>
      <c r="G51" s="752">
        <f>D51*E51*F51</f>
        <v>2640</v>
      </c>
      <c r="H51" s="579"/>
    </row>
    <row r="52" spans="1:12">
      <c r="A52" s="764"/>
      <c r="B52" s="585" t="s">
        <v>1405</v>
      </c>
      <c r="C52" s="750" t="s">
        <v>1406</v>
      </c>
      <c r="D52" s="751">
        <f>'Unit costs'!D19</f>
        <v>12</v>
      </c>
      <c r="E52" s="751">
        <f>C45+C47</f>
        <v>33</v>
      </c>
      <c r="F52" s="585">
        <f>C44</f>
        <v>2</v>
      </c>
      <c r="G52" s="752">
        <f>D52*E52*F52</f>
        <v>792</v>
      </c>
      <c r="H52" s="579"/>
    </row>
    <row r="53" spans="1:12">
      <c r="A53" s="764"/>
      <c r="B53" s="585" t="s">
        <v>1407</v>
      </c>
      <c r="C53" s="750" t="s">
        <v>1406</v>
      </c>
      <c r="D53" s="751">
        <f>'Unit costs'!D20</f>
        <v>80</v>
      </c>
      <c r="E53" s="751">
        <f>C47</f>
        <v>3</v>
      </c>
      <c r="F53" s="585">
        <f>C44</f>
        <v>2</v>
      </c>
      <c r="G53" s="752">
        <f>D53*E53*F53</f>
        <v>480</v>
      </c>
      <c r="H53" s="579"/>
    </row>
    <row r="54" spans="1:12">
      <c r="A54" s="764"/>
      <c r="B54" s="585" t="s">
        <v>1408</v>
      </c>
      <c r="C54" s="750" t="s">
        <v>1409</v>
      </c>
      <c r="D54" s="751">
        <f>'Unit costs'!D21</f>
        <v>8</v>
      </c>
      <c r="E54" s="751">
        <f>C45</f>
        <v>30</v>
      </c>
      <c r="F54" s="585"/>
      <c r="G54" s="752">
        <f>D54*E54</f>
        <v>240</v>
      </c>
      <c r="H54" s="579"/>
    </row>
    <row r="55" spans="1:12">
      <c r="A55" s="764"/>
      <c r="B55" s="585" t="s">
        <v>1410</v>
      </c>
      <c r="C55" s="750" t="s">
        <v>1397</v>
      </c>
      <c r="D55" s="751">
        <f>'Unit costs'!D22</f>
        <v>30</v>
      </c>
      <c r="E55" s="751">
        <v>1</v>
      </c>
      <c r="F55" s="585">
        <f>C44+1</f>
        <v>3</v>
      </c>
      <c r="G55" s="752">
        <f>D55*E55*F55</f>
        <v>90</v>
      </c>
      <c r="H55" s="579"/>
    </row>
    <row r="56" spans="1:12">
      <c r="A56" s="764"/>
      <c r="B56" s="585" t="s">
        <v>978</v>
      </c>
      <c r="C56" s="750" t="s">
        <v>1401</v>
      </c>
      <c r="D56" s="753">
        <f>'Unit costs'!D23</f>
        <v>0.05</v>
      </c>
      <c r="E56" s="585">
        <v>1</v>
      </c>
      <c r="F56" s="585"/>
      <c r="G56" s="754">
        <f>SUM(G50:G55)*D56</f>
        <v>234.10000000000002</v>
      </c>
      <c r="H56" s="579"/>
    </row>
    <row r="57" spans="1:12" ht="15.75" thickBot="1">
      <c r="A57" s="774"/>
      <c r="B57" s="756" t="s">
        <v>4</v>
      </c>
      <c r="C57" s="757"/>
      <c r="D57" s="757"/>
      <c r="E57" s="757"/>
      <c r="F57" s="757"/>
      <c r="G57" s="758">
        <f>ROUND(SUM(G50:G56),-2)</f>
        <v>4900</v>
      </c>
      <c r="H57" s="579"/>
    </row>
    <row r="58" spans="1:12" ht="15.75" thickBot="1"/>
    <row r="59" spans="1:12">
      <c r="A59" s="762" t="str">
        <f>'NSP Summary Budget (16-18)'!A25</f>
        <v>1.2.4</v>
      </c>
      <c r="B59" s="763" t="str">
        <f>'NSP Summary Budget (16-18)'!B25</f>
        <v>Training of ZDLs and LSSs staff</v>
      </c>
      <c r="C59" s="743"/>
      <c r="D59" s="743"/>
      <c r="E59" s="743"/>
      <c r="F59" s="743"/>
      <c r="G59" s="744"/>
      <c r="H59" s="579"/>
      <c r="I59" s="579"/>
      <c r="J59" s="579"/>
      <c r="K59" s="579"/>
      <c r="L59" s="579"/>
    </row>
    <row r="60" spans="1:12">
      <c r="A60" s="764"/>
      <c r="B60" s="746"/>
      <c r="C60" s="585"/>
      <c r="D60" s="585"/>
      <c r="E60" s="585"/>
      <c r="F60" s="585"/>
      <c r="G60" s="747"/>
      <c r="H60" s="579"/>
      <c r="I60" s="579"/>
      <c r="J60" s="579"/>
      <c r="K60" s="579"/>
      <c r="L60" s="579"/>
    </row>
    <row r="61" spans="1:12">
      <c r="A61" s="765"/>
      <c r="B61" s="766" t="s">
        <v>1682</v>
      </c>
      <c r="C61" s="585"/>
      <c r="D61" s="585"/>
      <c r="E61" s="585"/>
      <c r="F61" s="585"/>
      <c r="G61" s="747"/>
    </row>
    <row r="62" spans="1:12">
      <c r="A62" s="764"/>
      <c r="B62" s="746"/>
      <c r="C62" s="585"/>
      <c r="D62" s="585"/>
      <c r="E62" s="585"/>
      <c r="F62" s="585"/>
      <c r="G62" s="747"/>
    </row>
    <row r="63" spans="1:12">
      <c r="A63" s="767"/>
      <c r="B63" s="768" t="s">
        <v>1433</v>
      </c>
      <c r="C63" s="769">
        <v>3</v>
      </c>
      <c r="D63" s="585"/>
      <c r="E63" s="585"/>
      <c r="F63" s="585"/>
      <c r="G63" s="747"/>
      <c r="H63" s="579"/>
      <c r="I63" s="579"/>
      <c r="J63" s="579"/>
      <c r="K63" s="579"/>
      <c r="L63" s="579"/>
    </row>
    <row r="64" spans="1:12">
      <c r="A64" s="764"/>
      <c r="B64" s="768" t="s">
        <v>1434</v>
      </c>
      <c r="C64" s="769">
        <v>8</v>
      </c>
      <c r="D64" s="585"/>
      <c r="E64" s="585"/>
      <c r="F64" s="585"/>
      <c r="G64" s="747"/>
      <c r="H64" s="579"/>
      <c r="I64" s="579"/>
      <c r="J64" s="579"/>
      <c r="K64" s="579"/>
      <c r="L64" s="579"/>
    </row>
    <row r="65" spans="1:12">
      <c r="A65" s="764"/>
      <c r="B65" s="768" t="s">
        <v>1437</v>
      </c>
      <c r="C65" s="769">
        <v>8</v>
      </c>
      <c r="D65" s="585"/>
      <c r="E65" s="585"/>
      <c r="F65" s="585"/>
      <c r="G65" s="747"/>
      <c r="H65" s="579"/>
      <c r="I65" s="579"/>
      <c r="J65" s="579"/>
      <c r="K65" s="579"/>
      <c r="L65" s="579"/>
    </row>
    <row r="66" spans="1:12">
      <c r="A66" s="764"/>
      <c r="B66" s="768" t="s">
        <v>1435</v>
      </c>
      <c r="C66" s="769">
        <v>2</v>
      </c>
      <c r="D66" s="585"/>
      <c r="E66" s="585"/>
      <c r="F66" s="585"/>
      <c r="G66" s="747"/>
      <c r="H66" s="579"/>
      <c r="I66" s="579"/>
      <c r="J66" s="579"/>
      <c r="K66" s="579"/>
      <c r="L66" s="579"/>
    </row>
    <row r="67" spans="1:12">
      <c r="A67" s="764"/>
      <c r="B67" s="746"/>
      <c r="C67" s="585"/>
      <c r="D67" s="585"/>
      <c r="E67" s="585"/>
      <c r="F67" s="585"/>
      <c r="G67" s="747"/>
      <c r="H67" s="579"/>
      <c r="I67" s="579"/>
      <c r="J67" s="579"/>
      <c r="K67" s="579"/>
      <c r="L67" s="579"/>
    </row>
    <row r="68" spans="1:12" ht="45">
      <c r="A68" s="764"/>
      <c r="B68" s="748" t="s">
        <v>1384</v>
      </c>
      <c r="C68" s="748" t="s">
        <v>1385</v>
      </c>
      <c r="D68" s="748" t="s">
        <v>1430</v>
      </c>
      <c r="E68" s="748" t="s">
        <v>1429</v>
      </c>
      <c r="F68" s="748" t="s">
        <v>1436</v>
      </c>
      <c r="G68" s="749" t="s">
        <v>1431</v>
      </c>
      <c r="H68" s="579"/>
    </row>
    <row r="69" spans="1:12">
      <c r="A69" s="764"/>
      <c r="B69" s="585" t="s">
        <v>1402</v>
      </c>
      <c r="C69" s="750" t="s">
        <v>1393</v>
      </c>
      <c r="D69" s="751">
        <f>'Unit costs'!D17</f>
        <v>20</v>
      </c>
      <c r="E69" s="751">
        <f>C65</f>
        <v>8</v>
      </c>
      <c r="F69" s="585"/>
      <c r="G69" s="752">
        <f>D69*E69</f>
        <v>160</v>
      </c>
      <c r="H69" s="579"/>
    </row>
    <row r="70" spans="1:12">
      <c r="A70" s="764"/>
      <c r="B70" s="585" t="s">
        <v>1403</v>
      </c>
      <c r="C70" s="750" t="s">
        <v>1404</v>
      </c>
      <c r="D70" s="751">
        <f>'Unit costs'!D18</f>
        <v>60</v>
      </c>
      <c r="E70" s="751">
        <f>C65</f>
        <v>8</v>
      </c>
      <c r="F70" s="585">
        <f>C63</f>
        <v>3</v>
      </c>
      <c r="G70" s="752">
        <f>D70*E70*F70</f>
        <v>1440</v>
      </c>
      <c r="H70" s="579"/>
    </row>
    <row r="71" spans="1:12">
      <c r="A71" s="764"/>
      <c r="B71" s="585" t="s">
        <v>1405</v>
      </c>
      <c r="C71" s="750" t="s">
        <v>1406</v>
      </c>
      <c r="D71" s="751">
        <f>'Unit costs'!D19</f>
        <v>12</v>
      </c>
      <c r="E71" s="751">
        <f>C64+C66</f>
        <v>10</v>
      </c>
      <c r="F71" s="585">
        <f>C63</f>
        <v>3</v>
      </c>
      <c r="G71" s="752">
        <f>D71*E71*F71</f>
        <v>360</v>
      </c>
      <c r="H71" s="579"/>
    </row>
    <row r="72" spans="1:12">
      <c r="A72" s="764"/>
      <c r="B72" s="585" t="s">
        <v>1407</v>
      </c>
      <c r="C72" s="750" t="s">
        <v>1406</v>
      </c>
      <c r="D72" s="751">
        <f>'Unit costs'!D20</f>
        <v>80</v>
      </c>
      <c r="E72" s="751">
        <f>C66</f>
        <v>2</v>
      </c>
      <c r="F72" s="585">
        <f>C63</f>
        <v>3</v>
      </c>
      <c r="G72" s="752">
        <f>D72*E72*F72</f>
        <v>480</v>
      </c>
      <c r="H72" s="579"/>
    </row>
    <row r="73" spans="1:12">
      <c r="A73" s="764"/>
      <c r="B73" s="585" t="s">
        <v>1408</v>
      </c>
      <c r="C73" s="750" t="s">
        <v>1409</v>
      </c>
      <c r="D73" s="751">
        <f>'Unit costs'!D21</f>
        <v>8</v>
      </c>
      <c r="E73" s="751">
        <f>C64</f>
        <v>8</v>
      </c>
      <c r="F73" s="585"/>
      <c r="G73" s="752">
        <f>D73*E73</f>
        <v>64</v>
      </c>
      <c r="H73" s="579"/>
    </row>
    <row r="74" spans="1:12">
      <c r="A74" s="764"/>
      <c r="B74" s="585" t="s">
        <v>1410</v>
      </c>
      <c r="C74" s="750" t="s">
        <v>1397</v>
      </c>
      <c r="D74" s="751">
        <f>'Unit costs'!D22</f>
        <v>30</v>
      </c>
      <c r="E74" s="751">
        <v>1</v>
      </c>
      <c r="F74" s="585">
        <f>C63+1</f>
        <v>4</v>
      </c>
      <c r="G74" s="752">
        <f>D74*E74*F74</f>
        <v>120</v>
      </c>
      <c r="H74" s="579"/>
    </row>
    <row r="75" spans="1:12">
      <c r="A75" s="764"/>
      <c r="B75" s="585" t="s">
        <v>978</v>
      </c>
      <c r="C75" s="750" t="s">
        <v>1401</v>
      </c>
      <c r="D75" s="753">
        <f>'Unit costs'!D23</f>
        <v>0.05</v>
      </c>
      <c r="E75" s="585">
        <v>1</v>
      </c>
      <c r="F75" s="585"/>
      <c r="G75" s="754">
        <f>SUM(G69:G74)*D75</f>
        <v>131.20000000000002</v>
      </c>
      <c r="H75" s="579"/>
    </row>
    <row r="76" spans="1:12" ht="15.75" thickBot="1">
      <c r="A76" s="774"/>
      <c r="B76" s="756" t="s">
        <v>4</v>
      </c>
      <c r="C76" s="757"/>
      <c r="D76" s="757"/>
      <c r="E76" s="757"/>
      <c r="F76" s="757"/>
      <c r="G76" s="758">
        <f>ROUND(SUM(G69:G75),-2)</f>
        <v>2800</v>
      </c>
      <c r="H76" s="579"/>
    </row>
    <row r="77" spans="1:12" ht="15.75" thickBot="1"/>
    <row r="78" spans="1:12">
      <c r="A78" s="762" t="str">
        <f>'NSP Summary Budget (16-18)'!A32</f>
        <v>1.2.11</v>
      </c>
      <c r="B78" s="763" t="str">
        <f>'NSP Summary Budget (16-18)'!B32</f>
        <v>International training, strengthening NRL quality management system / support to ISO accreditation</v>
      </c>
      <c r="C78" s="743"/>
      <c r="D78" s="743"/>
      <c r="E78" s="743"/>
      <c r="F78" s="744"/>
      <c r="G78" s="585"/>
      <c r="H78" s="579"/>
      <c r="I78" s="579"/>
      <c r="J78" s="579"/>
    </row>
    <row r="79" spans="1:12">
      <c r="A79" s="764"/>
      <c r="B79" s="746"/>
      <c r="C79" s="585"/>
      <c r="D79" s="585"/>
      <c r="E79" s="585"/>
      <c r="F79" s="747"/>
      <c r="G79" s="585"/>
      <c r="H79" s="579"/>
      <c r="I79" s="579"/>
      <c r="J79" s="579"/>
    </row>
    <row r="80" spans="1:12">
      <c r="A80" s="764"/>
      <c r="B80" s="766" t="s">
        <v>1686</v>
      </c>
      <c r="C80" s="585"/>
      <c r="D80" s="585"/>
      <c r="E80" s="585"/>
      <c r="F80" s="747"/>
      <c r="G80" s="585"/>
      <c r="H80" s="579"/>
      <c r="I80" s="579"/>
      <c r="J80" s="579"/>
    </row>
    <row r="81" spans="1:12">
      <c r="A81" s="764"/>
      <c r="B81" s="786"/>
      <c r="C81" s="585"/>
      <c r="D81" s="585"/>
      <c r="E81" s="585"/>
      <c r="F81" s="747"/>
      <c r="G81" s="585"/>
      <c r="H81" s="579"/>
      <c r="I81" s="579"/>
      <c r="J81" s="579"/>
    </row>
    <row r="82" spans="1:12" ht="45">
      <c r="A82" s="764"/>
      <c r="B82" s="748" t="s">
        <v>1384</v>
      </c>
      <c r="C82" s="748" t="s">
        <v>1385</v>
      </c>
      <c r="D82" s="748" t="s">
        <v>1430</v>
      </c>
      <c r="E82" s="748" t="s">
        <v>1429</v>
      </c>
      <c r="F82" s="749" t="s">
        <v>1431</v>
      </c>
      <c r="G82" s="585"/>
    </row>
    <row r="83" spans="1:12">
      <c r="A83" s="764"/>
      <c r="B83" s="585" t="s">
        <v>1392</v>
      </c>
      <c r="C83" s="750" t="s">
        <v>1393</v>
      </c>
      <c r="D83" s="751">
        <f>'Unit costs'!D101</f>
        <v>800</v>
      </c>
      <c r="E83" s="751">
        <v>1</v>
      </c>
      <c r="F83" s="752">
        <f t="shared" ref="F83:F88" si="0">D83*E83</f>
        <v>800</v>
      </c>
      <c r="G83" s="585"/>
    </row>
    <row r="84" spans="1:12">
      <c r="A84" s="764"/>
      <c r="B84" s="585" t="s">
        <v>1412</v>
      </c>
      <c r="C84" s="750" t="s">
        <v>1413</v>
      </c>
      <c r="D84" s="751">
        <f>'Unit costs'!D102</f>
        <v>160</v>
      </c>
      <c r="E84" s="751">
        <v>6</v>
      </c>
      <c r="F84" s="752">
        <f t="shared" si="0"/>
        <v>960</v>
      </c>
      <c r="G84" s="585"/>
    </row>
    <row r="85" spans="1:12">
      <c r="A85" s="764"/>
      <c r="B85" s="585" t="s">
        <v>1414</v>
      </c>
      <c r="C85" s="750" t="s">
        <v>1397</v>
      </c>
      <c r="D85" s="751">
        <f>'Unit costs'!D103</f>
        <v>80</v>
      </c>
      <c r="E85" s="751">
        <v>7</v>
      </c>
      <c r="F85" s="752">
        <f t="shared" si="0"/>
        <v>560</v>
      </c>
      <c r="G85" s="585"/>
    </row>
    <row r="86" spans="1:12">
      <c r="A86" s="764"/>
      <c r="B86" s="585" t="s">
        <v>1415</v>
      </c>
      <c r="C86" s="750" t="s">
        <v>1416</v>
      </c>
      <c r="D86" s="751">
        <f>'Unit costs'!D104</f>
        <v>1500</v>
      </c>
      <c r="E86" s="751">
        <v>1</v>
      </c>
      <c r="F86" s="752">
        <f t="shared" si="0"/>
        <v>1500</v>
      </c>
      <c r="G86" s="585"/>
    </row>
    <row r="87" spans="1:12">
      <c r="A87" s="764"/>
      <c r="B87" s="585" t="s">
        <v>1417</v>
      </c>
      <c r="C87" s="750" t="s">
        <v>1416</v>
      </c>
      <c r="D87" s="751">
        <f>'Unit costs'!D105</f>
        <v>30</v>
      </c>
      <c r="E87" s="751">
        <v>1</v>
      </c>
      <c r="F87" s="752">
        <f t="shared" si="0"/>
        <v>30</v>
      </c>
      <c r="G87" s="585"/>
    </row>
    <row r="88" spans="1:12">
      <c r="A88" s="764"/>
      <c r="B88" s="585" t="s">
        <v>1418</v>
      </c>
      <c r="C88" s="750" t="s">
        <v>1416</v>
      </c>
      <c r="D88" s="751">
        <f>'Unit costs'!D106</f>
        <v>70</v>
      </c>
      <c r="E88" s="751">
        <v>1</v>
      </c>
      <c r="F88" s="752">
        <f t="shared" si="0"/>
        <v>70</v>
      </c>
      <c r="G88" s="585"/>
    </row>
    <row r="89" spans="1:12">
      <c r="A89" s="764"/>
      <c r="B89" s="585" t="s">
        <v>978</v>
      </c>
      <c r="C89" s="750" t="s">
        <v>1401</v>
      </c>
      <c r="D89" s="753">
        <f>'Unit costs'!D107</f>
        <v>0.05</v>
      </c>
      <c r="E89" s="585">
        <v>1</v>
      </c>
      <c r="F89" s="754">
        <f>SUM(F83:F88)*D89</f>
        <v>196</v>
      </c>
      <c r="G89" s="585"/>
    </row>
    <row r="90" spans="1:12" ht="15.75" thickBot="1">
      <c r="A90" s="774"/>
      <c r="B90" s="756" t="s">
        <v>4</v>
      </c>
      <c r="C90" s="757"/>
      <c r="D90" s="757"/>
      <c r="E90" s="757"/>
      <c r="F90" s="758">
        <f>ROUND(SUM(F83:F89),-2)</f>
        <v>4100</v>
      </c>
      <c r="G90" s="585"/>
    </row>
    <row r="91" spans="1:12" ht="15.75" thickBot="1"/>
    <row r="92" spans="1:12">
      <c r="A92" s="762" t="str">
        <f>'NSP Summary Budget (16-18)'!A33</f>
        <v>1.2.12</v>
      </c>
      <c r="B92" s="763" t="str">
        <f>'NSP Summary Budget (16-18)'!B33</f>
        <v>Training of staff, strengthening NRL quality management system / support to ISO accreditation</v>
      </c>
      <c r="C92" s="743"/>
      <c r="D92" s="743"/>
      <c r="E92" s="743"/>
      <c r="F92" s="743"/>
      <c r="G92" s="744"/>
      <c r="H92" s="579"/>
      <c r="I92" s="579"/>
      <c r="J92" s="579"/>
      <c r="K92" s="579"/>
      <c r="L92" s="579"/>
    </row>
    <row r="93" spans="1:12">
      <c r="A93" s="764"/>
      <c r="B93" s="746"/>
      <c r="C93" s="585"/>
      <c r="D93" s="585"/>
      <c r="E93" s="585"/>
      <c r="F93" s="585"/>
      <c r="G93" s="747"/>
      <c r="H93" s="579"/>
      <c r="I93" s="579"/>
      <c r="J93" s="579"/>
      <c r="K93" s="579"/>
      <c r="L93" s="579"/>
    </row>
    <row r="94" spans="1:12">
      <c r="A94" s="765"/>
      <c r="B94" s="766" t="s">
        <v>1685</v>
      </c>
      <c r="C94" s="585"/>
      <c r="D94" s="585"/>
      <c r="E94" s="585"/>
      <c r="F94" s="585"/>
      <c r="G94" s="747"/>
    </row>
    <row r="95" spans="1:12">
      <c r="A95" s="764"/>
      <c r="B95" s="746"/>
      <c r="C95" s="585"/>
      <c r="D95" s="585"/>
      <c r="E95" s="585"/>
      <c r="F95" s="585"/>
      <c r="G95" s="747"/>
    </row>
    <row r="96" spans="1:12">
      <c r="A96" s="764"/>
      <c r="B96" s="768" t="s">
        <v>1433</v>
      </c>
      <c r="C96" s="769">
        <v>4</v>
      </c>
      <c r="D96" s="585"/>
      <c r="E96" s="585"/>
      <c r="F96" s="585"/>
      <c r="G96" s="747"/>
      <c r="H96" s="579"/>
      <c r="I96" s="579"/>
      <c r="J96" s="579"/>
      <c r="K96" s="579"/>
      <c r="L96" s="579"/>
    </row>
    <row r="97" spans="1:12">
      <c r="A97" s="764"/>
      <c r="B97" s="768" t="s">
        <v>1434</v>
      </c>
      <c r="C97" s="769">
        <v>10</v>
      </c>
      <c r="D97" s="585"/>
      <c r="E97" s="585"/>
      <c r="F97" s="585"/>
      <c r="G97" s="747"/>
      <c r="H97" s="579"/>
      <c r="I97" s="579"/>
      <c r="J97" s="579"/>
      <c r="K97" s="579"/>
      <c r="L97" s="579"/>
    </row>
    <row r="98" spans="1:12">
      <c r="A98" s="764"/>
      <c r="B98" s="768" t="s">
        <v>1437</v>
      </c>
      <c r="C98" s="769">
        <v>3</v>
      </c>
      <c r="D98" s="585"/>
      <c r="E98" s="585"/>
      <c r="F98" s="585"/>
      <c r="G98" s="747"/>
      <c r="H98" s="579"/>
      <c r="I98" s="579"/>
      <c r="J98" s="579"/>
      <c r="K98" s="579"/>
      <c r="L98" s="579"/>
    </row>
    <row r="99" spans="1:12">
      <c r="A99" s="764"/>
      <c r="B99" s="768" t="s">
        <v>1435</v>
      </c>
      <c r="C99" s="769">
        <v>2</v>
      </c>
      <c r="D99" s="585"/>
      <c r="E99" s="585"/>
      <c r="F99" s="585"/>
      <c r="G99" s="747"/>
      <c r="H99" s="579"/>
      <c r="I99" s="579"/>
      <c r="J99" s="579"/>
      <c r="K99" s="579"/>
      <c r="L99" s="579"/>
    </row>
    <row r="100" spans="1:12">
      <c r="A100" s="764"/>
      <c r="B100" s="746"/>
      <c r="C100" s="585"/>
      <c r="D100" s="585"/>
      <c r="E100" s="585"/>
      <c r="F100" s="585"/>
      <c r="G100" s="747"/>
      <c r="H100" s="579"/>
      <c r="I100" s="579"/>
      <c r="J100" s="579"/>
      <c r="K100" s="579"/>
      <c r="L100" s="579"/>
    </row>
    <row r="101" spans="1:12" ht="45">
      <c r="A101" s="764"/>
      <c r="B101" s="748" t="s">
        <v>1384</v>
      </c>
      <c r="C101" s="748" t="s">
        <v>1385</v>
      </c>
      <c r="D101" s="748" t="s">
        <v>1430</v>
      </c>
      <c r="E101" s="748" t="s">
        <v>1429</v>
      </c>
      <c r="F101" s="748" t="s">
        <v>1436</v>
      </c>
      <c r="G101" s="749" t="s">
        <v>1431</v>
      </c>
      <c r="H101" s="579"/>
      <c r="I101" s="577"/>
      <c r="J101" s="577"/>
      <c r="K101" s="577"/>
      <c r="L101" s="577"/>
    </row>
    <row r="102" spans="1:12">
      <c r="A102" s="764"/>
      <c r="B102" s="585" t="s">
        <v>1402</v>
      </c>
      <c r="C102" s="750" t="s">
        <v>1393</v>
      </c>
      <c r="D102" s="751">
        <f>'Unit costs'!D17</f>
        <v>20</v>
      </c>
      <c r="E102" s="751">
        <f>C98</f>
        <v>3</v>
      </c>
      <c r="F102" s="585"/>
      <c r="G102" s="752">
        <f>D102*E102</f>
        <v>60</v>
      </c>
      <c r="H102" s="579"/>
      <c r="I102" s="580"/>
      <c r="J102" s="580"/>
      <c r="K102" s="579"/>
      <c r="L102" s="580"/>
    </row>
    <row r="103" spans="1:12">
      <c r="A103" s="764"/>
      <c r="B103" s="585" t="s">
        <v>1403</v>
      </c>
      <c r="C103" s="750" t="s">
        <v>1404</v>
      </c>
      <c r="D103" s="751">
        <f>'Unit costs'!D18</f>
        <v>60</v>
      </c>
      <c r="E103" s="751">
        <f>C98</f>
        <v>3</v>
      </c>
      <c r="F103" s="585">
        <f>C96</f>
        <v>4</v>
      </c>
      <c r="G103" s="752">
        <f>D103*E103*F103</f>
        <v>720</v>
      </c>
      <c r="H103" s="579"/>
      <c r="I103" s="580"/>
      <c r="J103" s="580"/>
      <c r="K103" s="579"/>
      <c r="L103" s="580"/>
    </row>
    <row r="104" spans="1:12">
      <c r="A104" s="764"/>
      <c r="B104" s="585" t="s">
        <v>1405</v>
      </c>
      <c r="C104" s="750" t="s">
        <v>1406</v>
      </c>
      <c r="D104" s="751">
        <f>'Unit costs'!D19</f>
        <v>12</v>
      </c>
      <c r="E104" s="751">
        <f>C97+C99</f>
        <v>12</v>
      </c>
      <c r="F104" s="585">
        <f>C96</f>
        <v>4</v>
      </c>
      <c r="G104" s="752">
        <f>D104*E104*F104</f>
        <v>576</v>
      </c>
      <c r="H104" s="579"/>
      <c r="I104" s="580"/>
      <c r="J104" s="580"/>
      <c r="K104" s="579"/>
      <c r="L104" s="580"/>
    </row>
    <row r="105" spans="1:12">
      <c r="A105" s="764"/>
      <c r="B105" s="585" t="s">
        <v>1407</v>
      </c>
      <c r="C105" s="750" t="s">
        <v>1406</v>
      </c>
      <c r="D105" s="751">
        <f>'Unit costs'!D20</f>
        <v>80</v>
      </c>
      <c r="E105" s="751">
        <f>C99</f>
        <v>2</v>
      </c>
      <c r="F105" s="585">
        <f>C96</f>
        <v>4</v>
      </c>
      <c r="G105" s="752">
        <f>D105*E105*F105</f>
        <v>640</v>
      </c>
      <c r="H105" s="579"/>
      <c r="I105" s="580"/>
      <c r="J105" s="580"/>
      <c r="K105" s="579"/>
      <c r="L105" s="580"/>
    </row>
    <row r="106" spans="1:12">
      <c r="A106" s="764"/>
      <c r="B106" s="585" t="s">
        <v>1408</v>
      </c>
      <c r="C106" s="750" t="s">
        <v>1409</v>
      </c>
      <c r="D106" s="751">
        <f>'Unit costs'!D21</f>
        <v>8</v>
      </c>
      <c r="E106" s="751">
        <f>C97</f>
        <v>10</v>
      </c>
      <c r="F106" s="585"/>
      <c r="G106" s="752">
        <f>D106*E106</f>
        <v>80</v>
      </c>
      <c r="H106" s="579"/>
      <c r="I106" s="580"/>
      <c r="J106" s="580"/>
      <c r="K106" s="579"/>
      <c r="L106" s="580"/>
    </row>
    <row r="107" spans="1:12">
      <c r="A107" s="764"/>
      <c r="B107" s="585" t="s">
        <v>1410</v>
      </c>
      <c r="C107" s="750" t="s">
        <v>1397</v>
      </c>
      <c r="D107" s="751">
        <f>'Unit costs'!D22</f>
        <v>30</v>
      </c>
      <c r="E107" s="751">
        <v>1</v>
      </c>
      <c r="F107" s="585">
        <f>C96+1</f>
        <v>5</v>
      </c>
      <c r="G107" s="752">
        <f>D107*E107*F107</f>
        <v>150</v>
      </c>
      <c r="H107" s="579"/>
      <c r="I107" s="580"/>
      <c r="J107" s="580"/>
      <c r="K107" s="579"/>
      <c r="L107" s="580"/>
    </row>
    <row r="108" spans="1:12">
      <c r="A108" s="764"/>
      <c r="B108" s="585" t="s">
        <v>978</v>
      </c>
      <c r="C108" s="750" t="s">
        <v>1401</v>
      </c>
      <c r="D108" s="753">
        <f>'Unit costs'!D23</f>
        <v>0.05</v>
      </c>
      <c r="E108" s="585">
        <v>1</v>
      </c>
      <c r="F108" s="585"/>
      <c r="G108" s="754">
        <f>SUM(G102:G107)*D108</f>
        <v>111.30000000000001</v>
      </c>
      <c r="H108" s="579"/>
      <c r="I108" s="581"/>
      <c r="J108" s="580"/>
      <c r="K108" s="579"/>
      <c r="L108" s="582"/>
    </row>
    <row r="109" spans="1:12">
      <c r="A109" s="764"/>
      <c r="B109" s="771" t="s">
        <v>1477</v>
      </c>
      <c r="C109" s="585"/>
      <c r="D109" s="585"/>
      <c r="E109" s="585"/>
      <c r="F109" s="585"/>
      <c r="G109" s="783">
        <f>ROUND(SUM(G103:G108),-1)</f>
        <v>2280</v>
      </c>
      <c r="H109" s="579"/>
      <c r="I109" s="579"/>
      <c r="J109" s="579"/>
      <c r="K109" s="579"/>
      <c r="L109" s="578"/>
    </row>
    <row r="110" spans="1:12">
      <c r="A110" s="764"/>
      <c r="B110" s="585"/>
      <c r="C110" s="585"/>
      <c r="D110" s="585"/>
      <c r="E110" s="585"/>
      <c r="F110" s="585"/>
      <c r="G110" s="747"/>
      <c r="H110" s="579"/>
      <c r="I110" s="579"/>
      <c r="J110" s="579"/>
      <c r="K110" s="579"/>
      <c r="L110" s="579"/>
    </row>
    <row r="111" spans="1:12" ht="45">
      <c r="A111" s="764"/>
      <c r="B111" s="748" t="s">
        <v>1384</v>
      </c>
      <c r="C111" s="748" t="s">
        <v>1385</v>
      </c>
      <c r="D111" s="748" t="s">
        <v>1430</v>
      </c>
      <c r="E111" s="748" t="s">
        <v>1429</v>
      </c>
      <c r="F111" s="748"/>
      <c r="G111" s="749" t="s">
        <v>1431</v>
      </c>
      <c r="H111" s="579"/>
      <c r="I111" s="577"/>
      <c r="J111" s="577"/>
      <c r="K111" s="579"/>
      <c r="L111" s="577"/>
    </row>
    <row r="112" spans="1:12">
      <c r="A112" s="764"/>
      <c r="B112" s="585" t="s">
        <v>1478</v>
      </c>
      <c r="C112" s="750" t="s">
        <v>1391</v>
      </c>
      <c r="D112" s="751">
        <f>'Unit costs'!D8</f>
        <v>600</v>
      </c>
      <c r="E112" s="751">
        <v>5</v>
      </c>
      <c r="F112" s="585"/>
      <c r="G112" s="752">
        <f t="shared" ref="G112:G117" si="1">D112*E112</f>
        <v>3000</v>
      </c>
      <c r="H112" s="579"/>
      <c r="I112" s="580"/>
      <c r="J112" s="580"/>
      <c r="K112" s="579"/>
      <c r="L112" s="580"/>
    </row>
    <row r="113" spans="1:12">
      <c r="A113" s="764"/>
      <c r="B113" s="585" t="s">
        <v>1392</v>
      </c>
      <c r="C113" s="750" t="s">
        <v>1393</v>
      </c>
      <c r="D113" s="751">
        <f>'Unit costs'!D9</f>
        <v>600</v>
      </c>
      <c r="E113" s="751">
        <v>1</v>
      </c>
      <c r="F113" s="585"/>
      <c r="G113" s="752">
        <f t="shared" si="1"/>
        <v>600</v>
      </c>
      <c r="H113" s="579"/>
      <c r="I113" s="580"/>
      <c r="J113" s="580"/>
      <c r="K113" s="579"/>
      <c r="L113" s="580"/>
    </row>
    <row r="114" spans="1:12">
      <c r="A114" s="764"/>
      <c r="B114" s="585" t="s">
        <v>1394</v>
      </c>
      <c r="C114" s="750" t="s">
        <v>1395</v>
      </c>
      <c r="D114" s="751">
        <f>'Unit costs'!D10</f>
        <v>200</v>
      </c>
      <c r="E114" s="751">
        <v>6</v>
      </c>
      <c r="F114" s="585"/>
      <c r="G114" s="752">
        <f t="shared" si="1"/>
        <v>1200</v>
      </c>
      <c r="H114" s="579"/>
      <c r="I114" s="580"/>
      <c r="J114" s="580"/>
      <c r="K114" s="579"/>
      <c r="L114" s="580"/>
    </row>
    <row r="115" spans="1:12">
      <c r="A115" s="764"/>
      <c r="B115" s="585" t="s">
        <v>1396</v>
      </c>
      <c r="C115" s="750" t="s">
        <v>1397</v>
      </c>
      <c r="D115" s="751">
        <f>'Unit costs'!D11</f>
        <v>120</v>
      </c>
      <c r="E115" s="751">
        <v>3</v>
      </c>
      <c r="F115" s="585"/>
      <c r="G115" s="752">
        <f t="shared" si="1"/>
        <v>360</v>
      </c>
      <c r="H115" s="579"/>
      <c r="I115" s="580"/>
      <c r="J115" s="580"/>
      <c r="K115" s="579"/>
      <c r="L115" s="580"/>
    </row>
    <row r="116" spans="1:12">
      <c r="A116" s="764"/>
      <c r="B116" s="585" t="s">
        <v>1398</v>
      </c>
      <c r="C116" s="750" t="s">
        <v>1397</v>
      </c>
      <c r="D116" s="751">
        <f>'Unit costs'!D12</f>
        <v>150</v>
      </c>
      <c r="E116" s="751">
        <v>10</v>
      </c>
      <c r="F116" s="687"/>
      <c r="G116" s="752">
        <f t="shared" si="1"/>
        <v>1500</v>
      </c>
      <c r="H116" s="584"/>
      <c r="I116" s="580"/>
      <c r="J116" s="580"/>
      <c r="K116" s="584"/>
      <c r="L116" s="580"/>
    </row>
    <row r="117" spans="1:12">
      <c r="A117" s="764"/>
      <c r="B117" s="585" t="s">
        <v>1399</v>
      </c>
      <c r="C117" s="750" t="s">
        <v>1400</v>
      </c>
      <c r="D117" s="751">
        <f>'Unit costs'!D13</f>
        <v>15</v>
      </c>
      <c r="E117" s="751">
        <v>50</v>
      </c>
      <c r="F117" s="687"/>
      <c r="G117" s="752">
        <f t="shared" si="1"/>
        <v>750</v>
      </c>
      <c r="H117" s="584"/>
      <c r="I117" s="580"/>
      <c r="J117" s="580"/>
      <c r="K117" s="584"/>
      <c r="L117" s="580"/>
    </row>
    <row r="118" spans="1:12">
      <c r="A118" s="764"/>
      <c r="B118" s="585" t="s">
        <v>978</v>
      </c>
      <c r="C118" s="750" t="s">
        <v>1401</v>
      </c>
      <c r="D118" s="753">
        <f>'Unit costs'!D14</f>
        <v>0.05</v>
      </c>
      <c r="E118" s="585">
        <v>1</v>
      </c>
      <c r="F118" s="586"/>
      <c r="G118" s="754">
        <f>SUM(G112:G117)*D118</f>
        <v>370.5</v>
      </c>
      <c r="H118" s="65"/>
      <c r="I118" s="581"/>
      <c r="J118" s="580"/>
      <c r="K118" s="65"/>
    </row>
    <row r="119" spans="1:12">
      <c r="A119" s="764"/>
      <c r="B119" s="771" t="s">
        <v>1479</v>
      </c>
      <c r="C119" s="585"/>
      <c r="D119" s="585"/>
      <c r="E119" s="585"/>
      <c r="F119" s="586"/>
      <c r="G119" s="783">
        <f>ROUND(SUM(G112:G118),-2)</f>
        <v>7800</v>
      </c>
      <c r="H119" s="65"/>
      <c r="I119" s="579"/>
      <c r="J119" s="579"/>
      <c r="K119" s="65"/>
    </row>
    <row r="120" spans="1:12">
      <c r="A120" s="764"/>
      <c r="B120" s="771"/>
      <c r="C120" s="585"/>
      <c r="D120" s="585"/>
      <c r="E120" s="585"/>
      <c r="F120" s="586"/>
      <c r="G120" s="783"/>
      <c r="H120" s="65"/>
      <c r="I120" s="579"/>
      <c r="J120" s="579"/>
      <c r="K120" s="65"/>
    </row>
    <row r="121" spans="1:12" ht="15.75" thickBot="1">
      <c r="A121" s="774"/>
      <c r="B121" s="756" t="s">
        <v>4</v>
      </c>
      <c r="C121" s="784"/>
      <c r="D121" s="784"/>
      <c r="E121" s="784"/>
      <c r="F121" s="784"/>
      <c r="G121" s="758">
        <f>ROUND(SUM(G109,G119),-2)</f>
        <v>10100</v>
      </c>
      <c r="H121" s="65"/>
      <c r="I121" s="65"/>
      <c r="J121" s="65"/>
      <c r="K121" s="65"/>
    </row>
    <row r="122" spans="1:12" ht="15.75" thickBot="1">
      <c r="D122" s="587"/>
    </row>
    <row r="123" spans="1:12">
      <c r="A123" s="762" t="str">
        <f>'NSP Summary Budget (16-18)'!A37</f>
        <v>1.2.16</v>
      </c>
      <c r="B123" s="763" t="str">
        <f>'NSP Summary Budget (16-18)'!B37</f>
        <v>Training of NRL staff in advanced laboratory techniques abroad</v>
      </c>
      <c r="C123" s="743"/>
      <c r="D123" s="743"/>
      <c r="E123" s="743"/>
      <c r="F123" s="744"/>
      <c r="G123" s="585"/>
      <c r="H123" s="579"/>
      <c r="I123" s="579"/>
      <c r="J123" s="579"/>
    </row>
    <row r="124" spans="1:12">
      <c r="A124" s="764"/>
      <c r="B124" s="746"/>
      <c r="C124" s="585"/>
      <c r="D124" s="585"/>
      <c r="E124" s="585"/>
      <c r="F124" s="747"/>
      <c r="G124" s="585"/>
      <c r="H124" s="579"/>
      <c r="I124" s="579"/>
      <c r="J124" s="579"/>
    </row>
    <row r="125" spans="1:12">
      <c r="A125" s="764"/>
      <c r="B125" s="766" t="s">
        <v>1686</v>
      </c>
      <c r="C125" s="585"/>
      <c r="D125" s="585"/>
      <c r="E125" s="585"/>
      <c r="F125" s="747"/>
      <c r="G125" s="585"/>
      <c r="H125" s="579"/>
      <c r="I125" s="579"/>
      <c r="J125" s="579"/>
    </row>
    <row r="126" spans="1:12">
      <c r="A126" s="764"/>
      <c r="B126" s="786"/>
      <c r="C126" s="585"/>
      <c r="D126" s="585"/>
      <c r="E126" s="585"/>
      <c r="F126" s="747"/>
      <c r="G126" s="585"/>
      <c r="H126" s="579"/>
      <c r="I126" s="579"/>
      <c r="J126" s="579"/>
    </row>
    <row r="127" spans="1:12" ht="45">
      <c r="A127" s="764"/>
      <c r="B127" s="748" t="s">
        <v>1384</v>
      </c>
      <c r="C127" s="748" t="s">
        <v>1385</v>
      </c>
      <c r="D127" s="748" t="s">
        <v>1430</v>
      </c>
      <c r="E127" s="748" t="s">
        <v>1429</v>
      </c>
      <c r="F127" s="749" t="s">
        <v>1431</v>
      </c>
      <c r="G127" s="585"/>
    </row>
    <row r="128" spans="1:12">
      <c r="A128" s="764"/>
      <c r="B128" s="585" t="s">
        <v>1392</v>
      </c>
      <c r="C128" s="750" t="s">
        <v>1393</v>
      </c>
      <c r="D128" s="751">
        <f>'Unit costs'!D35</f>
        <v>800</v>
      </c>
      <c r="E128" s="751">
        <v>1</v>
      </c>
      <c r="F128" s="752">
        <f t="shared" ref="F128:F133" si="2">D128*E128</f>
        <v>800</v>
      </c>
      <c r="G128" s="585"/>
    </row>
    <row r="129" spans="1:10">
      <c r="A129" s="764"/>
      <c r="B129" s="585" t="s">
        <v>1412</v>
      </c>
      <c r="C129" s="750" t="s">
        <v>1413</v>
      </c>
      <c r="D129" s="751">
        <f>'Unit costs'!D36</f>
        <v>160</v>
      </c>
      <c r="E129" s="751">
        <v>9</v>
      </c>
      <c r="F129" s="752">
        <f t="shared" si="2"/>
        <v>1440</v>
      </c>
      <c r="G129" s="585"/>
    </row>
    <row r="130" spans="1:10">
      <c r="A130" s="764"/>
      <c r="B130" s="585" t="s">
        <v>1414</v>
      </c>
      <c r="C130" s="750" t="s">
        <v>1397</v>
      </c>
      <c r="D130" s="751">
        <f>'Unit costs'!D37</f>
        <v>80</v>
      </c>
      <c r="E130" s="751">
        <f>E129+1</f>
        <v>10</v>
      </c>
      <c r="F130" s="752">
        <f t="shared" si="2"/>
        <v>800</v>
      </c>
      <c r="G130" s="585"/>
    </row>
    <row r="131" spans="1:10">
      <c r="A131" s="764"/>
      <c r="B131" s="585" t="s">
        <v>1415</v>
      </c>
      <c r="C131" s="750" t="s">
        <v>1416</v>
      </c>
      <c r="D131" s="751">
        <f>'Unit costs'!D38</f>
        <v>1500</v>
      </c>
      <c r="E131" s="751">
        <v>1</v>
      </c>
      <c r="F131" s="752">
        <f t="shared" si="2"/>
        <v>1500</v>
      </c>
      <c r="G131" s="585"/>
    </row>
    <row r="132" spans="1:10">
      <c r="A132" s="764"/>
      <c r="B132" s="585" t="s">
        <v>1417</v>
      </c>
      <c r="C132" s="750" t="s">
        <v>1416</v>
      </c>
      <c r="D132" s="751">
        <f>'Unit costs'!D39</f>
        <v>30</v>
      </c>
      <c r="E132" s="751">
        <v>1</v>
      </c>
      <c r="F132" s="752">
        <f t="shared" si="2"/>
        <v>30</v>
      </c>
      <c r="G132" s="585"/>
    </row>
    <row r="133" spans="1:10">
      <c r="A133" s="764"/>
      <c r="B133" s="585" t="s">
        <v>1418</v>
      </c>
      <c r="C133" s="750" t="s">
        <v>1416</v>
      </c>
      <c r="D133" s="751">
        <f>'Unit costs'!D40</f>
        <v>70</v>
      </c>
      <c r="E133" s="751">
        <v>1</v>
      </c>
      <c r="F133" s="752">
        <f t="shared" si="2"/>
        <v>70</v>
      </c>
      <c r="G133" s="585"/>
    </row>
    <row r="134" spans="1:10">
      <c r="A134" s="764"/>
      <c r="B134" s="585" t="s">
        <v>978</v>
      </c>
      <c r="C134" s="750" t="s">
        <v>1401</v>
      </c>
      <c r="D134" s="753">
        <f>'Unit costs'!D41</f>
        <v>0.05</v>
      </c>
      <c r="E134" s="585">
        <v>1</v>
      </c>
      <c r="F134" s="754">
        <f>SUM(F128:F133)*D134</f>
        <v>232</v>
      </c>
      <c r="G134" s="585"/>
    </row>
    <row r="135" spans="1:10" ht="15.75" thickBot="1">
      <c r="A135" s="774"/>
      <c r="B135" s="756" t="s">
        <v>4</v>
      </c>
      <c r="C135" s="757"/>
      <c r="D135" s="757"/>
      <c r="E135" s="757"/>
      <c r="F135" s="758">
        <f>ROUND(SUM(F128:F134),-2)</f>
        <v>4900</v>
      </c>
      <c r="G135" s="585"/>
    </row>
    <row r="136" spans="1:10" ht="15.75" thickBot="1"/>
    <row r="137" spans="1:10">
      <c r="A137" s="762" t="str">
        <f>'NSP Summary Budget (16-18)'!A59</f>
        <v>2.1.9</v>
      </c>
      <c r="B137" s="763" t="str">
        <f>'NSP Summary Budget (16-18)'!B59</f>
        <v>Training in drug management, international</v>
      </c>
      <c r="C137" s="743"/>
      <c r="D137" s="743"/>
      <c r="E137" s="743"/>
      <c r="F137" s="744"/>
      <c r="G137" s="585"/>
      <c r="H137" s="579"/>
      <c r="I137" s="579"/>
      <c r="J137" s="579"/>
    </row>
    <row r="138" spans="1:10">
      <c r="A138" s="764"/>
      <c r="B138" s="746"/>
      <c r="C138" s="585"/>
      <c r="D138" s="585"/>
      <c r="E138" s="585"/>
      <c r="F138" s="747"/>
      <c r="G138" s="585"/>
      <c r="H138" s="579"/>
      <c r="I138" s="579"/>
      <c r="J138" s="579"/>
    </row>
    <row r="139" spans="1:10">
      <c r="A139" s="764"/>
      <c r="B139" s="766" t="s">
        <v>1686</v>
      </c>
      <c r="C139" s="585"/>
      <c r="D139" s="585"/>
      <c r="E139" s="585"/>
      <c r="F139" s="747"/>
      <c r="G139" s="585"/>
      <c r="H139" s="579"/>
      <c r="I139" s="579"/>
      <c r="J139" s="579"/>
    </row>
    <row r="140" spans="1:10">
      <c r="A140" s="764"/>
      <c r="B140" s="786"/>
      <c r="C140" s="585"/>
      <c r="D140" s="585"/>
      <c r="E140" s="585"/>
      <c r="F140" s="747"/>
      <c r="G140" s="585"/>
      <c r="H140" s="579"/>
      <c r="I140" s="579"/>
      <c r="J140" s="579"/>
    </row>
    <row r="141" spans="1:10" ht="45">
      <c r="A141" s="764"/>
      <c r="B141" s="748" t="s">
        <v>1384</v>
      </c>
      <c r="C141" s="748" t="s">
        <v>1385</v>
      </c>
      <c r="D141" s="748" t="s">
        <v>1430</v>
      </c>
      <c r="E141" s="748" t="s">
        <v>1429</v>
      </c>
      <c r="F141" s="749" t="s">
        <v>1431</v>
      </c>
      <c r="G141" s="585"/>
    </row>
    <row r="142" spans="1:10">
      <c r="A142" s="764"/>
      <c r="B142" s="585" t="s">
        <v>1392</v>
      </c>
      <c r="C142" s="750" t="s">
        <v>1393</v>
      </c>
      <c r="D142" s="751">
        <f>'Unit costs'!D35</f>
        <v>800</v>
      </c>
      <c r="E142" s="751">
        <v>1</v>
      </c>
      <c r="F142" s="752">
        <f t="shared" ref="F142:F147" si="3">D142*E142</f>
        <v>800</v>
      </c>
      <c r="G142" s="585"/>
    </row>
    <row r="143" spans="1:10">
      <c r="A143" s="764"/>
      <c r="B143" s="585" t="s">
        <v>1412</v>
      </c>
      <c r="C143" s="750" t="s">
        <v>1413</v>
      </c>
      <c r="D143" s="751">
        <f>'Unit costs'!D36</f>
        <v>160</v>
      </c>
      <c r="E143" s="751">
        <v>4</v>
      </c>
      <c r="F143" s="752">
        <f t="shared" si="3"/>
        <v>640</v>
      </c>
      <c r="G143" s="585"/>
    </row>
    <row r="144" spans="1:10">
      <c r="A144" s="764"/>
      <c r="B144" s="585" t="s">
        <v>1414</v>
      </c>
      <c r="C144" s="750" t="s">
        <v>1397</v>
      </c>
      <c r="D144" s="751">
        <f>'Unit costs'!D37</f>
        <v>80</v>
      </c>
      <c r="E144" s="751">
        <f>E143+1</f>
        <v>5</v>
      </c>
      <c r="F144" s="752">
        <f t="shared" si="3"/>
        <v>400</v>
      </c>
      <c r="G144" s="585"/>
    </row>
    <row r="145" spans="1:12">
      <c r="A145" s="764"/>
      <c r="B145" s="585" t="s">
        <v>1415</v>
      </c>
      <c r="C145" s="750" t="s">
        <v>1416</v>
      </c>
      <c r="D145" s="751">
        <f>'Unit costs'!D38</f>
        <v>1500</v>
      </c>
      <c r="E145" s="751">
        <v>1</v>
      </c>
      <c r="F145" s="752">
        <f t="shared" si="3"/>
        <v>1500</v>
      </c>
      <c r="G145" s="585"/>
    </row>
    <row r="146" spans="1:12">
      <c r="A146" s="764"/>
      <c r="B146" s="585" t="s">
        <v>1417</v>
      </c>
      <c r="C146" s="750" t="s">
        <v>1416</v>
      </c>
      <c r="D146" s="751">
        <f>'Unit costs'!D39</f>
        <v>30</v>
      </c>
      <c r="E146" s="751">
        <v>1</v>
      </c>
      <c r="F146" s="752">
        <f t="shared" si="3"/>
        <v>30</v>
      </c>
      <c r="G146" s="585"/>
    </row>
    <row r="147" spans="1:12">
      <c r="A147" s="764"/>
      <c r="B147" s="585" t="s">
        <v>1418</v>
      </c>
      <c r="C147" s="750" t="s">
        <v>1416</v>
      </c>
      <c r="D147" s="751">
        <f>'Unit costs'!D40</f>
        <v>70</v>
      </c>
      <c r="E147" s="751">
        <v>1</v>
      </c>
      <c r="F147" s="752">
        <f t="shared" si="3"/>
        <v>70</v>
      </c>
      <c r="G147" s="585"/>
    </row>
    <row r="148" spans="1:12">
      <c r="A148" s="764"/>
      <c r="B148" s="585" t="s">
        <v>978</v>
      </c>
      <c r="C148" s="750" t="s">
        <v>1401</v>
      </c>
      <c r="D148" s="753">
        <f>'Unit costs'!D41</f>
        <v>0.05</v>
      </c>
      <c r="E148" s="585">
        <v>1</v>
      </c>
      <c r="F148" s="754">
        <f>SUM(F142:F147)*D148</f>
        <v>172</v>
      </c>
      <c r="G148" s="585"/>
    </row>
    <row r="149" spans="1:12" ht="15.75" thickBot="1">
      <c r="A149" s="774"/>
      <c r="B149" s="756" t="s">
        <v>4</v>
      </c>
      <c r="C149" s="757"/>
      <c r="D149" s="757"/>
      <c r="E149" s="757"/>
      <c r="F149" s="758">
        <f>ROUND(SUM(F142:F148),-2)</f>
        <v>3600</v>
      </c>
      <c r="G149" s="585"/>
    </row>
    <row r="150" spans="1:12" ht="15.75" thickBot="1"/>
    <row r="151" spans="1:12">
      <c r="A151" s="762" t="str">
        <f>'NSP Summary Budget (16-18)'!A60</f>
        <v>2.1.10</v>
      </c>
      <c r="B151" s="763" t="str">
        <f>'NSP Summary Budget (16-18)'!B60</f>
        <v>Training in drug management, local</v>
      </c>
      <c r="C151" s="743"/>
      <c r="D151" s="743"/>
      <c r="E151" s="743"/>
      <c r="F151" s="743"/>
      <c r="G151" s="744"/>
      <c r="H151" s="579"/>
      <c r="I151" s="579"/>
      <c r="J151" s="579"/>
      <c r="K151" s="579"/>
      <c r="L151" s="579"/>
    </row>
    <row r="152" spans="1:12">
      <c r="A152" s="764"/>
      <c r="B152" s="746"/>
      <c r="C152" s="585"/>
      <c r="D152" s="585"/>
      <c r="E152" s="585"/>
      <c r="F152" s="585"/>
      <c r="G152" s="747"/>
      <c r="H152" s="579"/>
      <c r="I152" s="579"/>
      <c r="J152" s="579"/>
      <c r="K152" s="579"/>
      <c r="L152" s="579"/>
    </row>
    <row r="153" spans="1:12">
      <c r="A153" s="765"/>
      <c r="B153" s="766" t="s">
        <v>1682</v>
      </c>
      <c r="C153" s="585"/>
      <c r="D153" s="585"/>
      <c r="E153" s="585"/>
      <c r="F153" s="585"/>
      <c r="G153" s="747"/>
    </row>
    <row r="154" spans="1:12">
      <c r="A154" s="764"/>
      <c r="B154" s="746"/>
      <c r="C154" s="585"/>
      <c r="D154" s="585"/>
      <c r="E154" s="585"/>
      <c r="F154" s="585"/>
      <c r="G154" s="747"/>
    </row>
    <row r="155" spans="1:12">
      <c r="A155" s="767"/>
      <c r="B155" s="768" t="s">
        <v>1433</v>
      </c>
      <c r="C155" s="769">
        <v>3</v>
      </c>
      <c r="D155" s="585"/>
      <c r="E155" s="585"/>
      <c r="F155" s="585"/>
      <c r="G155" s="747"/>
      <c r="H155" s="579"/>
      <c r="I155" s="579"/>
      <c r="J155" s="579"/>
      <c r="K155" s="579"/>
      <c r="L155" s="579"/>
    </row>
    <row r="156" spans="1:12">
      <c r="A156" s="764"/>
      <c r="B156" s="768" t="s">
        <v>1434</v>
      </c>
      <c r="C156" s="769">
        <v>15</v>
      </c>
      <c r="D156" s="585"/>
      <c r="E156" s="585"/>
      <c r="F156" s="585"/>
      <c r="G156" s="747"/>
      <c r="H156" s="579"/>
      <c r="I156" s="579"/>
      <c r="J156" s="579"/>
      <c r="K156" s="579"/>
      <c r="L156" s="579"/>
    </row>
    <row r="157" spans="1:12">
      <c r="A157" s="764"/>
      <c r="B157" s="768" t="s">
        <v>1437</v>
      </c>
      <c r="C157" s="769">
        <v>10</v>
      </c>
      <c r="D157" s="585"/>
      <c r="E157" s="585"/>
      <c r="F157" s="585"/>
      <c r="G157" s="747"/>
      <c r="H157" s="579"/>
      <c r="I157" s="579"/>
      <c r="J157" s="579"/>
      <c r="K157" s="579"/>
      <c r="L157" s="579"/>
    </row>
    <row r="158" spans="1:12">
      <c r="A158" s="764"/>
      <c r="B158" s="768" t="s">
        <v>1435</v>
      </c>
      <c r="C158" s="769">
        <v>2</v>
      </c>
      <c r="D158" s="585"/>
      <c r="E158" s="585"/>
      <c r="F158" s="585"/>
      <c r="G158" s="747"/>
      <c r="H158" s="579"/>
      <c r="I158" s="579"/>
      <c r="J158" s="579"/>
      <c r="K158" s="579"/>
      <c r="L158" s="579"/>
    </row>
    <row r="159" spans="1:12">
      <c r="A159" s="764"/>
      <c r="B159" s="746"/>
      <c r="C159" s="585"/>
      <c r="D159" s="585"/>
      <c r="E159" s="585"/>
      <c r="F159" s="585"/>
      <c r="G159" s="747"/>
      <c r="H159" s="579"/>
      <c r="I159" s="579"/>
      <c r="J159" s="579"/>
      <c r="K159" s="579"/>
      <c r="L159" s="579"/>
    </row>
    <row r="160" spans="1:12" ht="45">
      <c r="A160" s="764"/>
      <c r="B160" s="748" t="s">
        <v>1384</v>
      </c>
      <c r="C160" s="748" t="s">
        <v>1385</v>
      </c>
      <c r="D160" s="748" t="s">
        <v>1430</v>
      </c>
      <c r="E160" s="748" t="s">
        <v>1429</v>
      </c>
      <c r="F160" s="748" t="s">
        <v>1436</v>
      </c>
      <c r="G160" s="749" t="s">
        <v>1431</v>
      </c>
      <c r="H160" s="579"/>
    </row>
    <row r="161" spans="1:12">
      <c r="A161" s="764"/>
      <c r="B161" s="585" t="s">
        <v>1402</v>
      </c>
      <c r="C161" s="750" t="s">
        <v>1393</v>
      </c>
      <c r="D161" s="751">
        <f>'Unit costs'!D17</f>
        <v>20</v>
      </c>
      <c r="E161" s="751">
        <f>C157</f>
        <v>10</v>
      </c>
      <c r="F161" s="585"/>
      <c r="G161" s="752">
        <f>D161*E161</f>
        <v>200</v>
      </c>
      <c r="H161" s="579"/>
    </row>
    <row r="162" spans="1:12">
      <c r="A162" s="764"/>
      <c r="B162" s="585" t="s">
        <v>1403</v>
      </c>
      <c r="C162" s="750" t="s">
        <v>1404</v>
      </c>
      <c r="D162" s="751">
        <f>'Unit costs'!D18</f>
        <v>60</v>
      </c>
      <c r="E162" s="751">
        <f>C157</f>
        <v>10</v>
      </c>
      <c r="F162" s="585">
        <f>C155</f>
        <v>3</v>
      </c>
      <c r="G162" s="752">
        <f>D162*E162*F162</f>
        <v>1800</v>
      </c>
      <c r="H162" s="579"/>
    </row>
    <row r="163" spans="1:12">
      <c r="A163" s="764"/>
      <c r="B163" s="585" t="s">
        <v>1405</v>
      </c>
      <c r="C163" s="750" t="s">
        <v>1406</v>
      </c>
      <c r="D163" s="751">
        <f>'Unit costs'!D19</f>
        <v>12</v>
      </c>
      <c r="E163" s="751">
        <f>C156+C158</f>
        <v>17</v>
      </c>
      <c r="F163" s="585">
        <f>C155</f>
        <v>3</v>
      </c>
      <c r="G163" s="752">
        <f>D163*E163*F163</f>
        <v>612</v>
      </c>
      <c r="H163" s="579"/>
    </row>
    <row r="164" spans="1:12">
      <c r="A164" s="764"/>
      <c r="B164" s="585" t="s">
        <v>1407</v>
      </c>
      <c r="C164" s="750" t="s">
        <v>1406</v>
      </c>
      <c r="D164" s="751">
        <f>'Unit costs'!D20</f>
        <v>80</v>
      </c>
      <c r="E164" s="751">
        <f>C158</f>
        <v>2</v>
      </c>
      <c r="F164" s="585">
        <f>C155</f>
        <v>3</v>
      </c>
      <c r="G164" s="752">
        <f>D164*E164*F164</f>
        <v>480</v>
      </c>
      <c r="H164" s="579"/>
    </row>
    <row r="165" spans="1:12">
      <c r="A165" s="764"/>
      <c r="B165" s="585" t="s">
        <v>1408</v>
      </c>
      <c r="C165" s="750" t="s">
        <v>1409</v>
      </c>
      <c r="D165" s="751">
        <f>'Unit costs'!D21</f>
        <v>8</v>
      </c>
      <c r="E165" s="751">
        <f>C156</f>
        <v>15</v>
      </c>
      <c r="F165" s="585"/>
      <c r="G165" s="752">
        <f>D165*E165</f>
        <v>120</v>
      </c>
      <c r="H165" s="579"/>
    </row>
    <row r="166" spans="1:12">
      <c r="A166" s="764"/>
      <c r="B166" s="585" t="s">
        <v>1410</v>
      </c>
      <c r="C166" s="750" t="s">
        <v>1397</v>
      </c>
      <c r="D166" s="751">
        <f>'Unit costs'!D22</f>
        <v>30</v>
      </c>
      <c r="E166" s="751">
        <v>1</v>
      </c>
      <c r="F166" s="585">
        <f>C155+1</f>
        <v>4</v>
      </c>
      <c r="G166" s="752">
        <f>D166*E166*F166</f>
        <v>120</v>
      </c>
      <c r="H166" s="579"/>
    </row>
    <row r="167" spans="1:12">
      <c r="A167" s="764"/>
      <c r="B167" s="585" t="s">
        <v>978</v>
      </c>
      <c r="C167" s="750" t="s">
        <v>1401</v>
      </c>
      <c r="D167" s="753">
        <f>'Unit costs'!D23</f>
        <v>0.05</v>
      </c>
      <c r="E167" s="585">
        <v>1</v>
      </c>
      <c r="F167" s="585"/>
      <c r="G167" s="754">
        <f>SUM(G161:G166)*D167</f>
        <v>166.60000000000002</v>
      </c>
      <c r="H167" s="579"/>
    </row>
    <row r="168" spans="1:12" ht="15.75" thickBot="1">
      <c r="A168" s="774"/>
      <c r="B168" s="756" t="s">
        <v>4</v>
      </c>
      <c r="C168" s="757"/>
      <c r="D168" s="757"/>
      <c r="E168" s="757"/>
      <c r="F168" s="757"/>
      <c r="G168" s="758">
        <f>ROUND(SUM(G161:G167),-2)</f>
        <v>3500</v>
      </c>
      <c r="H168" s="579"/>
    </row>
    <row r="169" spans="1:12" ht="15.75" thickBot="1"/>
    <row r="170" spans="1:12">
      <c r="A170" s="762" t="str">
        <f>'NSP Summary Budget (16-18)'!A74</f>
        <v>2.3.3</v>
      </c>
      <c r="B170" s="763" t="str">
        <f>'NSP Summary Budget (16-18)'!B74</f>
        <v>Training of TB service staff in HIV counseling and testing</v>
      </c>
      <c r="C170" s="743"/>
      <c r="D170" s="743"/>
      <c r="E170" s="743"/>
      <c r="F170" s="743"/>
      <c r="G170" s="744"/>
      <c r="H170" s="579"/>
      <c r="I170" s="579"/>
      <c r="J170" s="579"/>
      <c r="K170" s="579"/>
      <c r="L170" s="579"/>
    </row>
    <row r="171" spans="1:12">
      <c r="A171" s="764"/>
      <c r="B171" s="746"/>
      <c r="C171" s="585"/>
      <c r="D171" s="585"/>
      <c r="E171" s="585"/>
      <c r="F171" s="585"/>
      <c r="G171" s="747"/>
      <c r="H171" s="579"/>
      <c r="I171" s="579"/>
      <c r="J171" s="579"/>
      <c r="K171" s="579"/>
      <c r="L171" s="579"/>
    </row>
    <row r="172" spans="1:12">
      <c r="A172" s="775" t="s">
        <v>1683</v>
      </c>
      <c r="B172" s="766" t="s">
        <v>1682</v>
      </c>
      <c r="C172" s="585"/>
      <c r="D172" s="585"/>
      <c r="E172" s="585"/>
      <c r="F172" s="585"/>
      <c r="G172" s="747"/>
    </row>
    <row r="173" spans="1:12">
      <c r="A173" s="764"/>
      <c r="B173" s="746"/>
      <c r="C173" s="585"/>
      <c r="D173" s="585"/>
      <c r="E173" s="585"/>
      <c r="F173" s="585"/>
      <c r="G173" s="747"/>
    </row>
    <row r="174" spans="1:12">
      <c r="A174" s="767"/>
      <c r="B174" s="768" t="s">
        <v>1433</v>
      </c>
      <c r="C174" s="769">
        <v>2</v>
      </c>
      <c r="D174" s="585"/>
      <c r="E174" s="585"/>
      <c r="F174" s="585"/>
      <c r="G174" s="747"/>
      <c r="H174" s="579"/>
      <c r="I174" s="579"/>
      <c r="J174" s="579"/>
      <c r="K174" s="579"/>
      <c r="L174" s="579"/>
    </row>
    <row r="175" spans="1:12">
      <c r="A175" s="764"/>
      <c r="B175" s="768" t="s">
        <v>1434</v>
      </c>
      <c r="C175" s="769">
        <v>20</v>
      </c>
      <c r="D175" s="585"/>
      <c r="E175" s="585"/>
      <c r="F175" s="585"/>
      <c r="G175" s="747"/>
      <c r="H175" s="579"/>
      <c r="I175" s="579"/>
      <c r="J175" s="579"/>
      <c r="K175" s="579"/>
      <c r="L175" s="579"/>
    </row>
    <row r="176" spans="1:12">
      <c r="A176" s="764"/>
      <c r="B176" s="768" t="s">
        <v>1437</v>
      </c>
      <c r="C176" s="769">
        <v>14</v>
      </c>
      <c r="D176" s="585"/>
      <c r="E176" s="585"/>
      <c r="F176" s="585"/>
      <c r="G176" s="747"/>
      <c r="H176" s="579"/>
      <c r="I176" s="579"/>
      <c r="J176" s="579"/>
      <c r="K176" s="579"/>
      <c r="L176" s="579"/>
    </row>
    <row r="177" spans="1:12">
      <c r="A177" s="764"/>
      <c r="B177" s="768" t="s">
        <v>1435</v>
      </c>
      <c r="C177" s="769">
        <v>2</v>
      </c>
      <c r="D177" s="585"/>
      <c r="E177" s="585"/>
      <c r="F177" s="585"/>
      <c r="G177" s="747"/>
      <c r="H177" s="579"/>
      <c r="I177" s="579"/>
      <c r="J177" s="579"/>
      <c r="K177" s="579"/>
      <c r="L177" s="579"/>
    </row>
    <row r="178" spans="1:12">
      <c r="A178" s="764"/>
      <c r="B178" s="746"/>
      <c r="C178" s="585"/>
      <c r="D178" s="585"/>
      <c r="E178" s="585"/>
      <c r="F178" s="585"/>
      <c r="G178" s="747"/>
      <c r="H178" s="579"/>
      <c r="I178" s="579"/>
      <c r="J178" s="579"/>
      <c r="K178" s="579"/>
      <c r="L178" s="579"/>
    </row>
    <row r="179" spans="1:12" ht="45">
      <c r="A179" s="764"/>
      <c r="B179" s="748" t="s">
        <v>1384</v>
      </c>
      <c r="C179" s="748" t="s">
        <v>1385</v>
      </c>
      <c r="D179" s="748" t="s">
        <v>1430</v>
      </c>
      <c r="E179" s="748" t="s">
        <v>1429</v>
      </c>
      <c r="F179" s="748" t="s">
        <v>1436</v>
      </c>
      <c r="G179" s="749" t="s">
        <v>1431</v>
      </c>
      <c r="H179" s="579"/>
    </row>
    <row r="180" spans="1:12">
      <c r="A180" s="764"/>
      <c r="B180" s="585" t="s">
        <v>1402</v>
      </c>
      <c r="C180" s="750" t="s">
        <v>1393</v>
      </c>
      <c r="D180" s="751">
        <f>'Unit costs'!D17</f>
        <v>20</v>
      </c>
      <c r="E180" s="751">
        <f>C176</f>
        <v>14</v>
      </c>
      <c r="F180" s="585"/>
      <c r="G180" s="752">
        <f>D180*E180</f>
        <v>280</v>
      </c>
      <c r="H180" s="579"/>
    </row>
    <row r="181" spans="1:12">
      <c r="A181" s="764"/>
      <c r="B181" s="585" t="s">
        <v>1403</v>
      </c>
      <c r="C181" s="750" t="s">
        <v>1404</v>
      </c>
      <c r="D181" s="751">
        <f>'Unit costs'!D18</f>
        <v>60</v>
      </c>
      <c r="E181" s="751">
        <f>C176</f>
        <v>14</v>
      </c>
      <c r="F181" s="585">
        <f>C174</f>
        <v>2</v>
      </c>
      <c r="G181" s="752">
        <f>D181*E181*F181</f>
        <v>1680</v>
      </c>
      <c r="H181" s="579"/>
    </row>
    <row r="182" spans="1:12">
      <c r="A182" s="764"/>
      <c r="B182" s="585" t="s">
        <v>1405</v>
      </c>
      <c r="C182" s="750" t="s">
        <v>1406</v>
      </c>
      <c r="D182" s="751">
        <f>'Unit costs'!D19</f>
        <v>12</v>
      </c>
      <c r="E182" s="751">
        <f>C175+C177</f>
        <v>22</v>
      </c>
      <c r="F182" s="585">
        <f>C174</f>
        <v>2</v>
      </c>
      <c r="G182" s="752">
        <f>D182*E182*F182</f>
        <v>528</v>
      </c>
      <c r="H182" s="579"/>
    </row>
    <row r="183" spans="1:12">
      <c r="A183" s="764"/>
      <c r="B183" s="585" t="s">
        <v>1407</v>
      </c>
      <c r="C183" s="750" t="s">
        <v>1406</v>
      </c>
      <c r="D183" s="751">
        <f>'Unit costs'!D20</f>
        <v>80</v>
      </c>
      <c r="E183" s="751">
        <f>C177</f>
        <v>2</v>
      </c>
      <c r="F183" s="585">
        <f>C174</f>
        <v>2</v>
      </c>
      <c r="G183" s="752">
        <f>D183*E183*F183</f>
        <v>320</v>
      </c>
      <c r="H183" s="579"/>
    </row>
    <row r="184" spans="1:12">
      <c r="A184" s="764"/>
      <c r="B184" s="585" t="s">
        <v>1408</v>
      </c>
      <c r="C184" s="750" t="s">
        <v>1409</v>
      </c>
      <c r="D184" s="751">
        <f>'Unit costs'!D21</f>
        <v>8</v>
      </c>
      <c r="E184" s="751">
        <f>C175</f>
        <v>20</v>
      </c>
      <c r="F184" s="585"/>
      <c r="G184" s="752">
        <f>D184*E184</f>
        <v>160</v>
      </c>
      <c r="H184" s="579"/>
    </row>
    <row r="185" spans="1:12">
      <c r="A185" s="764"/>
      <c r="B185" s="585" t="s">
        <v>1410</v>
      </c>
      <c r="C185" s="750" t="s">
        <v>1397</v>
      </c>
      <c r="D185" s="751">
        <f>'Unit costs'!D22</f>
        <v>30</v>
      </c>
      <c r="E185" s="751">
        <v>1</v>
      </c>
      <c r="F185" s="585">
        <f>C174+1</f>
        <v>3</v>
      </c>
      <c r="G185" s="752">
        <f>D185*E185*F185</f>
        <v>90</v>
      </c>
      <c r="H185" s="579"/>
    </row>
    <row r="186" spans="1:12">
      <c r="A186" s="764"/>
      <c r="B186" s="585" t="s">
        <v>978</v>
      </c>
      <c r="C186" s="750" t="s">
        <v>1401</v>
      </c>
      <c r="D186" s="753">
        <f>'Unit costs'!D23</f>
        <v>0.05</v>
      </c>
      <c r="E186" s="585">
        <v>1</v>
      </c>
      <c r="F186" s="585"/>
      <c r="G186" s="754">
        <f>SUM(G180:G185)*D186</f>
        <v>152.9</v>
      </c>
      <c r="H186" s="579"/>
    </row>
    <row r="187" spans="1:12">
      <c r="A187" s="764"/>
      <c r="B187" s="771" t="s">
        <v>4</v>
      </c>
      <c r="C187" s="585"/>
      <c r="D187" s="585"/>
      <c r="E187" s="585"/>
      <c r="F187" s="585"/>
      <c r="G187" s="772">
        <f>ROUND(SUM(G180:G186),-2)</f>
        <v>3200</v>
      </c>
      <c r="H187" s="579"/>
    </row>
    <row r="188" spans="1:12">
      <c r="A188" s="764"/>
      <c r="B188" s="587"/>
      <c r="C188" s="587"/>
      <c r="D188" s="587"/>
      <c r="E188" s="587"/>
      <c r="F188" s="587"/>
      <c r="G188" s="773"/>
    </row>
    <row r="189" spans="1:12">
      <c r="A189" s="775" t="s">
        <v>1684</v>
      </c>
      <c r="B189" s="766" t="s">
        <v>1681</v>
      </c>
      <c r="C189" s="585"/>
      <c r="D189" s="585"/>
      <c r="E189" s="585"/>
      <c r="F189" s="585"/>
      <c r="G189" s="747"/>
    </row>
    <row r="190" spans="1:12">
      <c r="A190" s="764"/>
      <c r="B190" s="746"/>
      <c r="C190" s="585"/>
      <c r="D190" s="585"/>
      <c r="E190" s="585"/>
      <c r="F190" s="585"/>
      <c r="G190" s="747"/>
    </row>
    <row r="191" spans="1:12">
      <c r="A191" s="767"/>
      <c r="B191" s="768" t="s">
        <v>1433</v>
      </c>
      <c r="C191" s="769">
        <v>2</v>
      </c>
      <c r="D191" s="585"/>
      <c r="E191" s="585"/>
      <c r="F191" s="585"/>
      <c r="G191" s="747"/>
    </row>
    <row r="192" spans="1:12">
      <c r="A192" s="764"/>
      <c r="B192" s="768" t="s">
        <v>1434</v>
      </c>
      <c r="C192" s="769">
        <v>15</v>
      </c>
      <c r="D192" s="585"/>
      <c r="E192" s="585"/>
      <c r="F192" s="585"/>
      <c r="G192" s="747"/>
    </row>
    <row r="193" spans="1:12">
      <c r="A193" s="764"/>
      <c r="B193" s="768" t="s">
        <v>1440</v>
      </c>
      <c r="C193" s="769">
        <v>10</v>
      </c>
      <c r="D193" s="585"/>
      <c r="E193" s="585"/>
      <c r="F193" s="585"/>
      <c r="G193" s="747"/>
    </row>
    <row r="194" spans="1:12">
      <c r="A194" s="764"/>
      <c r="B194" s="768" t="s">
        <v>1435</v>
      </c>
      <c r="C194" s="769">
        <v>1</v>
      </c>
      <c r="D194" s="585"/>
      <c r="E194" s="585"/>
      <c r="F194" s="585"/>
      <c r="G194" s="747"/>
    </row>
    <row r="195" spans="1:12">
      <c r="A195" s="764"/>
      <c r="B195" s="746"/>
      <c r="C195" s="585"/>
      <c r="D195" s="585"/>
      <c r="E195" s="585"/>
      <c r="F195" s="585"/>
      <c r="G195" s="747"/>
    </row>
    <row r="196" spans="1:12" ht="45">
      <c r="A196" s="764"/>
      <c r="B196" s="748" t="s">
        <v>1384</v>
      </c>
      <c r="C196" s="748" t="s">
        <v>1385</v>
      </c>
      <c r="D196" s="748" t="s">
        <v>1430</v>
      </c>
      <c r="E196" s="748" t="s">
        <v>1429</v>
      </c>
      <c r="F196" s="748" t="s">
        <v>1436</v>
      </c>
      <c r="G196" s="749" t="s">
        <v>1431</v>
      </c>
    </row>
    <row r="197" spans="1:12">
      <c r="A197" s="764"/>
      <c r="B197" s="585" t="s">
        <v>1402</v>
      </c>
      <c r="C197" s="750" t="s">
        <v>1393</v>
      </c>
      <c r="D197" s="751">
        <f>'Unit costs'!D26</f>
        <v>10</v>
      </c>
      <c r="E197" s="751">
        <f>C193</f>
        <v>10</v>
      </c>
      <c r="F197" s="585"/>
      <c r="G197" s="752">
        <f>D197*E197</f>
        <v>100</v>
      </c>
    </row>
    <row r="198" spans="1:12">
      <c r="A198" s="764"/>
      <c r="B198" s="585" t="s">
        <v>1403</v>
      </c>
      <c r="C198" s="750" t="s">
        <v>1404</v>
      </c>
      <c r="D198" s="751">
        <f>'Unit costs'!D27</f>
        <v>60</v>
      </c>
      <c r="E198" s="751">
        <f>C193</f>
        <v>10</v>
      </c>
      <c r="F198" s="585">
        <f>C191</f>
        <v>2</v>
      </c>
      <c r="G198" s="752">
        <f>D198*E198*F198</f>
        <v>1200</v>
      </c>
    </row>
    <row r="199" spans="1:12">
      <c r="A199" s="764"/>
      <c r="B199" s="585" t="s">
        <v>1405</v>
      </c>
      <c r="C199" s="750" t="s">
        <v>1406</v>
      </c>
      <c r="D199" s="751">
        <f>'Unit costs'!D28</f>
        <v>10</v>
      </c>
      <c r="E199" s="751">
        <f>C192+C194</f>
        <v>16</v>
      </c>
      <c r="F199" s="585">
        <f>C191</f>
        <v>2</v>
      </c>
      <c r="G199" s="752">
        <f>D199*E199*F199</f>
        <v>320</v>
      </c>
    </row>
    <row r="200" spans="1:12">
      <c r="A200" s="764"/>
      <c r="B200" s="585" t="s">
        <v>1407</v>
      </c>
      <c r="C200" s="750" t="s">
        <v>1406</v>
      </c>
      <c r="D200" s="751">
        <f>'Unit costs'!D29</f>
        <v>80</v>
      </c>
      <c r="E200" s="751">
        <f>C194</f>
        <v>1</v>
      </c>
      <c r="F200" s="585">
        <f>C191</f>
        <v>2</v>
      </c>
      <c r="G200" s="752">
        <f>D200*E200*F200</f>
        <v>160</v>
      </c>
    </row>
    <row r="201" spans="1:12">
      <c r="A201" s="764"/>
      <c r="B201" s="585" t="s">
        <v>1408</v>
      </c>
      <c r="C201" s="750" t="s">
        <v>1409</v>
      </c>
      <c r="D201" s="751">
        <f>'Unit costs'!D30</f>
        <v>5</v>
      </c>
      <c r="E201" s="751">
        <f>C192</f>
        <v>15</v>
      </c>
      <c r="F201" s="585"/>
      <c r="G201" s="752">
        <f>D201*E201</f>
        <v>75</v>
      </c>
    </row>
    <row r="202" spans="1:12">
      <c r="A202" s="764"/>
      <c r="B202" s="585" t="s">
        <v>1410</v>
      </c>
      <c r="C202" s="750" t="s">
        <v>1397</v>
      </c>
      <c r="D202" s="751">
        <f>'Unit costs'!D31</f>
        <v>20</v>
      </c>
      <c r="E202" s="751">
        <v>1</v>
      </c>
      <c r="F202" s="585">
        <f>C191</f>
        <v>2</v>
      </c>
      <c r="G202" s="752">
        <f>D202*E202*F202</f>
        <v>40</v>
      </c>
    </row>
    <row r="203" spans="1:12">
      <c r="A203" s="764"/>
      <c r="B203" s="585" t="s">
        <v>978</v>
      </c>
      <c r="C203" s="750" t="s">
        <v>1401</v>
      </c>
      <c r="D203" s="753">
        <f>'Unit costs'!D32</f>
        <v>0.05</v>
      </c>
      <c r="E203" s="585">
        <v>1</v>
      </c>
      <c r="F203" s="585"/>
      <c r="G203" s="754">
        <f>SUM(G197:G202)*D203</f>
        <v>94.75</v>
      </c>
    </row>
    <row r="204" spans="1:12" ht="15.75" thickBot="1">
      <c r="A204" s="774"/>
      <c r="B204" s="756" t="s">
        <v>4</v>
      </c>
      <c r="C204" s="757"/>
      <c r="D204" s="757"/>
      <c r="E204" s="757"/>
      <c r="F204" s="757"/>
      <c r="G204" s="758">
        <f>ROUND(SUM(G197:G203),-2)</f>
        <v>2000</v>
      </c>
    </row>
    <row r="206" spans="1:12">
      <c r="A206" s="973" t="str">
        <f>'NSP Summary Budget (16-18)'!A78</f>
        <v>2.3.7</v>
      </c>
      <c r="B206" s="974" t="str">
        <f>'NSP Summary Budget (16-18)'!B78</f>
        <v>Training of health care staff in management of TB and diabetes</v>
      </c>
      <c r="C206" s="975"/>
      <c r="D206" s="975"/>
      <c r="E206" s="975"/>
      <c r="F206" s="975"/>
      <c r="G206" s="976"/>
      <c r="H206" s="579"/>
      <c r="I206" s="579"/>
      <c r="J206" s="579"/>
      <c r="K206" s="579"/>
      <c r="L206" s="579"/>
    </row>
    <row r="207" spans="1:12">
      <c r="A207" s="977"/>
      <c r="B207" s="746"/>
      <c r="C207" s="585"/>
      <c r="D207" s="585"/>
      <c r="E207" s="585"/>
      <c r="F207" s="585"/>
      <c r="G207" s="978"/>
      <c r="H207" s="579"/>
      <c r="I207" s="579"/>
      <c r="J207" s="579"/>
      <c r="K207" s="579"/>
      <c r="L207" s="579"/>
    </row>
    <row r="208" spans="1:12">
      <c r="A208" s="979"/>
      <c r="B208" s="766" t="s">
        <v>1681</v>
      </c>
      <c r="C208" s="585"/>
      <c r="D208" s="585"/>
      <c r="E208" s="585"/>
      <c r="F208" s="585"/>
      <c r="G208" s="978"/>
    </row>
    <row r="209" spans="1:7">
      <c r="A209" s="977"/>
      <c r="B209" s="746"/>
      <c r="C209" s="585"/>
      <c r="D209" s="585"/>
      <c r="E209" s="585"/>
      <c r="F209" s="585"/>
      <c r="G209" s="978"/>
    </row>
    <row r="210" spans="1:7">
      <c r="A210" s="980"/>
      <c r="B210" s="768" t="s">
        <v>1433</v>
      </c>
      <c r="C210" s="769">
        <v>1</v>
      </c>
      <c r="D210" s="585"/>
      <c r="E210" s="585"/>
      <c r="F210" s="585"/>
      <c r="G210" s="978"/>
    </row>
    <row r="211" spans="1:7">
      <c r="A211" s="977"/>
      <c r="B211" s="768" t="s">
        <v>1434</v>
      </c>
      <c r="C211" s="769">
        <v>20</v>
      </c>
      <c r="D211" s="585"/>
      <c r="E211" s="585"/>
      <c r="F211" s="585"/>
      <c r="G211" s="978"/>
    </row>
    <row r="212" spans="1:7">
      <c r="A212" s="977"/>
      <c r="B212" s="768" t="s">
        <v>1440</v>
      </c>
      <c r="C212" s="769">
        <v>15</v>
      </c>
      <c r="D212" s="585"/>
      <c r="E212" s="585"/>
      <c r="F212" s="585"/>
      <c r="G212" s="978"/>
    </row>
    <row r="213" spans="1:7">
      <c r="A213" s="977"/>
      <c r="B213" s="768" t="s">
        <v>1435</v>
      </c>
      <c r="C213" s="769">
        <v>2</v>
      </c>
      <c r="D213" s="585"/>
      <c r="E213" s="585"/>
      <c r="F213" s="585"/>
      <c r="G213" s="978"/>
    </row>
    <row r="214" spans="1:7">
      <c r="A214" s="977"/>
      <c r="B214" s="746"/>
      <c r="C214" s="585"/>
      <c r="D214" s="585"/>
      <c r="E214" s="585"/>
      <c r="F214" s="585"/>
      <c r="G214" s="978"/>
    </row>
    <row r="215" spans="1:7" ht="45">
      <c r="A215" s="977"/>
      <c r="B215" s="748" t="s">
        <v>1384</v>
      </c>
      <c r="C215" s="748" t="s">
        <v>1385</v>
      </c>
      <c r="D215" s="748" t="s">
        <v>1430</v>
      </c>
      <c r="E215" s="748" t="s">
        <v>1429</v>
      </c>
      <c r="F215" s="748" t="s">
        <v>1436</v>
      </c>
      <c r="G215" s="981" t="s">
        <v>1431</v>
      </c>
    </row>
    <row r="216" spans="1:7">
      <c r="A216" s="977"/>
      <c r="B216" s="585" t="s">
        <v>1402</v>
      </c>
      <c r="C216" s="750" t="s">
        <v>1393</v>
      </c>
      <c r="D216" s="751">
        <f>'Unit costs'!D26</f>
        <v>10</v>
      </c>
      <c r="E216" s="751">
        <f>C212</f>
        <v>15</v>
      </c>
      <c r="F216" s="585"/>
      <c r="G216" s="982">
        <f>D216*E216</f>
        <v>150</v>
      </c>
    </row>
    <row r="217" spans="1:7">
      <c r="A217" s="977"/>
      <c r="B217" s="585" t="s">
        <v>1403</v>
      </c>
      <c r="C217" s="750" t="s">
        <v>1404</v>
      </c>
      <c r="D217" s="751">
        <f>'Unit costs'!D27</f>
        <v>60</v>
      </c>
      <c r="E217" s="751">
        <f>C212</f>
        <v>15</v>
      </c>
      <c r="F217" s="585">
        <f>C210</f>
        <v>1</v>
      </c>
      <c r="G217" s="982">
        <f>D217*E217*F217</f>
        <v>900</v>
      </c>
    </row>
    <row r="218" spans="1:7">
      <c r="A218" s="977"/>
      <c r="B218" s="585" t="s">
        <v>1405</v>
      </c>
      <c r="C218" s="750" t="s">
        <v>1406</v>
      </c>
      <c r="D218" s="751">
        <f>'Unit costs'!D28</f>
        <v>10</v>
      </c>
      <c r="E218" s="751">
        <f>C211+C213</f>
        <v>22</v>
      </c>
      <c r="F218" s="585">
        <f>C210</f>
        <v>1</v>
      </c>
      <c r="G218" s="982">
        <f>D218*E218*F218</f>
        <v>220</v>
      </c>
    </row>
    <row r="219" spans="1:7">
      <c r="A219" s="977"/>
      <c r="B219" s="585" t="s">
        <v>1407</v>
      </c>
      <c r="C219" s="750" t="s">
        <v>1406</v>
      </c>
      <c r="D219" s="751">
        <f>'Unit costs'!D29</f>
        <v>80</v>
      </c>
      <c r="E219" s="751">
        <f>C213</f>
        <v>2</v>
      </c>
      <c r="F219" s="585">
        <f>C210</f>
        <v>1</v>
      </c>
      <c r="G219" s="982">
        <f>D219*E219*F219</f>
        <v>160</v>
      </c>
    </row>
    <row r="220" spans="1:7">
      <c r="A220" s="977"/>
      <c r="B220" s="585" t="s">
        <v>1408</v>
      </c>
      <c r="C220" s="750" t="s">
        <v>1409</v>
      </c>
      <c r="D220" s="751">
        <f>'Unit costs'!D30</f>
        <v>5</v>
      </c>
      <c r="E220" s="751">
        <f>C211</f>
        <v>20</v>
      </c>
      <c r="F220" s="585"/>
      <c r="G220" s="982">
        <f>D220*E220</f>
        <v>100</v>
      </c>
    </row>
    <row r="221" spans="1:7">
      <c r="A221" s="977"/>
      <c r="B221" s="585" t="s">
        <v>1410</v>
      </c>
      <c r="C221" s="750" t="s">
        <v>1397</v>
      </c>
      <c r="D221" s="751">
        <f>'Unit costs'!D31</f>
        <v>20</v>
      </c>
      <c r="E221" s="751">
        <v>1</v>
      </c>
      <c r="F221" s="585">
        <f>C210+1</f>
        <v>2</v>
      </c>
      <c r="G221" s="982">
        <f>D221*E221*F221</f>
        <v>40</v>
      </c>
    </row>
    <row r="222" spans="1:7">
      <c r="A222" s="977"/>
      <c r="B222" s="585" t="s">
        <v>978</v>
      </c>
      <c r="C222" s="750" t="s">
        <v>1401</v>
      </c>
      <c r="D222" s="753">
        <f>'Unit costs'!D32</f>
        <v>0.05</v>
      </c>
      <c r="E222" s="585">
        <v>1</v>
      </c>
      <c r="F222" s="585"/>
      <c r="G222" s="983">
        <f>SUM(G216:G221)*D222</f>
        <v>78.5</v>
      </c>
    </row>
    <row r="223" spans="1:7">
      <c r="A223" s="984"/>
      <c r="B223" s="985" t="s">
        <v>4</v>
      </c>
      <c r="C223" s="986"/>
      <c r="D223" s="986"/>
      <c r="E223" s="986"/>
      <c r="F223" s="986"/>
      <c r="G223" s="987">
        <f>ROUND(SUM(G216:G222),-2)</f>
        <v>1600</v>
      </c>
    </row>
    <row r="224" spans="1:7" ht="15.75" thickBot="1"/>
    <row r="225" spans="1:12">
      <c r="A225" s="762" t="str">
        <f>'NSP Summary Budget (16-18)'!A86</f>
        <v>2.5.2</v>
      </c>
      <c r="B225" s="763" t="str">
        <f>'NSP Summary Budget (16-18)'!B86</f>
        <v>Training on LTBI diagnosis and preventive treatment for general health care providers</v>
      </c>
      <c r="C225" s="743"/>
      <c r="D225" s="743"/>
      <c r="E225" s="743"/>
      <c r="F225" s="743"/>
      <c r="G225" s="744"/>
      <c r="H225" s="579"/>
      <c r="I225" s="579"/>
      <c r="J225" s="579"/>
      <c r="K225" s="579"/>
      <c r="L225" s="579"/>
    </row>
    <row r="226" spans="1:12">
      <c r="A226" s="764"/>
      <c r="B226" s="746"/>
      <c r="C226" s="585"/>
      <c r="D226" s="585"/>
      <c r="E226" s="585"/>
      <c r="F226" s="585"/>
      <c r="G226" s="747"/>
      <c r="H226" s="579"/>
      <c r="I226" s="579"/>
      <c r="J226" s="579"/>
      <c r="K226" s="579"/>
      <c r="L226" s="579"/>
    </row>
    <row r="227" spans="1:12">
      <c r="A227" s="775" t="s">
        <v>1683</v>
      </c>
      <c r="B227" s="766" t="s">
        <v>1682</v>
      </c>
      <c r="C227" s="585"/>
      <c r="D227" s="585"/>
      <c r="E227" s="585"/>
      <c r="F227" s="585"/>
      <c r="G227" s="747"/>
    </row>
    <row r="228" spans="1:12">
      <c r="A228" s="764"/>
      <c r="B228" s="746"/>
      <c r="C228" s="585"/>
      <c r="D228" s="585"/>
      <c r="E228" s="585"/>
      <c r="F228" s="585"/>
      <c r="G228" s="747"/>
    </row>
    <row r="229" spans="1:12">
      <c r="A229" s="767"/>
      <c r="B229" s="768" t="s">
        <v>1433</v>
      </c>
      <c r="C229" s="769">
        <v>2</v>
      </c>
      <c r="D229" s="585"/>
      <c r="E229" s="585"/>
      <c r="F229" s="585"/>
      <c r="G229" s="747"/>
      <c r="H229" s="579"/>
      <c r="I229" s="579"/>
      <c r="J229" s="579"/>
      <c r="K229" s="579"/>
      <c r="L229" s="579"/>
    </row>
    <row r="230" spans="1:12">
      <c r="A230" s="764"/>
      <c r="B230" s="768" t="s">
        <v>1434</v>
      </c>
      <c r="C230" s="769">
        <v>20</v>
      </c>
      <c r="D230" s="585"/>
      <c r="E230" s="585"/>
      <c r="F230" s="585"/>
      <c r="G230" s="747"/>
      <c r="H230" s="579"/>
      <c r="I230" s="579"/>
      <c r="J230" s="579"/>
      <c r="K230" s="579"/>
      <c r="L230" s="579"/>
    </row>
    <row r="231" spans="1:12">
      <c r="A231" s="764"/>
      <c r="B231" s="768" t="s">
        <v>1437</v>
      </c>
      <c r="C231" s="769">
        <v>14</v>
      </c>
      <c r="D231" s="585"/>
      <c r="E231" s="585"/>
      <c r="F231" s="585"/>
      <c r="G231" s="747"/>
      <c r="H231" s="579"/>
      <c r="I231" s="579"/>
      <c r="J231" s="579"/>
      <c r="K231" s="579"/>
      <c r="L231" s="579"/>
    </row>
    <row r="232" spans="1:12">
      <c r="A232" s="764"/>
      <c r="B232" s="768" t="s">
        <v>1435</v>
      </c>
      <c r="C232" s="769">
        <v>2</v>
      </c>
      <c r="D232" s="585"/>
      <c r="E232" s="585"/>
      <c r="F232" s="585"/>
      <c r="G232" s="747"/>
      <c r="H232" s="579"/>
      <c r="I232" s="579"/>
      <c r="J232" s="579"/>
      <c r="K232" s="579"/>
      <c r="L232" s="579"/>
    </row>
    <row r="233" spans="1:12">
      <c r="A233" s="764"/>
      <c r="B233" s="746"/>
      <c r="C233" s="585"/>
      <c r="D233" s="585"/>
      <c r="E233" s="585"/>
      <c r="F233" s="585"/>
      <c r="G233" s="747"/>
      <c r="H233" s="579"/>
      <c r="I233" s="579"/>
      <c r="J233" s="579"/>
      <c r="K233" s="579"/>
      <c r="L233" s="579"/>
    </row>
    <row r="234" spans="1:12" ht="45">
      <c r="A234" s="764"/>
      <c r="B234" s="748" t="s">
        <v>1384</v>
      </c>
      <c r="C234" s="748" t="s">
        <v>1385</v>
      </c>
      <c r="D234" s="748" t="s">
        <v>1430</v>
      </c>
      <c r="E234" s="748" t="s">
        <v>1429</v>
      </c>
      <c r="F234" s="748" t="s">
        <v>1436</v>
      </c>
      <c r="G234" s="749" t="s">
        <v>1431</v>
      </c>
      <c r="H234" s="579"/>
    </row>
    <row r="235" spans="1:12">
      <c r="A235" s="764"/>
      <c r="B235" s="585" t="s">
        <v>1402</v>
      </c>
      <c r="C235" s="750" t="s">
        <v>1393</v>
      </c>
      <c r="D235" s="751">
        <f>'Unit costs'!D17</f>
        <v>20</v>
      </c>
      <c r="E235" s="751">
        <f>C231</f>
        <v>14</v>
      </c>
      <c r="F235" s="585"/>
      <c r="G235" s="752">
        <f>D235*E235</f>
        <v>280</v>
      </c>
      <c r="H235" s="579"/>
    </row>
    <row r="236" spans="1:12">
      <c r="A236" s="764"/>
      <c r="B236" s="585" t="s">
        <v>1403</v>
      </c>
      <c r="C236" s="750" t="s">
        <v>1404</v>
      </c>
      <c r="D236" s="751">
        <f>'Unit costs'!D18</f>
        <v>60</v>
      </c>
      <c r="E236" s="751">
        <f>C231</f>
        <v>14</v>
      </c>
      <c r="F236" s="585">
        <f>C229</f>
        <v>2</v>
      </c>
      <c r="G236" s="752">
        <f>D236*E236*F236</f>
        <v>1680</v>
      </c>
      <c r="H236" s="579"/>
    </row>
    <row r="237" spans="1:12">
      <c r="A237" s="764"/>
      <c r="B237" s="585" t="s">
        <v>1405</v>
      </c>
      <c r="C237" s="750" t="s">
        <v>1406</v>
      </c>
      <c r="D237" s="751">
        <f>'Unit costs'!D19</f>
        <v>12</v>
      </c>
      <c r="E237" s="751">
        <f>C230+C232</f>
        <v>22</v>
      </c>
      <c r="F237" s="585">
        <f>C229</f>
        <v>2</v>
      </c>
      <c r="G237" s="752">
        <f>D237*E237*F237</f>
        <v>528</v>
      </c>
      <c r="H237" s="579"/>
    </row>
    <row r="238" spans="1:12">
      <c r="A238" s="764"/>
      <c r="B238" s="585" t="s">
        <v>1407</v>
      </c>
      <c r="C238" s="750" t="s">
        <v>1406</v>
      </c>
      <c r="D238" s="751">
        <f>'Unit costs'!D20</f>
        <v>80</v>
      </c>
      <c r="E238" s="751">
        <f>C232</f>
        <v>2</v>
      </c>
      <c r="F238" s="585">
        <f>C229</f>
        <v>2</v>
      </c>
      <c r="G238" s="752">
        <f>D238*E238*F238</f>
        <v>320</v>
      </c>
      <c r="H238" s="579"/>
    </row>
    <row r="239" spans="1:12">
      <c r="A239" s="764"/>
      <c r="B239" s="585" t="s">
        <v>1408</v>
      </c>
      <c r="C239" s="750" t="s">
        <v>1409</v>
      </c>
      <c r="D239" s="751">
        <f>'Unit costs'!D21</f>
        <v>8</v>
      </c>
      <c r="E239" s="751">
        <f>C230</f>
        <v>20</v>
      </c>
      <c r="F239" s="585"/>
      <c r="G239" s="752">
        <f>D239*E239</f>
        <v>160</v>
      </c>
      <c r="H239" s="579"/>
    </row>
    <row r="240" spans="1:12">
      <c r="A240" s="764"/>
      <c r="B240" s="585" t="s">
        <v>1410</v>
      </c>
      <c r="C240" s="750" t="s">
        <v>1397</v>
      </c>
      <c r="D240" s="751">
        <f>'Unit costs'!D22</f>
        <v>30</v>
      </c>
      <c r="E240" s="751">
        <v>1</v>
      </c>
      <c r="F240" s="585">
        <f>C229+1</f>
        <v>3</v>
      </c>
      <c r="G240" s="752">
        <f>D240*E240*F240</f>
        <v>90</v>
      </c>
      <c r="H240" s="579"/>
    </row>
    <row r="241" spans="1:8">
      <c r="A241" s="764"/>
      <c r="B241" s="585" t="s">
        <v>978</v>
      </c>
      <c r="C241" s="750" t="s">
        <v>1401</v>
      </c>
      <c r="D241" s="753">
        <f>'Unit costs'!D23</f>
        <v>0.05</v>
      </c>
      <c r="E241" s="585">
        <v>1</v>
      </c>
      <c r="F241" s="585"/>
      <c r="G241" s="754">
        <f>SUM(G235:G240)*D241</f>
        <v>152.9</v>
      </c>
      <c r="H241" s="579"/>
    </row>
    <row r="242" spans="1:8">
      <c r="A242" s="764"/>
      <c r="B242" s="771" t="s">
        <v>4</v>
      </c>
      <c r="C242" s="585"/>
      <c r="D242" s="585"/>
      <c r="E242" s="585"/>
      <c r="F242" s="585"/>
      <c r="G242" s="772">
        <f>ROUND(SUM(G235:G241),-2)</f>
        <v>3200</v>
      </c>
      <c r="H242" s="579"/>
    </row>
    <row r="243" spans="1:8">
      <c r="A243" s="764"/>
      <c r="B243" s="587"/>
      <c r="C243" s="587"/>
      <c r="D243" s="587"/>
      <c r="E243" s="587"/>
      <c r="F243" s="587"/>
      <c r="G243" s="773"/>
    </row>
    <row r="244" spans="1:8">
      <c r="A244" s="775" t="s">
        <v>1684</v>
      </c>
      <c r="B244" s="766" t="s">
        <v>1681</v>
      </c>
      <c r="C244" s="585"/>
      <c r="D244" s="585"/>
      <c r="E244" s="585"/>
      <c r="F244" s="585"/>
      <c r="G244" s="747"/>
    </row>
    <row r="245" spans="1:8">
      <c r="A245" s="764"/>
      <c r="B245" s="746"/>
      <c r="C245" s="585"/>
      <c r="D245" s="585"/>
      <c r="E245" s="585"/>
      <c r="F245" s="585"/>
      <c r="G245" s="747"/>
    </row>
    <row r="246" spans="1:8">
      <c r="A246" s="767"/>
      <c r="B246" s="768" t="s">
        <v>1433</v>
      </c>
      <c r="C246" s="769">
        <v>2</v>
      </c>
      <c r="D246" s="585"/>
      <c r="E246" s="585"/>
      <c r="F246" s="585"/>
      <c r="G246" s="747"/>
    </row>
    <row r="247" spans="1:8">
      <c r="A247" s="764"/>
      <c r="B247" s="768" t="s">
        <v>1434</v>
      </c>
      <c r="C247" s="769">
        <v>15</v>
      </c>
      <c r="D247" s="585"/>
      <c r="E247" s="585"/>
      <c r="F247" s="585"/>
      <c r="G247" s="747"/>
    </row>
    <row r="248" spans="1:8">
      <c r="A248" s="764"/>
      <c r="B248" s="768" t="s">
        <v>1440</v>
      </c>
      <c r="C248" s="769">
        <v>10</v>
      </c>
      <c r="D248" s="585"/>
      <c r="E248" s="585"/>
      <c r="F248" s="585"/>
      <c r="G248" s="747"/>
    </row>
    <row r="249" spans="1:8">
      <c r="A249" s="764"/>
      <c r="B249" s="768" t="s">
        <v>1435</v>
      </c>
      <c r="C249" s="769">
        <v>1</v>
      </c>
      <c r="D249" s="585"/>
      <c r="E249" s="585"/>
      <c r="F249" s="585"/>
      <c r="G249" s="747"/>
    </row>
    <row r="250" spans="1:8">
      <c r="A250" s="764"/>
      <c r="B250" s="746"/>
      <c r="C250" s="585"/>
      <c r="D250" s="585"/>
      <c r="E250" s="585"/>
      <c r="F250" s="585"/>
      <c r="G250" s="747"/>
    </row>
    <row r="251" spans="1:8" ht="45">
      <c r="A251" s="764"/>
      <c r="B251" s="748" t="s">
        <v>1384</v>
      </c>
      <c r="C251" s="748" t="s">
        <v>1385</v>
      </c>
      <c r="D251" s="748" t="s">
        <v>1430</v>
      </c>
      <c r="E251" s="748" t="s">
        <v>1429</v>
      </c>
      <c r="F251" s="748" t="s">
        <v>1436</v>
      </c>
      <c r="G251" s="749" t="s">
        <v>1431</v>
      </c>
    </row>
    <row r="252" spans="1:8">
      <c r="A252" s="764"/>
      <c r="B252" s="585" t="s">
        <v>1402</v>
      </c>
      <c r="C252" s="750" t="s">
        <v>1393</v>
      </c>
      <c r="D252" s="751">
        <f>'Unit costs'!D26</f>
        <v>10</v>
      </c>
      <c r="E252" s="751">
        <f>C248</f>
        <v>10</v>
      </c>
      <c r="F252" s="585"/>
      <c r="G252" s="752">
        <f>D252*E252</f>
        <v>100</v>
      </c>
    </row>
    <row r="253" spans="1:8">
      <c r="A253" s="764"/>
      <c r="B253" s="585" t="s">
        <v>1403</v>
      </c>
      <c r="C253" s="750" t="s">
        <v>1404</v>
      </c>
      <c r="D253" s="751">
        <f>'Unit costs'!D27</f>
        <v>60</v>
      </c>
      <c r="E253" s="751">
        <f>C248</f>
        <v>10</v>
      </c>
      <c r="F253" s="585">
        <f>C246</f>
        <v>2</v>
      </c>
      <c r="G253" s="752">
        <f>D253*E253*F253</f>
        <v>1200</v>
      </c>
    </row>
    <row r="254" spans="1:8">
      <c r="A254" s="764"/>
      <c r="B254" s="585" t="s">
        <v>1405</v>
      </c>
      <c r="C254" s="750" t="s">
        <v>1406</v>
      </c>
      <c r="D254" s="751">
        <f>'Unit costs'!D28</f>
        <v>10</v>
      </c>
      <c r="E254" s="751">
        <f>C247+C249</f>
        <v>16</v>
      </c>
      <c r="F254" s="585">
        <f>C246</f>
        <v>2</v>
      </c>
      <c r="G254" s="752">
        <f>D254*E254*F254</f>
        <v>320</v>
      </c>
    </row>
    <row r="255" spans="1:8">
      <c r="A255" s="764"/>
      <c r="B255" s="585" t="s">
        <v>1407</v>
      </c>
      <c r="C255" s="750" t="s">
        <v>1406</v>
      </c>
      <c r="D255" s="751">
        <f>'Unit costs'!D29</f>
        <v>80</v>
      </c>
      <c r="E255" s="751">
        <f>C249</f>
        <v>1</v>
      </c>
      <c r="F255" s="585">
        <f>C246</f>
        <v>2</v>
      </c>
      <c r="G255" s="752">
        <f>D255*E255*F255</f>
        <v>160</v>
      </c>
    </row>
    <row r="256" spans="1:8">
      <c r="A256" s="764"/>
      <c r="B256" s="585" t="s">
        <v>1408</v>
      </c>
      <c r="C256" s="750" t="s">
        <v>1409</v>
      </c>
      <c r="D256" s="751">
        <f>'Unit costs'!D30</f>
        <v>5</v>
      </c>
      <c r="E256" s="751">
        <f>C247</f>
        <v>15</v>
      </c>
      <c r="F256" s="585"/>
      <c r="G256" s="752">
        <f>D256*E256</f>
        <v>75</v>
      </c>
    </row>
    <row r="257" spans="1:10">
      <c r="A257" s="764"/>
      <c r="B257" s="585" t="s">
        <v>1410</v>
      </c>
      <c r="C257" s="750" t="s">
        <v>1397</v>
      </c>
      <c r="D257" s="751">
        <f>'Unit costs'!D31</f>
        <v>20</v>
      </c>
      <c r="E257" s="751">
        <v>1</v>
      </c>
      <c r="F257" s="585">
        <f>C246+1</f>
        <v>3</v>
      </c>
      <c r="G257" s="752">
        <f>D257*E257*F257</f>
        <v>60</v>
      </c>
    </row>
    <row r="258" spans="1:10">
      <c r="A258" s="764"/>
      <c r="B258" s="585" t="s">
        <v>978</v>
      </c>
      <c r="C258" s="750" t="s">
        <v>1401</v>
      </c>
      <c r="D258" s="753">
        <f>'Unit costs'!D32</f>
        <v>0.05</v>
      </c>
      <c r="E258" s="585">
        <v>1</v>
      </c>
      <c r="F258" s="585"/>
      <c r="G258" s="754">
        <f>SUM(G252:G257)*D258</f>
        <v>95.75</v>
      </c>
    </row>
    <row r="259" spans="1:10" ht="15.75" thickBot="1">
      <c r="A259" s="774"/>
      <c r="B259" s="756" t="s">
        <v>4</v>
      </c>
      <c r="C259" s="757"/>
      <c r="D259" s="757"/>
      <c r="E259" s="757"/>
      <c r="F259" s="757"/>
      <c r="G259" s="758">
        <f>ROUND(SUM(G252:G258),-2)</f>
        <v>2000</v>
      </c>
    </row>
    <row r="260" spans="1:10" ht="15.75" thickBot="1"/>
    <row r="261" spans="1:10">
      <c r="A261" s="762" t="str">
        <f>'NSP Summary Budget (16-18)'!A98</f>
        <v>3.1.3</v>
      </c>
      <c r="B261" s="763" t="str">
        <f>'NSP Summary Budget (16-18)'!B98</f>
        <v xml:space="preserve">Training and attendance of international TB events abroad </v>
      </c>
      <c r="C261" s="743"/>
      <c r="D261" s="743"/>
      <c r="E261" s="743"/>
      <c r="F261" s="744"/>
      <c r="G261" s="585"/>
      <c r="H261" s="579"/>
      <c r="I261" s="579"/>
      <c r="J261" s="579"/>
    </row>
    <row r="262" spans="1:10">
      <c r="A262" s="764"/>
      <c r="B262" s="746"/>
      <c r="C262" s="585"/>
      <c r="D262" s="585"/>
      <c r="E262" s="585"/>
      <c r="F262" s="747"/>
      <c r="G262" s="585"/>
      <c r="H262" s="579"/>
      <c r="I262" s="579"/>
      <c r="J262" s="579"/>
    </row>
    <row r="263" spans="1:10">
      <c r="A263" s="764"/>
      <c r="B263" s="766" t="s">
        <v>1686</v>
      </c>
      <c r="C263" s="585"/>
      <c r="D263" s="585"/>
      <c r="E263" s="585"/>
      <c r="F263" s="747"/>
      <c r="G263" s="585"/>
      <c r="H263" s="579"/>
      <c r="I263" s="579"/>
      <c r="J263" s="579"/>
    </row>
    <row r="264" spans="1:10">
      <c r="A264" s="764"/>
      <c r="B264" s="786"/>
      <c r="C264" s="585"/>
      <c r="D264" s="585"/>
      <c r="E264" s="585"/>
      <c r="F264" s="747"/>
      <c r="G264" s="585"/>
      <c r="H264" s="579"/>
      <c r="I264" s="579"/>
      <c r="J264" s="579"/>
    </row>
    <row r="265" spans="1:10" ht="45">
      <c r="A265" s="764"/>
      <c r="B265" s="748" t="s">
        <v>1384</v>
      </c>
      <c r="C265" s="748" t="s">
        <v>1385</v>
      </c>
      <c r="D265" s="748" t="s">
        <v>1430</v>
      </c>
      <c r="E265" s="748" t="s">
        <v>1429</v>
      </c>
      <c r="F265" s="749" t="s">
        <v>1431</v>
      </c>
      <c r="G265" s="585"/>
    </row>
    <row r="266" spans="1:10">
      <c r="A266" s="764"/>
      <c r="B266" s="585" t="s">
        <v>1392</v>
      </c>
      <c r="C266" s="750" t="s">
        <v>1393</v>
      </c>
      <c r="D266" s="751">
        <f>'Unit costs'!D35</f>
        <v>800</v>
      </c>
      <c r="E266" s="751">
        <v>1</v>
      </c>
      <c r="F266" s="752">
        <f t="shared" ref="F266:F271" si="4">D266*E266</f>
        <v>800</v>
      </c>
      <c r="G266" s="585"/>
    </row>
    <row r="267" spans="1:10">
      <c r="A267" s="764"/>
      <c r="B267" s="585" t="s">
        <v>1412</v>
      </c>
      <c r="C267" s="750" t="s">
        <v>1413</v>
      </c>
      <c r="D267" s="751">
        <f>'Unit costs'!D36</f>
        <v>160</v>
      </c>
      <c r="E267" s="751">
        <v>4</v>
      </c>
      <c r="F267" s="752">
        <f t="shared" si="4"/>
        <v>640</v>
      </c>
      <c r="G267" s="585"/>
    </row>
    <row r="268" spans="1:10">
      <c r="A268" s="764"/>
      <c r="B268" s="585" t="s">
        <v>1414</v>
      </c>
      <c r="C268" s="750" t="s">
        <v>1397</v>
      </c>
      <c r="D268" s="751">
        <f>'Unit costs'!D37</f>
        <v>80</v>
      </c>
      <c r="E268" s="751">
        <f>E267+1</f>
        <v>5</v>
      </c>
      <c r="F268" s="752">
        <f t="shared" si="4"/>
        <v>400</v>
      </c>
      <c r="G268" s="585"/>
    </row>
    <row r="269" spans="1:10">
      <c r="A269" s="764"/>
      <c r="B269" s="585" t="s">
        <v>1415</v>
      </c>
      <c r="C269" s="750" t="s">
        <v>1416</v>
      </c>
      <c r="D269" s="751">
        <f>'Unit costs'!D38</f>
        <v>1500</v>
      </c>
      <c r="E269" s="751">
        <v>0</v>
      </c>
      <c r="F269" s="752">
        <f t="shared" si="4"/>
        <v>0</v>
      </c>
      <c r="G269" s="585"/>
    </row>
    <row r="270" spans="1:10">
      <c r="A270" s="764"/>
      <c r="B270" s="585" t="s">
        <v>1417</v>
      </c>
      <c r="C270" s="750" t="s">
        <v>1416</v>
      </c>
      <c r="D270" s="751">
        <f>'Unit costs'!D39</f>
        <v>30</v>
      </c>
      <c r="E270" s="751">
        <v>1</v>
      </c>
      <c r="F270" s="752">
        <f t="shared" si="4"/>
        <v>30</v>
      </c>
      <c r="G270" s="585"/>
    </row>
    <row r="271" spans="1:10">
      <c r="A271" s="764"/>
      <c r="B271" s="585" t="s">
        <v>1418</v>
      </c>
      <c r="C271" s="750" t="s">
        <v>1416</v>
      </c>
      <c r="D271" s="751">
        <f>'Unit costs'!D40</f>
        <v>70</v>
      </c>
      <c r="E271" s="751">
        <v>1</v>
      </c>
      <c r="F271" s="752">
        <f t="shared" si="4"/>
        <v>70</v>
      </c>
      <c r="G271" s="585"/>
    </row>
    <row r="272" spans="1:10">
      <c r="A272" s="764"/>
      <c r="B272" s="585" t="s">
        <v>978</v>
      </c>
      <c r="C272" s="750" t="s">
        <v>1401</v>
      </c>
      <c r="D272" s="753">
        <f>'Unit costs'!D41</f>
        <v>0.05</v>
      </c>
      <c r="E272" s="585">
        <v>1</v>
      </c>
      <c r="F272" s="754">
        <f>SUM(F266:F271)*D272</f>
        <v>97</v>
      </c>
      <c r="G272" s="585"/>
    </row>
    <row r="273" spans="1:12" ht="15.75" thickBot="1">
      <c r="A273" s="774"/>
      <c r="B273" s="756" t="s">
        <v>4</v>
      </c>
      <c r="C273" s="757"/>
      <c r="D273" s="757"/>
      <c r="E273" s="757"/>
      <c r="F273" s="758">
        <f>ROUND(SUM(F266:F272),-2)</f>
        <v>2000</v>
      </c>
      <c r="G273" s="585"/>
    </row>
    <row r="274" spans="1:12" ht="15.75" thickBot="1"/>
    <row r="275" spans="1:12">
      <c r="A275" s="762" t="str">
        <f>'NSP Summary Budget (16-18)'!A99</f>
        <v>3.1.4</v>
      </c>
      <c r="B275" s="763" t="str">
        <f>'NSP Summary Budget (16-18)'!B99</f>
        <v xml:space="preserve">Training of health care managers in priority issues of TB control </v>
      </c>
      <c r="C275" s="743"/>
      <c r="D275" s="743"/>
      <c r="E275" s="743"/>
      <c r="F275" s="743"/>
      <c r="G275" s="744"/>
      <c r="H275" s="579"/>
      <c r="I275" s="579"/>
      <c r="J275" s="579"/>
      <c r="K275" s="579"/>
      <c r="L275" s="579"/>
    </row>
    <row r="276" spans="1:12">
      <c r="A276" s="764"/>
      <c r="B276" s="746"/>
      <c r="C276" s="585"/>
      <c r="D276" s="585"/>
      <c r="E276" s="585"/>
      <c r="F276" s="585"/>
      <c r="G276" s="747"/>
      <c r="H276" s="579"/>
      <c r="I276" s="579"/>
      <c r="J276" s="579"/>
      <c r="K276" s="579"/>
      <c r="L276" s="579"/>
    </row>
    <row r="277" spans="1:12">
      <c r="A277" s="765"/>
      <c r="B277" s="766" t="s">
        <v>1682</v>
      </c>
      <c r="C277" s="585"/>
      <c r="D277" s="585"/>
      <c r="E277" s="585"/>
      <c r="F277" s="585"/>
      <c r="G277" s="747"/>
    </row>
    <row r="278" spans="1:12">
      <c r="A278" s="764"/>
      <c r="B278" s="746"/>
      <c r="C278" s="585"/>
      <c r="D278" s="585"/>
      <c r="E278" s="585"/>
      <c r="F278" s="585"/>
      <c r="G278" s="747"/>
    </row>
    <row r="279" spans="1:12">
      <c r="A279" s="767"/>
      <c r="B279" s="768" t="s">
        <v>1433</v>
      </c>
      <c r="C279" s="769">
        <v>3</v>
      </c>
      <c r="D279" s="585"/>
      <c r="E279" s="585"/>
      <c r="F279" s="585"/>
      <c r="G279" s="747"/>
      <c r="H279" s="579"/>
      <c r="I279" s="579"/>
      <c r="J279" s="579"/>
      <c r="K279" s="579"/>
      <c r="L279" s="579"/>
    </row>
    <row r="280" spans="1:12">
      <c r="A280" s="764"/>
      <c r="B280" s="768" t="s">
        <v>1434</v>
      </c>
      <c r="C280" s="769">
        <v>20</v>
      </c>
      <c r="D280" s="585"/>
      <c r="E280" s="585"/>
      <c r="F280" s="585"/>
      <c r="G280" s="747"/>
      <c r="H280" s="579"/>
      <c r="I280" s="579"/>
      <c r="J280" s="579"/>
      <c r="K280" s="579"/>
      <c r="L280" s="579"/>
    </row>
    <row r="281" spans="1:12">
      <c r="A281" s="764"/>
      <c r="B281" s="768" t="s">
        <v>1437</v>
      </c>
      <c r="C281" s="769">
        <v>14</v>
      </c>
      <c r="D281" s="585"/>
      <c r="E281" s="585"/>
      <c r="F281" s="585"/>
      <c r="G281" s="747"/>
      <c r="H281" s="579"/>
      <c r="I281" s="579"/>
      <c r="J281" s="579"/>
      <c r="K281" s="579"/>
      <c r="L281" s="579"/>
    </row>
    <row r="282" spans="1:12">
      <c r="A282" s="764"/>
      <c r="B282" s="768" t="s">
        <v>1435</v>
      </c>
      <c r="C282" s="769">
        <v>4</v>
      </c>
      <c r="D282" s="585"/>
      <c r="E282" s="585"/>
      <c r="F282" s="585"/>
      <c r="G282" s="747"/>
      <c r="H282" s="579"/>
      <c r="I282" s="579"/>
      <c r="J282" s="579"/>
      <c r="K282" s="579"/>
      <c r="L282" s="579"/>
    </row>
    <row r="283" spans="1:12">
      <c r="A283" s="764"/>
      <c r="B283" s="746"/>
      <c r="C283" s="585"/>
      <c r="D283" s="585"/>
      <c r="E283" s="585"/>
      <c r="F283" s="585"/>
      <c r="G283" s="747"/>
      <c r="H283" s="579"/>
      <c r="I283" s="579"/>
      <c r="J283" s="579"/>
      <c r="K283" s="579"/>
      <c r="L283" s="579"/>
    </row>
    <row r="284" spans="1:12" ht="45">
      <c r="A284" s="764"/>
      <c r="B284" s="748" t="s">
        <v>1384</v>
      </c>
      <c r="C284" s="748" t="s">
        <v>1385</v>
      </c>
      <c r="D284" s="748" t="s">
        <v>1430</v>
      </c>
      <c r="E284" s="748" t="s">
        <v>1429</v>
      </c>
      <c r="F284" s="748" t="s">
        <v>1436</v>
      </c>
      <c r="G284" s="749" t="s">
        <v>1431</v>
      </c>
      <c r="H284" s="579"/>
    </row>
    <row r="285" spans="1:12">
      <c r="A285" s="764"/>
      <c r="B285" s="585" t="s">
        <v>1402</v>
      </c>
      <c r="C285" s="750" t="s">
        <v>1393</v>
      </c>
      <c r="D285" s="751">
        <f>'Unit costs'!D17</f>
        <v>20</v>
      </c>
      <c r="E285" s="751">
        <f>C281</f>
        <v>14</v>
      </c>
      <c r="F285" s="585"/>
      <c r="G285" s="752">
        <f>D285*E285</f>
        <v>280</v>
      </c>
      <c r="H285" s="579"/>
    </row>
    <row r="286" spans="1:12">
      <c r="A286" s="764"/>
      <c r="B286" s="585" t="s">
        <v>1403</v>
      </c>
      <c r="C286" s="750" t="s">
        <v>1404</v>
      </c>
      <c r="D286" s="751">
        <f>'Unit costs'!D18</f>
        <v>60</v>
      </c>
      <c r="E286" s="751">
        <f>C281</f>
        <v>14</v>
      </c>
      <c r="F286" s="585">
        <f>C279</f>
        <v>3</v>
      </c>
      <c r="G286" s="752">
        <f>D286*E286*F286</f>
        <v>2520</v>
      </c>
      <c r="H286" s="579"/>
    </row>
    <row r="287" spans="1:12">
      <c r="A287" s="764"/>
      <c r="B287" s="585" t="s">
        <v>1405</v>
      </c>
      <c r="C287" s="750" t="s">
        <v>1406</v>
      </c>
      <c r="D287" s="751">
        <f>'Unit costs'!D19</f>
        <v>12</v>
      </c>
      <c r="E287" s="751">
        <f>C280+C282</f>
        <v>24</v>
      </c>
      <c r="F287" s="585">
        <f>C279</f>
        <v>3</v>
      </c>
      <c r="G287" s="752">
        <f>D287*E287*F287</f>
        <v>864</v>
      </c>
      <c r="H287" s="579"/>
    </row>
    <row r="288" spans="1:12">
      <c r="A288" s="764"/>
      <c r="B288" s="585" t="s">
        <v>1407</v>
      </c>
      <c r="C288" s="750" t="s">
        <v>1406</v>
      </c>
      <c r="D288" s="751">
        <f>'Unit costs'!D20</f>
        <v>80</v>
      </c>
      <c r="E288" s="751">
        <f>C282</f>
        <v>4</v>
      </c>
      <c r="F288" s="585">
        <f>C279</f>
        <v>3</v>
      </c>
      <c r="G288" s="752">
        <f>D288*E288*F288</f>
        <v>960</v>
      </c>
      <c r="H288" s="579"/>
    </row>
    <row r="289" spans="1:12">
      <c r="A289" s="764"/>
      <c r="B289" s="585" t="s">
        <v>1408</v>
      </c>
      <c r="C289" s="750" t="s">
        <v>1409</v>
      </c>
      <c r="D289" s="751">
        <f>'Unit costs'!D21</f>
        <v>8</v>
      </c>
      <c r="E289" s="751">
        <f>C280</f>
        <v>20</v>
      </c>
      <c r="F289" s="585"/>
      <c r="G289" s="752">
        <f>D289*E289</f>
        <v>160</v>
      </c>
      <c r="H289" s="579"/>
    </row>
    <row r="290" spans="1:12">
      <c r="A290" s="764"/>
      <c r="B290" s="585" t="s">
        <v>1410</v>
      </c>
      <c r="C290" s="750" t="s">
        <v>1397</v>
      </c>
      <c r="D290" s="751">
        <f>'Unit costs'!D22</f>
        <v>30</v>
      </c>
      <c r="E290" s="751">
        <v>1</v>
      </c>
      <c r="F290" s="585">
        <f>C279+1</f>
        <v>4</v>
      </c>
      <c r="G290" s="752">
        <f>D290*E290*F290</f>
        <v>120</v>
      </c>
      <c r="H290" s="579"/>
    </row>
    <row r="291" spans="1:12">
      <c r="A291" s="764"/>
      <c r="B291" s="585" t="s">
        <v>978</v>
      </c>
      <c r="C291" s="750" t="s">
        <v>1401</v>
      </c>
      <c r="D291" s="753">
        <f>'Unit costs'!D23</f>
        <v>0.05</v>
      </c>
      <c r="E291" s="585">
        <v>1</v>
      </c>
      <c r="F291" s="585"/>
      <c r="G291" s="754">
        <f>SUM(G285:G290)*D291</f>
        <v>245.20000000000002</v>
      </c>
      <c r="H291" s="579"/>
    </row>
    <row r="292" spans="1:12" ht="15.75" thickBot="1">
      <c r="A292" s="774"/>
      <c r="B292" s="756" t="s">
        <v>4</v>
      </c>
      <c r="C292" s="757"/>
      <c r="D292" s="757"/>
      <c r="E292" s="757"/>
      <c r="F292" s="757"/>
      <c r="G292" s="758">
        <f>ROUND(SUM(G285:G291),-2)</f>
        <v>5100</v>
      </c>
      <c r="H292" s="579"/>
    </row>
    <row r="293" spans="1:12" ht="15.75" thickBot="1"/>
    <row r="294" spans="1:12">
      <c r="A294" s="762" t="str">
        <f>'NSP Summary Budget (16-18)'!A100</f>
        <v>3.1.5</v>
      </c>
      <c r="B294" s="763" t="str">
        <f>'NSP Summary Budget (16-18)'!B100</f>
        <v>TB management training of TB service staff: doctors</v>
      </c>
      <c r="C294" s="743"/>
      <c r="D294" s="743"/>
      <c r="E294" s="743"/>
      <c r="F294" s="743"/>
      <c r="G294" s="744"/>
      <c r="H294" s="579"/>
      <c r="I294" s="579"/>
      <c r="J294" s="579"/>
      <c r="K294" s="579"/>
      <c r="L294" s="579"/>
    </row>
    <row r="295" spans="1:12">
      <c r="A295" s="764"/>
      <c r="B295" s="746"/>
      <c r="C295" s="585"/>
      <c r="D295" s="585"/>
      <c r="E295" s="585"/>
      <c r="F295" s="585"/>
      <c r="G295" s="747"/>
      <c r="H295" s="579"/>
      <c r="I295" s="579"/>
      <c r="J295" s="579"/>
      <c r="K295" s="579"/>
      <c r="L295" s="579"/>
    </row>
    <row r="296" spans="1:12">
      <c r="A296" s="775" t="s">
        <v>1683</v>
      </c>
      <c r="B296" s="766" t="s">
        <v>1682</v>
      </c>
      <c r="C296" s="585"/>
      <c r="D296" s="585"/>
      <c r="E296" s="585"/>
      <c r="F296" s="585"/>
      <c r="G296" s="747"/>
    </row>
    <row r="297" spans="1:12">
      <c r="A297" s="764"/>
      <c r="B297" s="746"/>
      <c r="C297" s="585"/>
      <c r="D297" s="585"/>
      <c r="E297" s="585"/>
      <c r="F297" s="585"/>
      <c r="G297" s="747"/>
    </row>
    <row r="298" spans="1:12">
      <c r="A298" s="767"/>
      <c r="B298" s="768" t="s">
        <v>1433</v>
      </c>
      <c r="C298" s="769">
        <v>3</v>
      </c>
      <c r="D298" s="585"/>
      <c r="E298" s="585"/>
      <c r="F298" s="585"/>
      <c r="G298" s="747"/>
      <c r="H298" s="579"/>
      <c r="I298" s="579"/>
      <c r="J298" s="579"/>
      <c r="K298" s="579"/>
      <c r="L298" s="579"/>
    </row>
    <row r="299" spans="1:12">
      <c r="A299" s="764"/>
      <c r="B299" s="768" t="s">
        <v>1434</v>
      </c>
      <c r="C299" s="769">
        <v>20</v>
      </c>
      <c r="D299" s="585"/>
      <c r="E299" s="585"/>
      <c r="F299" s="585"/>
      <c r="G299" s="747"/>
      <c r="H299" s="579"/>
      <c r="I299" s="579"/>
      <c r="J299" s="579"/>
      <c r="K299" s="579"/>
      <c r="L299" s="579"/>
    </row>
    <row r="300" spans="1:12">
      <c r="A300" s="764"/>
      <c r="B300" s="768" t="s">
        <v>1437</v>
      </c>
      <c r="C300" s="769">
        <v>12</v>
      </c>
      <c r="D300" s="585"/>
      <c r="E300" s="585"/>
      <c r="F300" s="585"/>
      <c r="G300" s="747"/>
      <c r="H300" s="579"/>
      <c r="I300" s="579"/>
      <c r="J300" s="579"/>
      <c r="K300" s="579"/>
      <c r="L300" s="579"/>
    </row>
    <row r="301" spans="1:12">
      <c r="A301" s="764"/>
      <c r="B301" s="768" t="s">
        <v>1435</v>
      </c>
      <c r="C301" s="769">
        <v>3</v>
      </c>
      <c r="D301" s="585"/>
      <c r="E301" s="585"/>
      <c r="F301" s="585"/>
      <c r="G301" s="747"/>
      <c r="H301" s="579"/>
      <c r="I301" s="579"/>
      <c r="J301" s="579"/>
      <c r="K301" s="579"/>
      <c r="L301" s="579"/>
    </row>
    <row r="302" spans="1:12">
      <c r="A302" s="764"/>
      <c r="B302" s="746"/>
      <c r="C302" s="585"/>
      <c r="D302" s="585"/>
      <c r="E302" s="585"/>
      <c r="F302" s="585"/>
      <c r="G302" s="747"/>
      <c r="H302" s="579"/>
      <c r="I302" s="579"/>
      <c r="J302" s="579"/>
      <c r="K302" s="579"/>
      <c r="L302" s="579"/>
    </row>
    <row r="303" spans="1:12" ht="45">
      <c r="A303" s="764"/>
      <c r="B303" s="748" t="s">
        <v>1384</v>
      </c>
      <c r="C303" s="748" t="s">
        <v>1385</v>
      </c>
      <c r="D303" s="748" t="s">
        <v>1430</v>
      </c>
      <c r="E303" s="748" t="s">
        <v>1429</v>
      </c>
      <c r="F303" s="748" t="s">
        <v>1436</v>
      </c>
      <c r="G303" s="749" t="s">
        <v>1431</v>
      </c>
      <c r="H303" s="579"/>
    </row>
    <row r="304" spans="1:12">
      <c r="A304" s="764"/>
      <c r="B304" s="585" t="s">
        <v>1402</v>
      </c>
      <c r="C304" s="750" t="s">
        <v>1393</v>
      </c>
      <c r="D304" s="751">
        <f>'Unit costs'!D17</f>
        <v>20</v>
      </c>
      <c r="E304" s="751">
        <f>C300</f>
        <v>12</v>
      </c>
      <c r="F304" s="585"/>
      <c r="G304" s="752">
        <f>D304*E304</f>
        <v>240</v>
      </c>
      <c r="H304" s="579"/>
    </row>
    <row r="305" spans="1:8">
      <c r="A305" s="764"/>
      <c r="B305" s="585" t="s">
        <v>1403</v>
      </c>
      <c r="C305" s="750" t="s">
        <v>1404</v>
      </c>
      <c r="D305" s="751">
        <f>'Unit costs'!D18</f>
        <v>60</v>
      </c>
      <c r="E305" s="751">
        <f>C300</f>
        <v>12</v>
      </c>
      <c r="F305" s="585">
        <f>C298</f>
        <v>3</v>
      </c>
      <c r="G305" s="752">
        <f>D305*E305*F305</f>
        <v>2160</v>
      </c>
      <c r="H305" s="579"/>
    </row>
    <row r="306" spans="1:8">
      <c r="A306" s="764"/>
      <c r="B306" s="585" t="s">
        <v>1405</v>
      </c>
      <c r="C306" s="750" t="s">
        <v>1406</v>
      </c>
      <c r="D306" s="751">
        <f>'Unit costs'!D19</f>
        <v>12</v>
      </c>
      <c r="E306" s="751">
        <f>C299+C301</f>
        <v>23</v>
      </c>
      <c r="F306" s="585">
        <f>C298</f>
        <v>3</v>
      </c>
      <c r="G306" s="752">
        <f>D306*E306*F306</f>
        <v>828</v>
      </c>
      <c r="H306" s="579"/>
    </row>
    <row r="307" spans="1:8">
      <c r="A307" s="764"/>
      <c r="B307" s="585" t="s">
        <v>1407</v>
      </c>
      <c r="C307" s="750" t="s">
        <v>1406</v>
      </c>
      <c r="D307" s="751">
        <f>'Unit costs'!D20</f>
        <v>80</v>
      </c>
      <c r="E307" s="751">
        <f>C301</f>
        <v>3</v>
      </c>
      <c r="F307" s="585">
        <f>C298</f>
        <v>3</v>
      </c>
      <c r="G307" s="752">
        <f>D307*E307*F307</f>
        <v>720</v>
      </c>
      <c r="H307" s="579"/>
    </row>
    <row r="308" spans="1:8">
      <c r="A308" s="764"/>
      <c r="B308" s="585" t="s">
        <v>1408</v>
      </c>
      <c r="C308" s="750" t="s">
        <v>1409</v>
      </c>
      <c r="D308" s="751">
        <f>'Unit costs'!D21</f>
        <v>8</v>
      </c>
      <c r="E308" s="751">
        <f>C299</f>
        <v>20</v>
      </c>
      <c r="F308" s="585"/>
      <c r="G308" s="752">
        <f>D308*E308</f>
        <v>160</v>
      </c>
      <c r="H308" s="579"/>
    </row>
    <row r="309" spans="1:8">
      <c r="A309" s="764"/>
      <c r="B309" s="585" t="s">
        <v>1410</v>
      </c>
      <c r="C309" s="750" t="s">
        <v>1397</v>
      </c>
      <c r="D309" s="751">
        <f>'Unit costs'!D22</f>
        <v>30</v>
      </c>
      <c r="E309" s="751">
        <v>1</v>
      </c>
      <c r="F309" s="585">
        <f>C298+1</f>
        <v>4</v>
      </c>
      <c r="G309" s="752">
        <f>D309*E309*F309</f>
        <v>120</v>
      </c>
      <c r="H309" s="579"/>
    </row>
    <row r="310" spans="1:8">
      <c r="A310" s="764"/>
      <c r="B310" s="585" t="s">
        <v>978</v>
      </c>
      <c r="C310" s="750" t="s">
        <v>1401</v>
      </c>
      <c r="D310" s="753">
        <f>'Unit costs'!D23</f>
        <v>0.05</v>
      </c>
      <c r="E310" s="585">
        <v>1</v>
      </c>
      <c r="F310" s="585"/>
      <c r="G310" s="754">
        <f>SUM(G304:G309)*D310</f>
        <v>211.4</v>
      </c>
      <c r="H310" s="579"/>
    </row>
    <row r="311" spans="1:8">
      <c r="A311" s="764"/>
      <c r="B311" s="771" t="s">
        <v>4</v>
      </c>
      <c r="C311" s="585"/>
      <c r="D311" s="585"/>
      <c r="E311" s="585"/>
      <c r="F311" s="585"/>
      <c r="G311" s="772">
        <f>ROUND(SUM(G304:G310),-2)</f>
        <v>4400</v>
      </c>
      <c r="H311" s="579"/>
    </row>
    <row r="312" spans="1:8">
      <c r="A312" s="764"/>
      <c r="B312" s="587"/>
      <c r="C312" s="587"/>
      <c r="D312" s="587"/>
      <c r="E312" s="587"/>
      <c r="F312" s="587"/>
      <c r="G312" s="773"/>
    </row>
    <row r="313" spans="1:8">
      <c r="A313" s="775" t="s">
        <v>1684</v>
      </c>
      <c r="B313" s="766" t="s">
        <v>1681</v>
      </c>
      <c r="C313" s="585"/>
      <c r="D313" s="585"/>
      <c r="E313" s="585"/>
      <c r="F313" s="585"/>
      <c r="G313" s="747"/>
    </row>
    <row r="314" spans="1:8">
      <c r="A314" s="764"/>
      <c r="B314" s="746"/>
      <c r="C314" s="585"/>
      <c r="D314" s="585"/>
      <c r="E314" s="585"/>
      <c r="F314" s="585"/>
      <c r="G314" s="747"/>
    </row>
    <row r="315" spans="1:8">
      <c r="A315" s="767"/>
      <c r="B315" s="768" t="s">
        <v>1433</v>
      </c>
      <c r="C315" s="769">
        <v>4</v>
      </c>
      <c r="D315" s="585"/>
      <c r="E315" s="585"/>
      <c r="F315" s="585"/>
      <c r="G315" s="747"/>
    </row>
    <row r="316" spans="1:8">
      <c r="A316" s="764"/>
      <c r="B316" s="768" t="s">
        <v>1434</v>
      </c>
      <c r="C316" s="769">
        <v>10</v>
      </c>
      <c r="D316" s="585"/>
      <c r="E316" s="585"/>
      <c r="F316" s="585"/>
      <c r="G316" s="747"/>
    </row>
    <row r="317" spans="1:8">
      <c r="A317" s="764"/>
      <c r="B317" s="768" t="s">
        <v>1440</v>
      </c>
      <c r="C317" s="769">
        <v>8</v>
      </c>
      <c r="D317" s="585"/>
      <c r="E317" s="585"/>
      <c r="F317" s="585"/>
      <c r="G317" s="747"/>
    </row>
    <row r="318" spans="1:8">
      <c r="A318" s="764"/>
      <c r="B318" s="768" t="s">
        <v>1435</v>
      </c>
      <c r="C318" s="769">
        <v>3</v>
      </c>
      <c r="D318" s="585"/>
      <c r="E318" s="585"/>
      <c r="F318" s="585"/>
      <c r="G318" s="747"/>
    </row>
    <row r="319" spans="1:8">
      <c r="A319" s="764"/>
      <c r="B319" s="746"/>
      <c r="C319" s="585"/>
      <c r="D319" s="585"/>
      <c r="E319" s="585"/>
      <c r="F319" s="585"/>
      <c r="G319" s="747"/>
    </row>
    <row r="320" spans="1:8" ht="45">
      <c r="A320" s="764"/>
      <c r="B320" s="748" t="s">
        <v>1384</v>
      </c>
      <c r="C320" s="748" t="s">
        <v>1385</v>
      </c>
      <c r="D320" s="748" t="s">
        <v>1430</v>
      </c>
      <c r="E320" s="748" t="s">
        <v>1429</v>
      </c>
      <c r="F320" s="748" t="s">
        <v>1436</v>
      </c>
      <c r="G320" s="749" t="s">
        <v>1431</v>
      </c>
    </row>
    <row r="321" spans="1:12">
      <c r="A321" s="764"/>
      <c r="B321" s="585" t="s">
        <v>1402</v>
      </c>
      <c r="C321" s="750" t="s">
        <v>1393</v>
      </c>
      <c r="D321" s="751">
        <f>'Unit costs'!D26</f>
        <v>10</v>
      </c>
      <c r="E321" s="751">
        <f>C317</f>
        <v>8</v>
      </c>
      <c r="F321" s="585"/>
      <c r="G321" s="752">
        <f>D321*E321</f>
        <v>80</v>
      </c>
    </row>
    <row r="322" spans="1:12">
      <c r="A322" s="764"/>
      <c r="B322" s="585" t="s">
        <v>1403</v>
      </c>
      <c r="C322" s="750" t="s">
        <v>1404</v>
      </c>
      <c r="D322" s="751">
        <f>'Unit costs'!D27</f>
        <v>60</v>
      </c>
      <c r="E322" s="751">
        <f>C317</f>
        <v>8</v>
      </c>
      <c r="F322" s="585">
        <f>C315</f>
        <v>4</v>
      </c>
      <c r="G322" s="752">
        <f>D322*E322*F322</f>
        <v>1920</v>
      </c>
    </row>
    <row r="323" spans="1:12">
      <c r="A323" s="764"/>
      <c r="B323" s="585" t="s">
        <v>1405</v>
      </c>
      <c r="C323" s="750" t="s">
        <v>1406</v>
      </c>
      <c r="D323" s="751">
        <f>'Unit costs'!D28</f>
        <v>10</v>
      </c>
      <c r="E323" s="751">
        <f>C316+C318</f>
        <v>13</v>
      </c>
      <c r="F323" s="585">
        <f>C315</f>
        <v>4</v>
      </c>
      <c r="G323" s="752">
        <f>D323*E323*F323</f>
        <v>520</v>
      </c>
    </row>
    <row r="324" spans="1:12">
      <c r="A324" s="764"/>
      <c r="B324" s="585" t="s">
        <v>1407</v>
      </c>
      <c r="C324" s="750" t="s">
        <v>1406</v>
      </c>
      <c r="D324" s="751">
        <f>'Unit costs'!D29</f>
        <v>80</v>
      </c>
      <c r="E324" s="751">
        <f>C318</f>
        <v>3</v>
      </c>
      <c r="F324" s="585">
        <f>C315</f>
        <v>4</v>
      </c>
      <c r="G324" s="752">
        <f>D324*E324*F324</f>
        <v>960</v>
      </c>
    </row>
    <row r="325" spans="1:12">
      <c r="A325" s="764"/>
      <c r="B325" s="585" t="s">
        <v>1408</v>
      </c>
      <c r="C325" s="750" t="s">
        <v>1409</v>
      </c>
      <c r="D325" s="751">
        <f>'Unit costs'!D30</f>
        <v>5</v>
      </c>
      <c r="E325" s="751">
        <f>C316</f>
        <v>10</v>
      </c>
      <c r="F325" s="585"/>
      <c r="G325" s="752">
        <f>D325*E325</f>
        <v>50</v>
      </c>
    </row>
    <row r="326" spans="1:12">
      <c r="A326" s="764"/>
      <c r="B326" s="585" t="s">
        <v>1410</v>
      </c>
      <c r="C326" s="750" t="s">
        <v>1397</v>
      </c>
      <c r="D326" s="751">
        <f>'Unit costs'!D31</f>
        <v>20</v>
      </c>
      <c r="E326" s="751">
        <v>1</v>
      </c>
      <c r="F326" s="585">
        <f>C315+1</f>
        <v>5</v>
      </c>
      <c r="G326" s="752">
        <f>D326*E326*F326</f>
        <v>100</v>
      </c>
    </row>
    <row r="327" spans="1:12">
      <c r="A327" s="764"/>
      <c r="B327" s="585" t="s">
        <v>978</v>
      </c>
      <c r="C327" s="750" t="s">
        <v>1401</v>
      </c>
      <c r="D327" s="753">
        <f>'Unit costs'!D32</f>
        <v>0.05</v>
      </c>
      <c r="E327" s="585">
        <v>1</v>
      </c>
      <c r="F327" s="585"/>
      <c r="G327" s="754">
        <f>SUM(G321:G326)*D327</f>
        <v>181.5</v>
      </c>
    </row>
    <row r="328" spans="1:12" ht="15.75" thickBot="1">
      <c r="A328" s="774"/>
      <c r="B328" s="756" t="s">
        <v>4</v>
      </c>
      <c r="C328" s="757"/>
      <c r="D328" s="757"/>
      <c r="E328" s="757"/>
      <c r="F328" s="757"/>
      <c r="G328" s="758">
        <f>ROUND(SUM(G321:G327),-2)</f>
        <v>3800</v>
      </c>
    </row>
    <row r="329" spans="1:12" ht="15.75" thickBot="1"/>
    <row r="330" spans="1:12">
      <c r="A330" s="762" t="str">
        <f>'NSP Summary Budget (16-18)'!A101</f>
        <v>3.1.6</v>
      </c>
      <c r="B330" s="763" t="str">
        <f>'NSP Summary Budget (16-18)'!B101</f>
        <v>TB management training of TB service staff: nurses</v>
      </c>
      <c r="C330" s="743"/>
      <c r="D330" s="743"/>
      <c r="E330" s="743"/>
      <c r="F330" s="743"/>
      <c r="G330" s="744"/>
      <c r="H330" s="579"/>
      <c r="I330" s="579"/>
      <c r="J330" s="579"/>
      <c r="K330" s="579"/>
      <c r="L330" s="579"/>
    </row>
    <row r="331" spans="1:12">
      <c r="A331" s="764"/>
      <c r="B331" s="746"/>
      <c r="C331" s="585"/>
      <c r="D331" s="585"/>
      <c r="E331" s="585"/>
      <c r="F331" s="585"/>
      <c r="G331" s="747"/>
      <c r="H331" s="579"/>
      <c r="I331" s="579"/>
      <c r="J331" s="579"/>
      <c r="K331" s="579"/>
      <c r="L331" s="579"/>
    </row>
    <row r="332" spans="1:12">
      <c r="A332" s="775"/>
      <c r="B332" s="766" t="s">
        <v>1681</v>
      </c>
      <c r="C332" s="585"/>
      <c r="D332" s="585"/>
      <c r="E332" s="585"/>
      <c r="F332" s="585"/>
      <c r="G332" s="747"/>
    </row>
    <row r="333" spans="1:12">
      <c r="A333" s="764"/>
      <c r="B333" s="746"/>
      <c r="C333" s="585"/>
      <c r="D333" s="585"/>
      <c r="E333" s="585"/>
      <c r="F333" s="585"/>
      <c r="G333" s="747"/>
    </row>
    <row r="334" spans="1:12">
      <c r="A334" s="767"/>
      <c r="B334" s="768" t="s">
        <v>1433</v>
      </c>
      <c r="C334" s="769">
        <v>3</v>
      </c>
      <c r="D334" s="585"/>
      <c r="E334" s="585"/>
      <c r="F334" s="585"/>
      <c r="G334" s="747"/>
    </row>
    <row r="335" spans="1:12">
      <c r="A335" s="764"/>
      <c r="B335" s="768" t="s">
        <v>1434</v>
      </c>
      <c r="C335" s="769">
        <v>12</v>
      </c>
      <c r="D335" s="585"/>
      <c r="E335" s="585"/>
      <c r="F335" s="585"/>
      <c r="G335" s="747"/>
    </row>
    <row r="336" spans="1:12">
      <c r="A336" s="764"/>
      <c r="B336" s="768" t="s">
        <v>1440</v>
      </c>
      <c r="C336" s="769">
        <v>10</v>
      </c>
      <c r="D336" s="585"/>
      <c r="E336" s="585"/>
      <c r="F336" s="585"/>
      <c r="G336" s="747"/>
    </row>
    <row r="337" spans="1:12">
      <c r="A337" s="764"/>
      <c r="B337" s="768" t="s">
        <v>1435</v>
      </c>
      <c r="C337" s="769">
        <v>1</v>
      </c>
      <c r="D337" s="585"/>
      <c r="E337" s="585"/>
      <c r="F337" s="585"/>
      <c r="G337" s="747"/>
    </row>
    <row r="338" spans="1:12">
      <c r="A338" s="764"/>
      <c r="B338" s="746"/>
      <c r="C338" s="585"/>
      <c r="D338" s="585"/>
      <c r="E338" s="585"/>
      <c r="F338" s="585"/>
      <c r="G338" s="747"/>
    </row>
    <row r="339" spans="1:12" ht="45">
      <c r="A339" s="764"/>
      <c r="B339" s="748" t="s">
        <v>1384</v>
      </c>
      <c r="C339" s="748" t="s">
        <v>1385</v>
      </c>
      <c r="D339" s="748" t="s">
        <v>1430</v>
      </c>
      <c r="E339" s="748" t="s">
        <v>1429</v>
      </c>
      <c r="F339" s="748" t="s">
        <v>1436</v>
      </c>
      <c r="G339" s="749" t="s">
        <v>1431</v>
      </c>
    </row>
    <row r="340" spans="1:12">
      <c r="A340" s="764"/>
      <c r="B340" s="585" t="s">
        <v>1402</v>
      </c>
      <c r="C340" s="750" t="s">
        <v>1393</v>
      </c>
      <c r="D340" s="751">
        <f>'Unit costs'!D26</f>
        <v>10</v>
      </c>
      <c r="E340" s="751">
        <f>C336</f>
        <v>10</v>
      </c>
      <c r="F340" s="585"/>
      <c r="G340" s="752">
        <f>D340*E340</f>
        <v>100</v>
      </c>
    </row>
    <row r="341" spans="1:12">
      <c r="A341" s="764"/>
      <c r="B341" s="585" t="s">
        <v>1403</v>
      </c>
      <c r="C341" s="750" t="s">
        <v>1404</v>
      </c>
      <c r="D341" s="751">
        <f>'Unit costs'!D27</f>
        <v>60</v>
      </c>
      <c r="E341" s="751">
        <f>C336</f>
        <v>10</v>
      </c>
      <c r="F341" s="585">
        <f>C334</f>
        <v>3</v>
      </c>
      <c r="G341" s="752">
        <f>D341*E341*F341</f>
        <v>1800</v>
      </c>
    </row>
    <row r="342" spans="1:12">
      <c r="A342" s="764"/>
      <c r="B342" s="585" t="s">
        <v>1405</v>
      </c>
      <c r="C342" s="750" t="s">
        <v>1406</v>
      </c>
      <c r="D342" s="751">
        <f>'Unit costs'!D28</f>
        <v>10</v>
      </c>
      <c r="E342" s="751">
        <f>C335+C337</f>
        <v>13</v>
      </c>
      <c r="F342" s="585">
        <f>C334</f>
        <v>3</v>
      </c>
      <c r="G342" s="752">
        <f>D342*E342*F342</f>
        <v>390</v>
      </c>
    </row>
    <row r="343" spans="1:12">
      <c r="A343" s="764"/>
      <c r="B343" s="585" t="s">
        <v>1407</v>
      </c>
      <c r="C343" s="750" t="s">
        <v>1406</v>
      </c>
      <c r="D343" s="751">
        <f>'Unit costs'!D29</f>
        <v>80</v>
      </c>
      <c r="E343" s="751">
        <f>C337</f>
        <v>1</v>
      </c>
      <c r="F343" s="585">
        <f>C334</f>
        <v>3</v>
      </c>
      <c r="G343" s="752">
        <f>D343*E343*F343</f>
        <v>240</v>
      </c>
    </row>
    <row r="344" spans="1:12">
      <c r="A344" s="764"/>
      <c r="B344" s="585" t="s">
        <v>1408</v>
      </c>
      <c r="C344" s="750" t="s">
        <v>1409</v>
      </c>
      <c r="D344" s="751">
        <f>'Unit costs'!D30</f>
        <v>5</v>
      </c>
      <c r="E344" s="751">
        <f>C335</f>
        <v>12</v>
      </c>
      <c r="F344" s="585"/>
      <c r="G344" s="752">
        <f>D344*E344</f>
        <v>60</v>
      </c>
    </row>
    <row r="345" spans="1:12">
      <c r="A345" s="764"/>
      <c r="B345" s="585" t="s">
        <v>1410</v>
      </c>
      <c r="C345" s="750" t="s">
        <v>1397</v>
      </c>
      <c r="D345" s="751">
        <f>'Unit costs'!D31</f>
        <v>20</v>
      </c>
      <c r="E345" s="751">
        <v>1</v>
      </c>
      <c r="F345" s="585">
        <f>C334+1</f>
        <v>4</v>
      </c>
      <c r="G345" s="752">
        <f>D345*E345*F345</f>
        <v>80</v>
      </c>
    </row>
    <row r="346" spans="1:12">
      <c r="A346" s="764"/>
      <c r="B346" s="585" t="s">
        <v>978</v>
      </c>
      <c r="C346" s="750" t="s">
        <v>1401</v>
      </c>
      <c r="D346" s="753">
        <f>'Unit costs'!D32</f>
        <v>0.05</v>
      </c>
      <c r="E346" s="585">
        <v>1</v>
      </c>
      <c r="F346" s="585"/>
      <c r="G346" s="754">
        <f>SUM(G340:G345)*D346</f>
        <v>133.5</v>
      </c>
    </row>
    <row r="347" spans="1:12" ht="15.75" thickBot="1">
      <c r="A347" s="774"/>
      <c r="B347" s="756" t="s">
        <v>4</v>
      </c>
      <c r="C347" s="757"/>
      <c r="D347" s="757"/>
      <c r="E347" s="757"/>
      <c r="F347" s="757"/>
      <c r="G347" s="758">
        <f>ROUND(SUM(G340:G346),-2)</f>
        <v>2800</v>
      </c>
    </row>
    <row r="348" spans="1:12" ht="15.75" thickBot="1"/>
    <row r="349" spans="1:12">
      <c r="A349" s="762" t="str">
        <f>'NSP Summary Budget (16-18)'!A102</f>
        <v>3.1.7</v>
      </c>
      <c r="B349" s="763" t="str">
        <f>'NSP Summary Budget (16-18)'!B102</f>
        <v>Training of PHC providers in TB control</v>
      </c>
      <c r="C349" s="743"/>
      <c r="D349" s="743"/>
      <c r="E349" s="743"/>
      <c r="F349" s="743"/>
      <c r="G349" s="744"/>
      <c r="H349" s="579"/>
      <c r="I349" s="579"/>
      <c r="J349" s="579"/>
      <c r="K349" s="579"/>
      <c r="L349" s="579"/>
    </row>
    <row r="350" spans="1:12">
      <c r="A350" s="764"/>
      <c r="B350" s="746"/>
      <c r="C350" s="585"/>
      <c r="D350" s="585"/>
      <c r="E350" s="585"/>
      <c r="F350" s="585"/>
      <c r="G350" s="747"/>
      <c r="H350" s="579"/>
      <c r="I350" s="579"/>
      <c r="J350" s="579"/>
      <c r="K350" s="579"/>
      <c r="L350" s="579"/>
    </row>
    <row r="351" spans="1:12">
      <c r="A351" s="775" t="s">
        <v>1683</v>
      </c>
      <c r="B351" s="766" t="s">
        <v>1682</v>
      </c>
      <c r="C351" s="585"/>
      <c r="D351" s="585"/>
      <c r="E351" s="585"/>
      <c r="F351" s="585"/>
      <c r="G351" s="747"/>
    </row>
    <row r="352" spans="1:12">
      <c r="A352" s="764"/>
      <c r="B352" s="746"/>
      <c r="C352" s="585"/>
      <c r="D352" s="585"/>
      <c r="E352" s="585"/>
      <c r="F352" s="585"/>
      <c r="G352" s="747"/>
    </row>
    <row r="353" spans="1:12">
      <c r="A353" s="767"/>
      <c r="B353" s="768" t="s">
        <v>1433</v>
      </c>
      <c r="C353" s="769">
        <v>2</v>
      </c>
      <c r="D353" s="585"/>
      <c r="E353" s="585"/>
      <c r="F353" s="585"/>
      <c r="G353" s="747"/>
      <c r="H353" s="579"/>
      <c r="I353" s="579"/>
      <c r="J353" s="579"/>
      <c r="K353" s="579"/>
      <c r="L353" s="579"/>
    </row>
    <row r="354" spans="1:12">
      <c r="A354" s="764"/>
      <c r="B354" s="768" t="s">
        <v>1434</v>
      </c>
      <c r="C354" s="769">
        <v>20</v>
      </c>
      <c r="D354" s="585"/>
      <c r="E354" s="585"/>
      <c r="F354" s="585"/>
      <c r="G354" s="747"/>
      <c r="H354" s="579"/>
      <c r="I354" s="579"/>
      <c r="J354" s="579"/>
      <c r="K354" s="579"/>
      <c r="L354" s="579"/>
    </row>
    <row r="355" spans="1:12">
      <c r="A355" s="764"/>
      <c r="B355" s="768" t="s">
        <v>1437</v>
      </c>
      <c r="C355" s="769">
        <v>12</v>
      </c>
      <c r="D355" s="585"/>
      <c r="E355" s="585"/>
      <c r="F355" s="585"/>
      <c r="G355" s="747"/>
      <c r="H355" s="579"/>
      <c r="I355" s="579"/>
      <c r="J355" s="579"/>
      <c r="K355" s="579"/>
      <c r="L355" s="579"/>
    </row>
    <row r="356" spans="1:12">
      <c r="A356" s="764"/>
      <c r="B356" s="768" t="s">
        <v>1435</v>
      </c>
      <c r="C356" s="769">
        <v>2</v>
      </c>
      <c r="D356" s="585"/>
      <c r="E356" s="585"/>
      <c r="F356" s="585"/>
      <c r="G356" s="747"/>
      <c r="H356" s="579"/>
      <c r="I356" s="579"/>
      <c r="J356" s="579"/>
      <c r="K356" s="579"/>
      <c r="L356" s="579"/>
    </row>
    <row r="357" spans="1:12">
      <c r="A357" s="764"/>
      <c r="B357" s="746"/>
      <c r="C357" s="585"/>
      <c r="D357" s="585"/>
      <c r="E357" s="585"/>
      <c r="F357" s="585"/>
      <c r="G357" s="747"/>
      <c r="H357" s="579"/>
      <c r="I357" s="579"/>
      <c r="J357" s="579"/>
      <c r="K357" s="579"/>
      <c r="L357" s="579"/>
    </row>
    <row r="358" spans="1:12" ht="45">
      <c r="A358" s="764"/>
      <c r="B358" s="748" t="s">
        <v>1384</v>
      </c>
      <c r="C358" s="748" t="s">
        <v>1385</v>
      </c>
      <c r="D358" s="748" t="s">
        <v>1430</v>
      </c>
      <c r="E358" s="748" t="s">
        <v>1429</v>
      </c>
      <c r="F358" s="748" t="s">
        <v>1436</v>
      </c>
      <c r="G358" s="749" t="s">
        <v>1431</v>
      </c>
      <c r="H358" s="579"/>
    </row>
    <row r="359" spans="1:12">
      <c r="A359" s="764"/>
      <c r="B359" s="585" t="s">
        <v>1402</v>
      </c>
      <c r="C359" s="750" t="s">
        <v>1393</v>
      </c>
      <c r="D359" s="751">
        <f>'Unit costs'!D17</f>
        <v>20</v>
      </c>
      <c r="E359" s="751">
        <f>C355</f>
        <v>12</v>
      </c>
      <c r="F359" s="585"/>
      <c r="G359" s="752">
        <f>D359*E359</f>
        <v>240</v>
      </c>
      <c r="H359" s="579"/>
    </row>
    <row r="360" spans="1:12">
      <c r="A360" s="764"/>
      <c r="B360" s="585" t="s">
        <v>1403</v>
      </c>
      <c r="C360" s="750" t="s">
        <v>1404</v>
      </c>
      <c r="D360" s="751">
        <f>'Unit costs'!D18</f>
        <v>60</v>
      </c>
      <c r="E360" s="751">
        <f>C355</f>
        <v>12</v>
      </c>
      <c r="F360" s="585">
        <f>C353</f>
        <v>2</v>
      </c>
      <c r="G360" s="752">
        <f>D360*E360*F360</f>
        <v>1440</v>
      </c>
      <c r="H360" s="579"/>
    </row>
    <row r="361" spans="1:12">
      <c r="A361" s="764"/>
      <c r="B361" s="585" t="s">
        <v>1405</v>
      </c>
      <c r="C361" s="750" t="s">
        <v>1406</v>
      </c>
      <c r="D361" s="751">
        <f>'Unit costs'!D19</f>
        <v>12</v>
      </c>
      <c r="E361" s="751">
        <f>C354+C356</f>
        <v>22</v>
      </c>
      <c r="F361" s="585">
        <f>C353</f>
        <v>2</v>
      </c>
      <c r="G361" s="752">
        <f>D361*E361*F361</f>
        <v>528</v>
      </c>
      <c r="H361" s="579"/>
    </row>
    <row r="362" spans="1:12">
      <c r="A362" s="764"/>
      <c r="B362" s="585" t="s">
        <v>1407</v>
      </c>
      <c r="C362" s="750" t="s">
        <v>1406</v>
      </c>
      <c r="D362" s="751">
        <f>'Unit costs'!D20</f>
        <v>80</v>
      </c>
      <c r="E362" s="751">
        <f>C356</f>
        <v>2</v>
      </c>
      <c r="F362" s="585">
        <f>C353</f>
        <v>2</v>
      </c>
      <c r="G362" s="752">
        <f>D362*E362*F362</f>
        <v>320</v>
      </c>
      <c r="H362" s="579"/>
    </row>
    <row r="363" spans="1:12">
      <c r="A363" s="764"/>
      <c r="B363" s="585" t="s">
        <v>1408</v>
      </c>
      <c r="C363" s="750" t="s">
        <v>1409</v>
      </c>
      <c r="D363" s="751">
        <f>'Unit costs'!D21</f>
        <v>8</v>
      </c>
      <c r="E363" s="751">
        <f>C354</f>
        <v>20</v>
      </c>
      <c r="F363" s="585"/>
      <c r="G363" s="752">
        <f>D363*E363</f>
        <v>160</v>
      </c>
      <c r="H363" s="579"/>
    </row>
    <row r="364" spans="1:12">
      <c r="A364" s="764"/>
      <c r="B364" s="585" t="s">
        <v>1410</v>
      </c>
      <c r="C364" s="750" t="s">
        <v>1397</v>
      </c>
      <c r="D364" s="751">
        <f>'Unit costs'!D22</f>
        <v>30</v>
      </c>
      <c r="E364" s="751">
        <v>1</v>
      </c>
      <c r="F364" s="585">
        <f>C353+1</f>
        <v>3</v>
      </c>
      <c r="G364" s="752">
        <f>D364*E364*F364</f>
        <v>90</v>
      </c>
      <c r="H364" s="579"/>
    </row>
    <row r="365" spans="1:12">
      <c r="A365" s="764"/>
      <c r="B365" s="585" t="s">
        <v>978</v>
      </c>
      <c r="C365" s="750" t="s">
        <v>1401</v>
      </c>
      <c r="D365" s="753">
        <f>'Unit costs'!D23</f>
        <v>0.05</v>
      </c>
      <c r="E365" s="585">
        <v>1</v>
      </c>
      <c r="F365" s="585"/>
      <c r="G365" s="754">
        <f>SUM(G359:G364)*D365</f>
        <v>138.9</v>
      </c>
      <c r="H365" s="579"/>
    </row>
    <row r="366" spans="1:12">
      <c r="A366" s="764"/>
      <c r="B366" s="771" t="s">
        <v>4</v>
      </c>
      <c r="C366" s="585"/>
      <c r="D366" s="585"/>
      <c r="E366" s="585"/>
      <c r="F366" s="585"/>
      <c r="G366" s="772">
        <f>ROUND(SUM(G359:G365),-2)</f>
        <v>2900</v>
      </c>
      <c r="H366" s="579"/>
    </row>
    <row r="367" spans="1:12">
      <c r="A367" s="764"/>
      <c r="B367" s="587"/>
      <c r="C367" s="587"/>
      <c r="D367" s="587"/>
      <c r="E367" s="587"/>
      <c r="F367" s="587"/>
      <c r="G367" s="773"/>
    </row>
    <row r="368" spans="1:12">
      <c r="A368" s="775" t="s">
        <v>1684</v>
      </c>
      <c r="B368" s="766" t="s">
        <v>1681</v>
      </c>
      <c r="C368" s="585"/>
      <c r="D368" s="585"/>
      <c r="E368" s="585"/>
      <c r="F368" s="585"/>
      <c r="G368" s="747"/>
    </row>
    <row r="369" spans="1:10">
      <c r="A369" s="764"/>
      <c r="B369" s="746"/>
      <c r="C369" s="585"/>
      <c r="D369" s="585"/>
      <c r="E369" s="585"/>
      <c r="F369" s="585"/>
      <c r="G369" s="747"/>
    </row>
    <row r="370" spans="1:10">
      <c r="A370" s="767"/>
      <c r="B370" s="768" t="s">
        <v>1433</v>
      </c>
      <c r="C370" s="769">
        <v>2</v>
      </c>
      <c r="D370" s="585"/>
      <c r="E370" s="585"/>
      <c r="F370" s="585"/>
      <c r="G370" s="747"/>
    </row>
    <row r="371" spans="1:10">
      <c r="A371" s="764"/>
      <c r="B371" s="768" t="s">
        <v>1434</v>
      </c>
      <c r="C371" s="769">
        <v>20</v>
      </c>
      <c r="D371" s="585"/>
      <c r="E371" s="585"/>
      <c r="F371" s="585"/>
      <c r="G371" s="747"/>
    </row>
    <row r="372" spans="1:10">
      <c r="A372" s="764"/>
      <c r="B372" s="768" t="s">
        <v>1440</v>
      </c>
      <c r="C372" s="769">
        <v>15</v>
      </c>
      <c r="D372" s="585"/>
      <c r="E372" s="585"/>
      <c r="F372" s="585"/>
      <c r="G372" s="747"/>
    </row>
    <row r="373" spans="1:10">
      <c r="A373" s="764"/>
      <c r="B373" s="768" t="s">
        <v>1435</v>
      </c>
      <c r="C373" s="769">
        <v>2</v>
      </c>
      <c r="D373" s="585"/>
      <c r="E373" s="585"/>
      <c r="F373" s="585"/>
      <c r="G373" s="747"/>
    </row>
    <row r="374" spans="1:10">
      <c r="A374" s="764"/>
      <c r="B374" s="746"/>
      <c r="C374" s="585"/>
      <c r="D374" s="585"/>
      <c r="E374" s="585"/>
      <c r="F374" s="585"/>
      <c r="G374" s="747"/>
    </row>
    <row r="375" spans="1:10" ht="45">
      <c r="A375" s="764"/>
      <c r="B375" s="748" t="s">
        <v>1384</v>
      </c>
      <c r="C375" s="748" t="s">
        <v>1385</v>
      </c>
      <c r="D375" s="748" t="s">
        <v>1430</v>
      </c>
      <c r="E375" s="748" t="s">
        <v>1429</v>
      </c>
      <c r="F375" s="748" t="s">
        <v>1436</v>
      </c>
      <c r="G375" s="749" t="s">
        <v>1431</v>
      </c>
    </row>
    <row r="376" spans="1:10">
      <c r="A376" s="764"/>
      <c r="B376" s="585" t="s">
        <v>1402</v>
      </c>
      <c r="C376" s="750" t="s">
        <v>1393</v>
      </c>
      <c r="D376" s="751">
        <f>'Unit costs'!D26</f>
        <v>10</v>
      </c>
      <c r="E376" s="751">
        <f>C372</f>
        <v>15</v>
      </c>
      <c r="F376" s="585"/>
      <c r="G376" s="752">
        <f>D376*E376</f>
        <v>150</v>
      </c>
    </row>
    <row r="377" spans="1:10">
      <c r="A377" s="764"/>
      <c r="B377" s="585" t="s">
        <v>1403</v>
      </c>
      <c r="C377" s="750" t="s">
        <v>1404</v>
      </c>
      <c r="D377" s="751">
        <f>'Unit costs'!D27</f>
        <v>60</v>
      </c>
      <c r="E377" s="751">
        <f>C372</f>
        <v>15</v>
      </c>
      <c r="F377" s="585">
        <f>C370</f>
        <v>2</v>
      </c>
      <c r="G377" s="752">
        <f>D377*E377*F377</f>
        <v>1800</v>
      </c>
    </row>
    <row r="378" spans="1:10">
      <c r="A378" s="764"/>
      <c r="B378" s="585" t="s">
        <v>1405</v>
      </c>
      <c r="C378" s="750" t="s">
        <v>1406</v>
      </c>
      <c r="D378" s="751">
        <f>'Unit costs'!D28</f>
        <v>10</v>
      </c>
      <c r="E378" s="751">
        <f>C371+C373</f>
        <v>22</v>
      </c>
      <c r="F378" s="585">
        <f>C370</f>
        <v>2</v>
      </c>
      <c r="G378" s="752">
        <f>D378*E378*F378</f>
        <v>440</v>
      </c>
    </row>
    <row r="379" spans="1:10">
      <c r="A379" s="764"/>
      <c r="B379" s="585" t="s">
        <v>1407</v>
      </c>
      <c r="C379" s="750" t="s">
        <v>1406</v>
      </c>
      <c r="D379" s="751">
        <f>'Unit costs'!D29</f>
        <v>80</v>
      </c>
      <c r="E379" s="751">
        <f>C373</f>
        <v>2</v>
      </c>
      <c r="F379" s="585">
        <f>C370</f>
        <v>2</v>
      </c>
      <c r="G379" s="752">
        <f>D379*E379*F379</f>
        <v>320</v>
      </c>
    </row>
    <row r="380" spans="1:10">
      <c r="A380" s="764"/>
      <c r="B380" s="585" t="s">
        <v>1408</v>
      </c>
      <c r="C380" s="750" t="s">
        <v>1409</v>
      </c>
      <c r="D380" s="751">
        <f>'Unit costs'!D30</f>
        <v>5</v>
      </c>
      <c r="E380" s="751">
        <f>C371</f>
        <v>20</v>
      </c>
      <c r="F380" s="585"/>
      <c r="G380" s="752">
        <f>D380*E380</f>
        <v>100</v>
      </c>
    </row>
    <row r="381" spans="1:10">
      <c r="A381" s="764"/>
      <c r="B381" s="585" t="s">
        <v>1410</v>
      </c>
      <c r="C381" s="750" t="s">
        <v>1397</v>
      </c>
      <c r="D381" s="751">
        <f>'Unit costs'!D31</f>
        <v>20</v>
      </c>
      <c r="E381" s="751">
        <v>1</v>
      </c>
      <c r="F381" s="585">
        <f>C370+1</f>
        <v>3</v>
      </c>
      <c r="G381" s="752">
        <f>D381*E381*F381</f>
        <v>60</v>
      </c>
    </row>
    <row r="382" spans="1:10">
      <c r="A382" s="764"/>
      <c r="B382" s="585" t="s">
        <v>978</v>
      </c>
      <c r="C382" s="750" t="s">
        <v>1401</v>
      </c>
      <c r="D382" s="753">
        <f>'Unit costs'!D32</f>
        <v>0.05</v>
      </c>
      <c r="E382" s="585">
        <v>1</v>
      </c>
      <c r="F382" s="585"/>
      <c r="G382" s="754">
        <f>SUM(G376:G381)*D382</f>
        <v>143.5</v>
      </c>
    </row>
    <row r="383" spans="1:10" ht="15.75" thickBot="1">
      <c r="A383" s="774"/>
      <c r="B383" s="756" t="s">
        <v>4</v>
      </c>
      <c r="C383" s="757"/>
      <c r="D383" s="757"/>
      <c r="E383" s="757"/>
      <c r="F383" s="757"/>
      <c r="G383" s="758">
        <f>ROUND(SUM(G376:G382),-2)</f>
        <v>3000</v>
      </c>
    </row>
    <row r="384" spans="1:10" ht="15.75" thickBot="1">
      <c r="B384" s="583"/>
      <c r="C384" s="579"/>
      <c r="D384" s="579"/>
      <c r="E384" s="579"/>
      <c r="F384" s="579"/>
      <c r="G384" s="579"/>
      <c r="H384" s="579"/>
      <c r="I384" s="579"/>
      <c r="J384" s="579"/>
    </row>
    <row r="385" spans="1:12">
      <c r="A385" s="762" t="str">
        <f>'NSP Summary Budget (16-18)'!A120</f>
        <v>3.3.4</v>
      </c>
      <c r="B385" s="763" t="str">
        <f>'NSP Summary Budget (16-18)'!B120</f>
        <v>National NGO workshops on TB control, civil society involvement and community response</v>
      </c>
      <c r="C385" s="743"/>
      <c r="D385" s="743"/>
      <c r="E385" s="743"/>
      <c r="F385" s="743"/>
      <c r="G385" s="744"/>
      <c r="H385" s="579"/>
      <c r="I385" s="579"/>
      <c r="J385" s="579"/>
      <c r="K385" s="579"/>
      <c r="L385" s="579"/>
    </row>
    <row r="386" spans="1:12">
      <c r="A386" s="764"/>
      <c r="B386" s="746"/>
      <c r="C386" s="585"/>
      <c r="D386" s="585"/>
      <c r="E386" s="585"/>
      <c r="F386" s="585"/>
      <c r="G386" s="747"/>
      <c r="H386" s="579"/>
      <c r="I386" s="579"/>
      <c r="J386" s="579"/>
      <c r="K386" s="579"/>
      <c r="L386" s="579"/>
    </row>
    <row r="387" spans="1:12">
      <c r="A387" s="775"/>
      <c r="B387" s="766" t="s">
        <v>1682</v>
      </c>
      <c r="C387" s="585"/>
      <c r="D387" s="585"/>
      <c r="E387" s="585"/>
      <c r="F387" s="585"/>
      <c r="G387" s="747"/>
    </row>
    <row r="388" spans="1:12">
      <c r="A388" s="764"/>
      <c r="B388" s="746"/>
      <c r="C388" s="585"/>
      <c r="D388" s="585"/>
      <c r="E388" s="585"/>
      <c r="F388" s="585"/>
      <c r="G388" s="747"/>
    </row>
    <row r="389" spans="1:12">
      <c r="A389" s="767"/>
      <c r="B389" s="768" t="s">
        <v>1433</v>
      </c>
      <c r="C389" s="769">
        <v>2</v>
      </c>
      <c r="D389" s="585"/>
      <c r="E389" s="585"/>
      <c r="F389" s="585"/>
      <c r="G389" s="747"/>
      <c r="H389" s="579"/>
      <c r="I389" s="579"/>
      <c r="J389" s="579"/>
      <c r="K389" s="579"/>
      <c r="L389" s="579"/>
    </row>
    <row r="390" spans="1:12">
      <c r="A390" s="764"/>
      <c r="B390" s="768" t="s">
        <v>1434</v>
      </c>
      <c r="C390" s="769">
        <v>50</v>
      </c>
      <c r="D390" s="585"/>
      <c r="E390" s="585"/>
      <c r="F390" s="585"/>
      <c r="G390" s="747"/>
      <c r="H390" s="579"/>
      <c r="I390" s="579"/>
      <c r="J390" s="579"/>
      <c r="K390" s="579"/>
      <c r="L390" s="579"/>
    </row>
    <row r="391" spans="1:12">
      <c r="A391" s="764"/>
      <c r="B391" s="768" t="s">
        <v>1437</v>
      </c>
      <c r="C391" s="769">
        <v>30</v>
      </c>
      <c r="D391" s="585"/>
      <c r="E391" s="585"/>
      <c r="F391" s="585"/>
      <c r="G391" s="747"/>
      <c r="H391" s="579"/>
      <c r="I391" s="579"/>
      <c r="J391" s="579"/>
      <c r="K391" s="579"/>
      <c r="L391" s="579"/>
    </row>
    <row r="392" spans="1:12">
      <c r="A392" s="764"/>
      <c r="B392" s="768" t="s">
        <v>1435</v>
      </c>
      <c r="C392" s="769">
        <v>4</v>
      </c>
      <c r="D392" s="585"/>
      <c r="E392" s="585"/>
      <c r="F392" s="585"/>
      <c r="G392" s="747"/>
      <c r="H392" s="579"/>
      <c r="I392" s="579"/>
      <c r="J392" s="579"/>
      <c r="K392" s="579"/>
      <c r="L392" s="579"/>
    </row>
    <row r="393" spans="1:12">
      <c r="A393" s="764"/>
      <c r="B393" s="746"/>
      <c r="C393" s="585"/>
      <c r="D393" s="585"/>
      <c r="E393" s="585"/>
      <c r="F393" s="585"/>
      <c r="G393" s="747"/>
      <c r="H393" s="579"/>
      <c r="I393" s="579"/>
      <c r="J393" s="579"/>
      <c r="K393" s="579"/>
      <c r="L393" s="579"/>
    </row>
    <row r="394" spans="1:12" ht="45">
      <c r="A394" s="764"/>
      <c r="B394" s="748" t="s">
        <v>1384</v>
      </c>
      <c r="C394" s="748" t="s">
        <v>1385</v>
      </c>
      <c r="D394" s="748" t="s">
        <v>1430</v>
      </c>
      <c r="E394" s="748" t="s">
        <v>1429</v>
      </c>
      <c r="F394" s="748" t="s">
        <v>1436</v>
      </c>
      <c r="G394" s="749" t="s">
        <v>1431</v>
      </c>
      <c r="H394" s="579"/>
    </row>
    <row r="395" spans="1:12">
      <c r="A395" s="764"/>
      <c r="B395" s="585" t="s">
        <v>1402</v>
      </c>
      <c r="C395" s="750" t="s">
        <v>1393</v>
      </c>
      <c r="D395" s="751">
        <f>'Unit costs'!D17</f>
        <v>20</v>
      </c>
      <c r="E395" s="751">
        <f>C391</f>
        <v>30</v>
      </c>
      <c r="F395" s="585"/>
      <c r="G395" s="752">
        <f>D395*E395</f>
        <v>600</v>
      </c>
      <c r="H395" s="579"/>
    </row>
    <row r="396" spans="1:12">
      <c r="A396" s="764"/>
      <c r="B396" s="585" t="s">
        <v>1403</v>
      </c>
      <c r="C396" s="750" t="s">
        <v>1404</v>
      </c>
      <c r="D396" s="751">
        <f>'Unit costs'!D18</f>
        <v>60</v>
      </c>
      <c r="E396" s="751">
        <f>C391</f>
        <v>30</v>
      </c>
      <c r="F396" s="585">
        <f>C389</f>
        <v>2</v>
      </c>
      <c r="G396" s="752">
        <f>D396*E396*F396</f>
        <v>3600</v>
      </c>
      <c r="H396" s="579"/>
    </row>
    <row r="397" spans="1:12">
      <c r="A397" s="764"/>
      <c r="B397" s="585" t="s">
        <v>1405</v>
      </c>
      <c r="C397" s="750" t="s">
        <v>1406</v>
      </c>
      <c r="D397" s="751">
        <f>'Unit costs'!D19</f>
        <v>12</v>
      </c>
      <c r="E397" s="751">
        <f>C390+C392</f>
        <v>54</v>
      </c>
      <c r="F397" s="585">
        <f>C389</f>
        <v>2</v>
      </c>
      <c r="G397" s="752">
        <f>D397*E397*F397</f>
        <v>1296</v>
      </c>
      <c r="H397" s="579"/>
    </row>
    <row r="398" spans="1:12">
      <c r="A398" s="764"/>
      <c r="B398" s="585" t="s">
        <v>1407</v>
      </c>
      <c r="C398" s="750" t="s">
        <v>1406</v>
      </c>
      <c r="D398" s="751">
        <f>'Unit costs'!D20</f>
        <v>80</v>
      </c>
      <c r="E398" s="751">
        <f>C392</f>
        <v>4</v>
      </c>
      <c r="F398" s="585">
        <f>C389</f>
        <v>2</v>
      </c>
      <c r="G398" s="752">
        <f>D398*E398*F398</f>
        <v>640</v>
      </c>
      <c r="H398" s="579"/>
    </row>
    <row r="399" spans="1:12">
      <c r="A399" s="764"/>
      <c r="B399" s="585" t="s">
        <v>1408</v>
      </c>
      <c r="C399" s="750" t="s">
        <v>1409</v>
      </c>
      <c r="D399" s="751">
        <f>'Unit costs'!D21</f>
        <v>8</v>
      </c>
      <c r="E399" s="751">
        <f>C390</f>
        <v>50</v>
      </c>
      <c r="F399" s="585"/>
      <c r="G399" s="752">
        <f>D399*E399</f>
        <v>400</v>
      </c>
      <c r="H399" s="579"/>
    </row>
    <row r="400" spans="1:12">
      <c r="A400" s="764"/>
      <c r="B400" s="585" t="s">
        <v>1410</v>
      </c>
      <c r="C400" s="750" t="s">
        <v>1397</v>
      </c>
      <c r="D400" s="751">
        <f>'Unit costs'!D22</f>
        <v>30</v>
      </c>
      <c r="E400" s="751">
        <v>1</v>
      </c>
      <c r="F400" s="585">
        <f>C389+1</f>
        <v>3</v>
      </c>
      <c r="G400" s="752">
        <f>D400*E400*F400</f>
        <v>90</v>
      </c>
      <c r="H400" s="579"/>
    </row>
    <row r="401" spans="1:12">
      <c r="A401" s="764"/>
      <c r="B401" s="585" t="s">
        <v>978</v>
      </c>
      <c r="C401" s="750" t="s">
        <v>1401</v>
      </c>
      <c r="D401" s="753">
        <f>'Unit costs'!D23</f>
        <v>0.05</v>
      </c>
      <c r="E401" s="585">
        <v>1</v>
      </c>
      <c r="F401" s="585"/>
      <c r="G401" s="754">
        <f>SUM(G395:G400)*D401</f>
        <v>331.3</v>
      </c>
      <c r="H401" s="579"/>
    </row>
    <row r="402" spans="1:12" ht="15.75" thickBot="1">
      <c r="A402" s="774"/>
      <c r="B402" s="756" t="s">
        <v>4</v>
      </c>
      <c r="C402" s="757"/>
      <c r="D402" s="757"/>
      <c r="E402" s="757"/>
      <c r="F402" s="757"/>
      <c r="G402" s="758">
        <f>ROUND(SUM(G395:G401),-2)</f>
        <v>7000</v>
      </c>
      <c r="H402" s="579"/>
    </row>
    <row r="403" spans="1:12" ht="15.75" thickBot="1">
      <c r="B403" s="583"/>
      <c r="C403" s="579"/>
      <c r="D403" s="579"/>
      <c r="E403" s="579"/>
      <c r="F403" s="579"/>
      <c r="G403" s="579"/>
      <c r="H403" s="579"/>
      <c r="I403" s="579"/>
      <c r="J403" s="579"/>
    </row>
    <row r="404" spans="1:12">
      <c r="A404" s="762" t="str">
        <f>'NSP Summary Budget (16-18)'!A123</f>
        <v>3.3.7</v>
      </c>
      <c r="B404" s="763" t="str">
        <f>'NSP Summary Budget (16-18)'!B123</f>
        <v>Training and briefings for mass-media on TB</v>
      </c>
      <c r="C404" s="743"/>
      <c r="D404" s="743"/>
      <c r="E404" s="743"/>
      <c r="F404" s="743"/>
      <c r="G404" s="744"/>
      <c r="H404" s="579"/>
      <c r="I404" s="579"/>
      <c r="J404" s="579"/>
      <c r="K404" s="579"/>
      <c r="L404" s="579"/>
    </row>
    <row r="405" spans="1:12">
      <c r="A405" s="764"/>
      <c r="B405" s="746"/>
      <c r="C405" s="585"/>
      <c r="D405" s="585"/>
      <c r="E405" s="585"/>
      <c r="F405" s="585"/>
      <c r="G405" s="747"/>
      <c r="H405" s="579"/>
      <c r="I405" s="579"/>
      <c r="J405" s="579"/>
      <c r="K405" s="579"/>
      <c r="L405" s="579"/>
    </row>
    <row r="406" spans="1:12">
      <c r="A406" s="775" t="s">
        <v>1683</v>
      </c>
      <c r="B406" s="766" t="s">
        <v>1682</v>
      </c>
      <c r="C406" s="585"/>
      <c r="D406" s="585"/>
      <c r="E406" s="585"/>
      <c r="F406" s="585"/>
      <c r="G406" s="747"/>
    </row>
    <row r="407" spans="1:12">
      <c r="A407" s="764"/>
      <c r="B407" s="746"/>
      <c r="C407" s="585"/>
      <c r="D407" s="585"/>
      <c r="E407" s="585"/>
      <c r="F407" s="585"/>
      <c r="G407" s="747"/>
    </row>
    <row r="408" spans="1:12">
      <c r="A408" s="767"/>
      <c r="B408" s="768" t="s">
        <v>1433</v>
      </c>
      <c r="C408" s="769">
        <v>2</v>
      </c>
      <c r="D408" s="585"/>
      <c r="E408" s="585"/>
      <c r="F408" s="585"/>
      <c r="G408" s="747"/>
      <c r="H408" s="579"/>
      <c r="I408" s="579"/>
      <c r="J408" s="579"/>
      <c r="K408" s="579"/>
      <c r="L408" s="579"/>
    </row>
    <row r="409" spans="1:12">
      <c r="A409" s="764"/>
      <c r="B409" s="768" t="s">
        <v>1434</v>
      </c>
      <c r="C409" s="769">
        <v>30</v>
      </c>
      <c r="D409" s="585"/>
      <c r="E409" s="585"/>
      <c r="F409" s="585"/>
      <c r="G409" s="747"/>
      <c r="H409" s="579"/>
      <c r="I409" s="579"/>
      <c r="J409" s="579"/>
      <c r="K409" s="579"/>
      <c r="L409" s="579"/>
    </row>
    <row r="410" spans="1:12">
      <c r="A410" s="764"/>
      <c r="B410" s="768" t="s">
        <v>1437</v>
      </c>
      <c r="C410" s="769">
        <v>15</v>
      </c>
      <c r="D410" s="585"/>
      <c r="E410" s="585"/>
      <c r="F410" s="585"/>
      <c r="G410" s="747"/>
      <c r="H410" s="579"/>
      <c r="I410" s="579"/>
      <c r="J410" s="579"/>
      <c r="K410" s="579"/>
      <c r="L410" s="579"/>
    </row>
    <row r="411" spans="1:12">
      <c r="A411" s="764"/>
      <c r="B411" s="768" t="s">
        <v>1435</v>
      </c>
      <c r="C411" s="769">
        <v>4</v>
      </c>
      <c r="D411" s="585"/>
      <c r="E411" s="585"/>
      <c r="F411" s="585"/>
      <c r="G411" s="747"/>
      <c r="H411" s="579"/>
      <c r="I411" s="579"/>
      <c r="J411" s="579"/>
      <c r="K411" s="579"/>
      <c r="L411" s="579"/>
    </row>
    <row r="412" spans="1:12">
      <c r="A412" s="764"/>
      <c r="B412" s="746"/>
      <c r="C412" s="585"/>
      <c r="D412" s="585"/>
      <c r="E412" s="585"/>
      <c r="F412" s="585"/>
      <c r="G412" s="747"/>
      <c r="H412" s="579"/>
      <c r="I412" s="579"/>
      <c r="J412" s="579"/>
      <c r="K412" s="579"/>
      <c r="L412" s="579"/>
    </row>
    <row r="413" spans="1:12" ht="45">
      <c r="A413" s="764"/>
      <c r="B413" s="748" t="s">
        <v>1384</v>
      </c>
      <c r="C413" s="748" t="s">
        <v>1385</v>
      </c>
      <c r="D413" s="748" t="s">
        <v>1430</v>
      </c>
      <c r="E413" s="748" t="s">
        <v>1429</v>
      </c>
      <c r="F413" s="748" t="s">
        <v>1436</v>
      </c>
      <c r="G413" s="749" t="s">
        <v>1431</v>
      </c>
      <c r="H413" s="579"/>
    </row>
    <row r="414" spans="1:12">
      <c r="A414" s="764"/>
      <c r="B414" s="585" t="s">
        <v>1402</v>
      </c>
      <c r="C414" s="750" t="s">
        <v>1393</v>
      </c>
      <c r="D414" s="751">
        <f>'Unit costs'!D17</f>
        <v>20</v>
      </c>
      <c r="E414" s="751">
        <f>C410</f>
        <v>15</v>
      </c>
      <c r="F414" s="585"/>
      <c r="G414" s="752">
        <f>D414*E414</f>
        <v>300</v>
      </c>
      <c r="H414" s="579"/>
    </row>
    <row r="415" spans="1:12">
      <c r="A415" s="764"/>
      <c r="B415" s="585" t="s">
        <v>1403</v>
      </c>
      <c r="C415" s="750" t="s">
        <v>1404</v>
      </c>
      <c r="D415" s="751">
        <f>'Unit costs'!D18</f>
        <v>60</v>
      </c>
      <c r="E415" s="751">
        <f>C410</f>
        <v>15</v>
      </c>
      <c r="F415" s="585">
        <f>C408</f>
        <v>2</v>
      </c>
      <c r="G415" s="752">
        <f>D415*E415*F415</f>
        <v>1800</v>
      </c>
      <c r="H415" s="579"/>
    </row>
    <row r="416" spans="1:12">
      <c r="A416" s="764"/>
      <c r="B416" s="585" t="s">
        <v>1405</v>
      </c>
      <c r="C416" s="750" t="s">
        <v>1406</v>
      </c>
      <c r="D416" s="751">
        <f>'Unit costs'!D19</f>
        <v>12</v>
      </c>
      <c r="E416" s="751">
        <f>C409+C411</f>
        <v>34</v>
      </c>
      <c r="F416" s="585">
        <f>C408</f>
        <v>2</v>
      </c>
      <c r="G416" s="752">
        <f>D416*E416*F416</f>
        <v>816</v>
      </c>
      <c r="H416" s="579"/>
    </row>
    <row r="417" spans="1:8">
      <c r="A417" s="764"/>
      <c r="B417" s="585" t="s">
        <v>1407</v>
      </c>
      <c r="C417" s="750" t="s">
        <v>1406</v>
      </c>
      <c r="D417" s="751">
        <f>'Unit costs'!D20</f>
        <v>80</v>
      </c>
      <c r="E417" s="751">
        <f>C411</f>
        <v>4</v>
      </c>
      <c r="F417" s="585">
        <f>C408</f>
        <v>2</v>
      </c>
      <c r="G417" s="752">
        <f>D417*E417*F417</f>
        <v>640</v>
      </c>
      <c r="H417" s="579"/>
    </row>
    <row r="418" spans="1:8">
      <c r="A418" s="764"/>
      <c r="B418" s="585" t="s">
        <v>1408</v>
      </c>
      <c r="C418" s="750" t="s">
        <v>1409</v>
      </c>
      <c r="D418" s="751">
        <f>'Unit costs'!D21</f>
        <v>8</v>
      </c>
      <c r="E418" s="751">
        <f>C409</f>
        <v>30</v>
      </c>
      <c r="F418" s="585"/>
      <c r="G418" s="752">
        <f>D418*E418</f>
        <v>240</v>
      </c>
      <c r="H418" s="579"/>
    </row>
    <row r="419" spans="1:8">
      <c r="A419" s="764"/>
      <c r="B419" s="585" t="s">
        <v>1410</v>
      </c>
      <c r="C419" s="750" t="s">
        <v>1397</v>
      </c>
      <c r="D419" s="751">
        <f>'Unit costs'!D22</f>
        <v>30</v>
      </c>
      <c r="E419" s="751">
        <v>1</v>
      </c>
      <c r="F419" s="585">
        <f>C408+1</f>
        <v>3</v>
      </c>
      <c r="G419" s="752">
        <f>D419*E419*F419</f>
        <v>90</v>
      </c>
      <c r="H419" s="579"/>
    </row>
    <row r="420" spans="1:8">
      <c r="A420" s="764"/>
      <c r="B420" s="585" t="s">
        <v>978</v>
      </c>
      <c r="C420" s="750" t="s">
        <v>1401</v>
      </c>
      <c r="D420" s="753">
        <f>'Unit costs'!D23</f>
        <v>0.05</v>
      </c>
      <c r="E420" s="585">
        <v>1</v>
      </c>
      <c r="F420" s="585"/>
      <c r="G420" s="754">
        <f>SUM(G414:G419)*D420</f>
        <v>194.3</v>
      </c>
      <c r="H420" s="579"/>
    </row>
    <row r="421" spans="1:8">
      <c r="A421" s="764"/>
      <c r="B421" s="771" t="s">
        <v>4</v>
      </c>
      <c r="C421" s="585"/>
      <c r="D421" s="585"/>
      <c r="E421" s="585"/>
      <c r="F421" s="585"/>
      <c r="G421" s="772">
        <f>ROUND(SUM(G414:G420),-2)</f>
        <v>4100</v>
      </c>
      <c r="H421" s="579"/>
    </row>
    <row r="422" spans="1:8">
      <c r="A422" s="764"/>
      <c r="B422" s="587"/>
      <c r="C422" s="587"/>
      <c r="D422" s="587"/>
      <c r="E422" s="587"/>
      <c r="F422" s="587"/>
      <c r="G422" s="773"/>
    </row>
    <row r="423" spans="1:8">
      <c r="A423" s="775" t="s">
        <v>1684</v>
      </c>
      <c r="B423" s="766" t="s">
        <v>1681</v>
      </c>
      <c r="C423" s="585"/>
      <c r="D423" s="585"/>
      <c r="E423" s="585"/>
      <c r="F423" s="585"/>
      <c r="G423" s="747"/>
    </row>
    <row r="424" spans="1:8">
      <c r="A424" s="764"/>
      <c r="B424" s="746"/>
      <c r="C424" s="585"/>
      <c r="D424" s="585"/>
      <c r="E424" s="585"/>
      <c r="F424" s="585"/>
      <c r="G424" s="747"/>
    </row>
    <row r="425" spans="1:8">
      <c r="A425" s="767"/>
      <c r="B425" s="768" t="s">
        <v>1433</v>
      </c>
      <c r="C425" s="769">
        <v>1</v>
      </c>
      <c r="D425" s="585"/>
      <c r="E425" s="585"/>
      <c r="F425" s="585"/>
      <c r="G425" s="747"/>
    </row>
    <row r="426" spans="1:8">
      <c r="A426" s="764"/>
      <c r="B426" s="768" t="s">
        <v>1434</v>
      </c>
      <c r="C426" s="769">
        <v>15</v>
      </c>
      <c r="D426" s="585"/>
      <c r="E426" s="585"/>
      <c r="F426" s="585"/>
      <c r="G426" s="747"/>
    </row>
    <row r="427" spans="1:8">
      <c r="A427" s="764"/>
      <c r="B427" s="768" t="s">
        <v>1440</v>
      </c>
      <c r="C427" s="769">
        <v>10</v>
      </c>
      <c r="D427" s="585"/>
      <c r="E427" s="585"/>
      <c r="F427" s="585"/>
      <c r="G427" s="747"/>
    </row>
    <row r="428" spans="1:8">
      <c r="A428" s="764"/>
      <c r="B428" s="768" t="s">
        <v>1435</v>
      </c>
      <c r="C428" s="769">
        <v>2</v>
      </c>
      <c r="D428" s="585"/>
      <c r="E428" s="585"/>
      <c r="F428" s="585"/>
      <c r="G428" s="747"/>
    </row>
    <row r="429" spans="1:8">
      <c r="A429" s="764"/>
      <c r="B429" s="746"/>
      <c r="C429" s="585"/>
      <c r="D429" s="585"/>
      <c r="E429" s="585"/>
      <c r="F429" s="585"/>
      <c r="G429" s="747"/>
    </row>
    <row r="430" spans="1:8" ht="45">
      <c r="A430" s="764"/>
      <c r="B430" s="748" t="s">
        <v>1384</v>
      </c>
      <c r="C430" s="748" t="s">
        <v>1385</v>
      </c>
      <c r="D430" s="748" t="s">
        <v>1430</v>
      </c>
      <c r="E430" s="748" t="s">
        <v>1429</v>
      </c>
      <c r="F430" s="748" t="s">
        <v>1436</v>
      </c>
      <c r="G430" s="749" t="s">
        <v>1431</v>
      </c>
    </row>
    <row r="431" spans="1:8">
      <c r="A431" s="764"/>
      <c r="B431" s="585" t="s">
        <v>1402</v>
      </c>
      <c r="C431" s="750" t="s">
        <v>1393</v>
      </c>
      <c r="D431" s="751">
        <f>'Unit costs'!D26</f>
        <v>10</v>
      </c>
      <c r="E431" s="751">
        <f>C427</f>
        <v>10</v>
      </c>
      <c r="F431" s="585"/>
      <c r="G431" s="752">
        <f>D431*E431</f>
        <v>100</v>
      </c>
    </row>
    <row r="432" spans="1:8">
      <c r="A432" s="764"/>
      <c r="B432" s="585" t="s">
        <v>1403</v>
      </c>
      <c r="C432" s="750" t="s">
        <v>1404</v>
      </c>
      <c r="D432" s="751">
        <f>'Unit costs'!D27</f>
        <v>60</v>
      </c>
      <c r="E432" s="751">
        <f>C427</f>
        <v>10</v>
      </c>
      <c r="F432" s="585">
        <f>C425</f>
        <v>1</v>
      </c>
      <c r="G432" s="752">
        <f>D432*E432*F432</f>
        <v>600</v>
      </c>
    </row>
    <row r="433" spans="1:12">
      <c r="A433" s="764"/>
      <c r="B433" s="585" t="s">
        <v>1405</v>
      </c>
      <c r="C433" s="750" t="s">
        <v>1406</v>
      </c>
      <c r="D433" s="751">
        <f>'Unit costs'!D28</f>
        <v>10</v>
      </c>
      <c r="E433" s="751">
        <f>C426+C428</f>
        <v>17</v>
      </c>
      <c r="F433" s="585">
        <f>C425</f>
        <v>1</v>
      </c>
      <c r="G433" s="752">
        <f>D433*E433*F433</f>
        <v>170</v>
      </c>
    </row>
    <row r="434" spans="1:12">
      <c r="A434" s="764"/>
      <c r="B434" s="585" t="s">
        <v>1407</v>
      </c>
      <c r="C434" s="750" t="s">
        <v>1406</v>
      </c>
      <c r="D434" s="751">
        <f>'Unit costs'!D29</f>
        <v>80</v>
      </c>
      <c r="E434" s="751">
        <f>C428</f>
        <v>2</v>
      </c>
      <c r="F434" s="585">
        <f>C425</f>
        <v>1</v>
      </c>
      <c r="G434" s="752">
        <f>D434*E434*F434</f>
        <v>160</v>
      </c>
    </row>
    <row r="435" spans="1:12">
      <c r="A435" s="764"/>
      <c r="B435" s="585" t="s">
        <v>1408</v>
      </c>
      <c r="C435" s="750" t="s">
        <v>1409</v>
      </c>
      <c r="D435" s="751">
        <f>'Unit costs'!D30</f>
        <v>5</v>
      </c>
      <c r="E435" s="751">
        <f>C426</f>
        <v>15</v>
      </c>
      <c r="F435" s="585"/>
      <c r="G435" s="752">
        <f>D435*E435</f>
        <v>75</v>
      </c>
    </row>
    <row r="436" spans="1:12">
      <c r="A436" s="764"/>
      <c r="B436" s="585" t="s">
        <v>1410</v>
      </c>
      <c r="C436" s="750" t="s">
        <v>1397</v>
      </c>
      <c r="D436" s="751">
        <f>'Unit costs'!D31</f>
        <v>20</v>
      </c>
      <c r="E436" s="751">
        <v>1</v>
      </c>
      <c r="F436" s="585">
        <f>C425+1</f>
        <v>2</v>
      </c>
      <c r="G436" s="752">
        <f>D436*E436*F436</f>
        <v>40</v>
      </c>
    </row>
    <row r="437" spans="1:12">
      <c r="A437" s="764"/>
      <c r="B437" s="585" t="s">
        <v>978</v>
      </c>
      <c r="C437" s="750" t="s">
        <v>1401</v>
      </c>
      <c r="D437" s="753">
        <f>'Unit costs'!D32</f>
        <v>0.05</v>
      </c>
      <c r="E437" s="585">
        <v>1</v>
      </c>
      <c r="F437" s="585"/>
      <c r="G437" s="754">
        <f>SUM(G431:G436)*D437</f>
        <v>57.25</v>
      </c>
    </row>
    <row r="438" spans="1:12" ht="15.75" thickBot="1">
      <c r="A438" s="774"/>
      <c r="B438" s="756" t="s">
        <v>4</v>
      </c>
      <c r="C438" s="757"/>
      <c r="D438" s="757"/>
      <c r="E438" s="757"/>
      <c r="F438" s="757"/>
      <c r="G438" s="758">
        <f>ROUND(SUM(G431:G437),-2)</f>
        <v>1200</v>
      </c>
    </row>
    <row r="439" spans="1:12" ht="15.75" thickBot="1">
      <c r="B439" s="583"/>
      <c r="C439" s="579"/>
      <c r="D439" s="579"/>
      <c r="E439" s="579"/>
      <c r="F439" s="579"/>
      <c r="G439" s="579"/>
      <c r="H439" s="579"/>
      <c r="I439" s="579"/>
      <c r="J439" s="579"/>
    </row>
    <row r="440" spans="1:12">
      <c r="A440" s="762" t="str">
        <f>'NSP Summary Budget (16-18)'!A104</f>
        <v>3.1.9</v>
      </c>
      <c r="B440" s="763" t="str">
        <f>'NSP Summary Budget (16-18)'!B104</f>
        <v xml:space="preserve">Training in TB legal and ethical issues </v>
      </c>
      <c r="C440" s="743"/>
      <c r="D440" s="743"/>
      <c r="E440" s="743"/>
      <c r="F440" s="743"/>
      <c r="G440" s="744"/>
      <c r="H440" s="579"/>
      <c r="I440" s="579"/>
      <c r="J440" s="579"/>
      <c r="K440" s="579"/>
      <c r="L440" s="579"/>
    </row>
    <row r="441" spans="1:12">
      <c r="A441" s="764"/>
      <c r="B441" s="746"/>
      <c r="C441" s="585"/>
      <c r="D441" s="585"/>
      <c r="E441" s="585"/>
      <c r="F441" s="585"/>
      <c r="G441" s="747"/>
      <c r="H441" s="579"/>
      <c r="I441" s="579"/>
      <c r="J441" s="579"/>
      <c r="K441" s="579"/>
      <c r="L441" s="579"/>
    </row>
    <row r="442" spans="1:12">
      <c r="A442" s="775"/>
      <c r="B442" s="766" t="s">
        <v>1682</v>
      </c>
      <c r="C442" s="585"/>
      <c r="D442" s="585"/>
      <c r="E442" s="585"/>
      <c r="F442" s="585"/>
      <c r="G442" s="747"/>
    </row>
    <row r="443" spans="1:12">
      <c r="A443" s="764"/>
      <c r="B443" s="746"/>
      <c r="C443" s="585"/>
      <c r="D443" s="585"/>
      <c r="E443" s="585"/>
      <c r="F443" s="585"/>
      <c r="G443" s="747"/>
    </row>
    <row r="444" spans="1:12">
      <c r="A444" s="767"/>
      <c r="B444" s="768" t="s">
        <v>1433</v>
      </c>
      <c r="C444" s="769">
        <v>2</v>
      </c>
      <c r="D444" s="585"/>
      <c r="E444" s="585"/>
      <c r="F444" s="585"/>
      <c r="G444" s="747"/>
      <c r="H444" s="579"/>
      <c r="I444" s="579"/>
      <c r="J444" s="579"/>
      <c r="K444" s="579"/>
      <c r="L444" s="579"/>
    </row>
    <row r="445" spans="1:12">
      <c r="A445" s="764"/>
      <c r="B445" s="768" t="s">
        <v>1434</v>
      </c>
      <c r="C445" s="769">
        <v>20</v>
      </c>
      <c r="D445" s="585"/>
      <c r="E445" s="585"/>
      <c r="F445" s="585"/>
      <c r="G445" s="747"/>
      <c r="H445" s="579"/>
      <c r="I445" s="579"/>
      <c r="J445" s="579"/>
      <c r="K445" s="579"/>
      <c r="L445" s="579"/>
    </row>
    <row r="446" spans="1:12">
      <c r="A446" s="764"/>
      <c r="B446" s="768" t="s">
        <v>1437</v>
      </c>
      <c r="C446" s="769">
        <v>10</v>
      </c>
      <c r="D446" s="585"/>
      <c r="E446" s="585"/>
      <c r="F446" s="585"/>
      <c r="G446" s="747"/>
      <c r="H446" s="579"/>
      <c r="I446" s="579"/>
      <c r="J446" s="579"/>
      <c r="K446" s="579"/>
      <c r="L446" s="579"/>
    </row>
    <row r="447" spans="1:12">
      <c r="A447" s="764"/>
      <c r="B447" s="768" t="s">
        <v>1435</v>
      </c>
      <c r="C447" s="769">
        <v>3</v>
      </c>
      <c r="D447" s="585"/>
      <c r="E447" s="585"/>
      <c r="F447" s="585"/>
      <c r="G447" s="747"/>
      <c r="H447" s="579"/>
      <c r="I447" s="579"/>
      <c r="J447" s="579"/>
      <c r="K447" s="579"/>
      <c r="L447" s="579"/>
    </row>
    <row r="448" spans="1:12">
      <c r="A448" s="764"/>
      <c r="B448" s="746"/>
      <c r="C448" s="585"/>
      <c r="D448" s="585"/>
      <c r="E448" s="585"/>
      <c r="F448" s="585"/>
      <c r="G448" s="747"/>
      <c r="H448" s="579"/>
      <c r="I448" s="579"/>
      <c r="J448" s="579"/>
      <c r="K448" s="579"/>
      <c r="L448" s="579"/>
    </row>
    <row r="449" spans="1:10" ht="45">
      <c r="A449" s="764"/>
      <c r="B449" s="748" t="s">
        <v>1384</v>
      </c>
      <c r="C449" s="748" t="s">
        <v>1385</v>
      </c>
      <c r="D449" s="748" t="s">
        <v>1430</v>
      </c>
      <c r="E449" s="748" t="s">
        <v>1429</v>
      </c>
      <c r="F449" s="748" t="s">
        <v>1436</v>
      </c>
      <c r="G449" s="749" t="s">
        <v>1431</v>
      </c>
      <c r="H449" s="579"/>
    </row>
    <row r="450" spans="1:10">
      <c r="A450" s="764"/>
      <c r="B450" s="585" t="s">
        <v>1402</v>
      </c>
      <c r="C450" s="750" t="s">
        <v>1393</v>
      </c>
      <c r="D450" s="751">
        <f>'Unit costs'!D17</f>
        <v>20</v>
      </c>
      <c r="E450" s="751">
        <f>C446</f>
        <v>10</v>
      </c>
      <c r="F450" s="585"/>
      <c r="G450" s="752">
        <f>D450*E450</f>
        <v>200</v>
      </c>
      <c r="H450" s="579"/>
    </row>
    <row r="451" spans="1:10">
      <c r="A451" s="764"/>
      <c r="B451" s="585" t="s">
        <v>1403</v>
      </c>
      <c r="C451" s="750" t="s">
        <v>1404</v>
      </c>
      <c r="D451" s="751">
        <f>'Unit costs'!D18</f>
        <v>60</v>
      </c>
      <c r="E451" s="751">
        <f>C446</f>
        <v>10</v>
      </c>
      <c r="F451" s="585">
        <f>C444</f>
        <v>2</v>
      </c>
      <c r="G451" s="752">
        <f>D451*E451*F451</f>
        <v>1200</v>
      </c>
      <c r="H451" s="579"/>
    </row>
    <row r="452" spans="1:10">
      <c r="A452" s="764"/>
      <c r="B452" s="585" t="s">
        <v>1405</v>
      </c>
      <c r="C452" s="750" t="s">
        <v>1406</v>
      </c>
      <c r="D452" s="751">
        <f>'Unit costs'!D19</f>
        <v>12</v>
      </c>
      <c r="E452" s="751">
        <f>C445+C447</f>
        <v>23</v>
      </c>
      <c r="F452" s="585">
        <f>C444</f>
        <v>2</v>
      </c>
      <c r="G452" s="752">
        <f>D452*E452*F452</f>
        <v>552</v>
      </c>
      <c r="H452" s="579"/>
    </row>
    <row r="453" spans="1:10">
      <c r="A453" s="764"/>
      <c r="B453" s="585" t="s">
        <v>1407</v>
      </c>
      <c r="C453" s="750" t="s">
        <v>1406</v>
      </c>
      <c r="D453" s="751">
        <f>'Unit costs'!D20</f>
        <v>80</v>
      </c>
      <c r="E453" s="751">
        <f>C447</f>
        <v>3</v>
      </c>
      <c r="F453" s="585">
        <f>C444</f>
        <v>2</v>
      </c>
      <c r="G453" s="752">
        <f>D453*E453*F453</f>
        <v>480</v>
      </c>
      <c r="H453" s="579"/>
    </row>
    <row r="454" spans="1:10">
      <c r="A454" s="764"/>
      <c r="B454" s="585" t="s">
        <v>1408</v>
      </c>
      <c r="C454" s="750" t="s">
        <v>1409</v>
      </c>
      <c r="D454" s="751">
        <f>'Unit costs'!D21</f>
        <v>8</v>
      </c>
      <c r="E454" s="751">
        <f>C445</f>
        <v>20</v>
      </c>
      <c r="F454" s="585"/>
      <c r="G454" s="752">
        <f>D454*E454</f>
        <v>160</v>
      </c>
      <c r="H454" s="579"/>
    </row>
    <row r="455" spans="1:10">
      <c r="A455" s="764"/>
      <c r="B455" s="585" t="s">
        <v>1410</v>
      </c>
      <c r="C455" s="750" t="s">
        <v>1397</v>
      </c>
      <c r="D455" s="751">
        <f>'Unit costs'!D22</f>
        <v>30</v>
      </c>
      <c r="E455" s="751">
        <v>1</v>
      </c>
      <c r="F455" s="585">
        <f>C444+1</f>
        <v>3</v>
      </c>
      <c r="G455" s="752">
        <f>D455*E455*F455</f>
        <v>90</v>
      </c>
      <c r="H455" s="579"/>
    </row>
    <row r="456" spans="1:10">
      <c r="A456" s="764"/>
      <c r="B456" s="585" t="s">
        <v>978</v>
      </c>
      <c r="C456" s="750" t="s">
        <v>1401</v>
      </c>
      <c r="D456" s="753">
        <f>'Unit costs'!D23</f>
        <v>0.05</v>
      </c>
      <c r="E456" s="585">
        <v>1</v>
      </c>
      <c r="F456" s="585"/>
      <c r="G456" s="754">
        <f>SUM(G450:G455)*D456</f>
        <v>134.1</v>
      </c>
      <c r="H456" s="579"/>
    </row>
    <row r="457" spans="1:10" ht="15.75" thickBot="1">
      <c r="A457" s="774"/>
      <c r="B457" s="756" t="s">
        <v>4</v>
      </c>
      <c r="C457" s="757"/>
      <c r="D457" s="757"/>
      <c r="E457" s="757"/>
      <c r="F457" s="757"/>
      <c r="G457" s="758">
        <f>ROUND(SUM(G450:G456),-2)</f>
        <v>2800</v>
      </c>
      <c r="H457" s="579"/>
    </row>
    <row r="458" spans="1:10">
      <c r="B458" s="583"/>
      <c r="C458" s="579"/>
      <c r="D458" s="579"/>
      <c r="E458" s="579"/>
      <c r="F458" s="579"/>
      <c r="G458" s="579"/>
      <c r="H458" s="579"/>
      <c r="I458" s="579"/>
      <c r="J458" s="579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B2:AF204"/>
  <sheetViews>
    <sheetView zoomScale="80" zoomScaleNormal="80" workbookViewId="0">
      <selection activeCell="P39" sqref="P39"/>
    </sheetView>
  </sheetViews>
  <sheetFormatPr defaultColWidth="8.85546875" defaultRowHeight="12.75"/>
  <cols>
    <col min="1" max="1" width="3.85546875" style="65" customWidth="1"/>
    <col min="2" max="2" width="20.5703125" style="65" customWidth="1"/>
    <col min="3" max="17" width="8.85546875" style="65"/>
    <col min="18" max="18" width="20.5703125" style="65" customWidth="1"/>
    <col min="19" max="16384" width="8.85546875" style="65"/>
  </cols>
  <sheetData>
    <row r="2" spans="2:30">
      <c r="B2" s="148" t="s">
        <v>1744</v>
      </c>
    </row>
    <row r="3" spans="2:30">
      <c r="N3" s="95"/>
      <c r="O3" s="95"/>
      <c r="P3" s="95"/>
    </row>
    <row r="4" spans="2:30">
      <c r="B4" s="804" t="s">
        <v>872</v>
      </c>
      <c r="D4" s="808" t="s">
        <v>1743</v>
      </c>
      <c r="F4" s="135" t="s">
        <v>1742</v>
      </c>
      <c r="R4" s="804" t="str">
        <f>B4</f>
        <v>ALL CASES</v>
      </c>
      <c r="T4" s="808" t="str">
        <f>D4</f>
        <v>Old classification</v>
      </c>
      <c r="V4" s="135" t="s">
        <v>18</v>
      </c>
    </row>
    <row r="5" spans="2:30" ht="13.5" thickBot="1"/>
    <row r="6" spans="2:30">
      <c r="B6" s="798" t="s">
        <v>32</v>
      </c>
      <c r="C6" s="799">
        <v>2002</v>
      </c>
      <c r="D6" s="799">
        <v>2003</v>
      </c>
      <c r="E6" s="799">
        <v>2004</v>
      </c>
      <c r="F6" s="799">
        <v>2005</v>
      </c>
      <c r="G6" s="799">
        <v>2006</v>
      </c>
      <c r="H6" s="799">
        <v>2007</v>
      </c>
      <c r="I6" s="799">
        <v>2008</v>
      </c>
      <c r="J6" s="799">
        <v>2009</v>
      </c>
      <c r="K6" s="799">
        <v>2010</v>
      </c>
      <c r="L6" s="799">
        <v>2011</v>
      </c>
      <c r="M6" s="799">
        <v>2012</v>
      </c>
      <c r="N6" s="811">
        <v>2013</v>
      </c>
      <c r="O6" s="1200">
        <v>2014</v>
      </c>
      <c r="P6" s="1200">
        <v>2015</v>
      </c>
      <c r="R6" s="798" t="s">
        <v>32</v>
      </c>
      <c r="S6" s="799">
        <v>2002</v>
      </c>
      <c r="T6" s="799">
        <v>2003</v>
      </c>
      <c r="U6" s="799">
        <v>2004</v>
      </c>
      <c r="V6" s="799">
        <v>2005</v>
      </c>
      <c r="W6" s="799">
        <v>2006</v>
      </c>
      <c r="X6" s="799">
        <v>2007</v>
      </c>
      <c r="Y6" s="799">
        <v>2008</v>
      </c>
      <c r="Z6" s="799">
        <v>2009</v>
      </c>
      <c r="AA6" s="799">
        <v>2010</v>
      </c>
      <c r="AB6" s="799">
        <v>2011</v>
      </c>
      <c r="AC6" s="799">
        <v>2012</v>
      </c>
      <c r="AD6" s="811">
        <v>2013</v>
      </c>
    </row>
    <row r="7" spans="2:30">
      <c r="B7" s="801" t="s">
        <v>1734</v>
      </c>
      <c r="C7" s="304">
        <v>3530</v>
      </c>
      <c r="D7" s="304">
        <v>3532</v>
      </c>
      <c r="E7" s="304">
        <v>3662</v>
      </c>
      <c r="F7" s="304">
        <v>4466</v>
      </c>
      <c r="G7" s="304">
        <v>4596</v>
      </c>
      <c r="H7" s="304">
        <v>4284</v>
      </c>
      <c r="I7" s="304">
        <v>4059</v>
      </c>
      <c r="J7" s="304">
        <v>4426</v>
      </c>
      <c r="K7" s="304">
        <v>4364</v>
      </c>
      <c r="L7" s="304">
        <v>4225</v>
      </c>
      <c r="M7" s="304">
        <v>3758</v>
      </c>
      <c r="N7" s="812">
        <v>3006</v>
      </c>
      <c r="O7" s="1201"/>
      <c r="P7" s="1201"/>
      <c r="Q7" s="95"/>
      <c r="R7" s="801" t="s">
        <v>1734</v>
      </c>
      <c r="S7" s="805">
        <f>C7/C$14%</f>
        <v>64.100236063192298</v>
      </c>
      <c r="T7" s="805">
        <f t="shared" ref="T7:T11" si="0">D7/D$14%</f>
        <v>66.465939028980046</v>
      </c>
      <c r="U7" s="805">
        <f t="shared" ref="U7:U13" si="1">E7/E$14%</f>
        <v>62.480805323323665</v>
      </c>
      <c r="V7" s="805">
        <f t="shared" ref="V7:V13" si="2">F7/F$14%</f>
        <v>69.466480012443611</v>
      </c>
      <c r="W7" s="805">
        <f t="shared" ref="W7:W13" si="3">G7/G$14%</f>
        <v>72.825225796228807</v>
      </c>
      <c r="X7" s="805">
        <f t="shared" ref="X7:X13" si="4">H7/H$14%</f>
        <v>72.47504652343089</v>
      </c>
      <c r="Y7" s="805">
        <f t="shared" ref="Y7:Y13" si="5">I7/I$14%</f>
        <v>69.551062371487319</v>
      </c>
      <c r="Z7" s="805">
        <f t="shared" ref="Z7:Z13" si="6">J7/J$14%</f>
        <v>74.149773831462554</v>
      </c>
      <c r="AA7" s="805">
        <f t="shared" ref="AA7:AA13" si="7">K7/K$14%</f>
        <v>75.0989502667355</v>
      </c>
      <c r="AB7" s="805">
        <f t="shared" ref="AB7:AB13" si="8">L7/L$14%</f>
        <v>76.016552716804611</v>
      </c>
      <c r="AC7" s="805">
        <f t="shared" ref="AC7:AD13" si="9">M7/M$14%</f>
        <v>75.340817963111462</v>
      </c>
      <c r="AD7" s="814">
        <f t="shared" si="9"/>
        <v>77.554179566563477</v>
      </c>
    </row>
    <row r="8" spans="2:30">
      <c r="B8" s="801" t="s">
        <v>1866</v>
      </c>
      <c r="C8" s="304">
        <v>1160</v>
      </c>
      <c r="D8" s="304">
        <v>1085</v>
      </c>
      <c r="E8" s="304">
        <v>956</v>
      </c>
      <c r="F8" s="304">
        <v>1043</v>
      </c>
      <c r="G8" s="304">
        <v>742</v>
      </c>
      <c r="H8" s="304">
        <v>629</v>
      </c>
      <c r="I8" s="304">
        <v>593</v>
      </c>
      <c r="J8" s="304">
        <v>565</v>
      </c>
      <c r="K8" s="304">
        <v>491</v>
      </c>
      <c r="L8" s="304">
        <v>353</v>
      </c>
      <c r="M8" s="304">
        <v>337</v>
      </c>
      <c r="N8" s="812">
        <v>414</v>
      </c>
      <c r="O8" s="1201"/>
      <c r="P8" s="1201"/>
      <c r="Q8" s="95"/>
      <c r="R8" s="801" t="s">
        <v>1866</v>
      </c>
      <c r="S8" s="805">
        <f t="shared" ref="S8:S11" si="10">C8/C$14%</f>
        <v>21.064100236063194</v>
      </c>
      <c r="T8" s="805">
        <f t="shared" si="0"/>
        <v>20.417764395935265</v>
      </c>
      <c r="U8" s="805">
        <f t="shared" si="1"/>
        <v>16.311209691178981</v>
      </c>
      <c r="V8" s="805">
        <f t="shared" si="2"/>
        <v>16.223362886918647</v>
      </c>
      <c r="W8" s="805">
        <f t="shared" si="3"/>
        <v>11.757249247345904</v>
      </c>
      <c r="X8" s="805">
        <f t="shared" si="4"/>
        <v>10.641177465741837</v>
      </c>
      <c r="Y8" s="805">
        <f t="shared" si="5"/>
        <v>10.161069225496917</v>
      </c>
      <c r="Z8" s="805">
        <f t="shared" si="6"/>
        <v>9.465572122633608</v>
      </c>
      <c r="AA8" s="805">
        <f t="shared" si="7"/>
        <v>8.4494923421097923</v>
      </c>
      <c r="AB8" s="805">
        <f t="shared" si="8"/>
        <v>6.3512054695933795</v>
      </c>
      <c r="AC8" s="805">
        <f t="shared" si="9"/>
        <v>6.7562149157979148</v>
      </c>
      <c r="AD8" s="814">
        <f t="shared" si="9"/>
        <v>10.681114551083592</v>
      </c>
    </row>
    <row r="9" spans="2:30">
      <c r="B9" s="801" t="s">
        <v>1735</v>
      </c>
      <c r="C9" s="304">
        <v>42</v>
      </c>
      <c r="D9" s="304">
        <v>102</v>
      </c>
      <c r="E9" s="304">
        <v>205</v>
      </c>
      <c r="F9" s="304">
        <v>292</v>
      </c>
      <c r="G9" s="304">
        <v>355</v>
      </c>
      <c r="H9" s="304">
        <v>347</v>
      </c>
      <c r="I9" s="304">
        <v>227</v>
      </c>
      <c r="J9" s="304">
        <v>161</v>
      </c>
      <c r="K9" s="304">
        <v>88</v>
      </c>
      <c r="L9" s="304">
        <v>121</v>
      </c>
      <c r="M9" s="304">
        <v>129</v>
      </c>
      <c r="N9" s="812">
        <v>74</v>
      </c>
      <c r="O9" s="1201"/>
      <c r="P9" s="1201"/>
      <c r="Q9" s="95"/>
      <c r="R9" s="801" t="s">
        <v>1735</v>
      </c>
      <c r="S9" s="805">
        <f t="shared" si="10"/>
        <v>0.76266569820228802</v>
      </c>
      <c r="T9" s="805">
        <f t="shared" si="0"/>
        <v>1.9194580353782462</v>
      </c>
      <c r="U9" s="805">
        <f t="shared" si="1"/>
        <v>3.49769663879884</v>
      </c>
      <c r="V9" s="805">
        <f t="shared" si="2"/>
        <v>4.5419194275937151</v>
      </c>
      <c r="W9" s="805">
        <f t="shared" si="3"/>
        <v>5.6250990334336874</v>
      </c>
      <c r="X9" s="805">
        <f t="shared" si="4"/>
        <v>5.8704110979529691</v>
      </c>
      <c r="Y9" s="805">
        <f t="shared" si="5"/>
        <v>3.8896504455106236</v>
      </c>
      <c r="Z9" s="805">
        <f t="shared" si="6"/>
        <v>2.6972692243256828</v>
      </c>
      <c r="AA9" s="805">
        <f t="shared" si="7"/>
        <v>1.5143692996041989</v>
      </c>
      <c r="AB9" s="805">
        <f t="shared" si="8"/>
        <v>2.1770421014753509</v>
      </c>
      <c r="AC9" s="805">
        <f t="shared" si="9"/>
        <v>2.5862068965517242</v>
      </c>
      <c r="AD9" s="814">
        <f t="shared" si="9"/>
        <v>1.909184726522188</v>
      </c>
    </row>
    <row r="10" spans="2:30">
      <c r="B10" s="801" t="s">
        <v>1736</v>
      </c>
      <c r="C10" s="304">
        <v>134</v>
      </c>
      <c r="D10" s="304">
        <v>152</v>
      </c>
      <c r="E10" s="304">
        <v>190</v>
      </c>
      <c r="F10" s="304">
        <v>232</v>
      </c>
      <c r="G10" s="304">
        <v>236</v>
      </c>
      <c r="H10" s="304">
        <v>258</v>
      </c>
      <c r="I10" s="304">
        <v>227</v>
      </c>
      <c r="J10" s="304">
        <v>204</v>
      </c>
      <c r="K10" s="304">
        <v>181</v>
      </c>
      <c r="L10" s="304">
        <v>144</v>
      </c>
      <c r="M10" s="304">
        <v>115</v>
      </c>
      <c r="N10" s="812">
        <v>128</v>
      </c>
      <c r="O10" s="1201"/>
      <c r="P10" s="1201"/>
      <c r="Q10" s="95"/>
      <c r="R10" s="801" t="s">
        <v>1736</v>
      </c>
      <c r="S10" s="805">
        <f t="shared" si="10"/>
        <v>2.4332667514072996</v>
      </c>
      <c r="T10" s="805">
        <f t="shared" si="0"/>
        <v>2.8603688370342493</v>
      </c>
      <c r="U10" s="805">
        <f t="shared" si="1"/>
        <v>3.2417676164477052</v>
      </c>
      <c r="V10" s="805">
        <f t="shared" si="2"/>
        <v>3.6086483123347328</v>
      </c>
      <c r="W10" s="805">
        <f t="shared" si="3"/>
        <v>3.7395024560291557</v>
      </c>
      <c r="X10" s="805">
        <f t="shared" si="4"/>
        <v>4.364743698189816</v>
      </c>
      <c r="Y10" s="805">
        <f t="shared" si="5"/>
        <v>3.8896504455106236</v>
      </c>
      <c r="Z10" s="805">
        <f t="shared" si="6"/>
        <v>3.4176578991455857</v>
      </c>
      <c r="AA10" s="805">
        <f t="shared" si="7"/>
        <v>3.1147823094131821</v>
      </c>
      <c r="AB10" s="805">
        <f t="shared" si="8"/>
        <v>2.5908600215905002</v>
      </c>
      <c r="AC10" s="805">
        <f t="shared" si="9"/>
        <v>2.3055332798716921</v>
      </c>
      <c r="AD10" s="814">
        <f t="shared" si="9"/>
        <v>3.3023735810113521</v>
      </c>
    </row>
    <row r="11" spans="2:30">
      <c r="B11" s="801" t="s">
        <v>1737</v>
      </c>
      <c r="C11" s="304">
        <v>641</v>
      </c>
      <c r="D11" s="304">
        <v>443</v>
      </c>
      <c r="E11" s="304">
        <v>343</v>
      </c>
      <c r="F11" s="304">
        <v>289</v>
      </c>
      <c r="G11" s="304">
        <v>257</v>
      </c>
      <c r="H11" s="304">
        <v>175</v>
      </c>
      <c r="I11" s="304">
        <v>169</v>
      </c>
      <c r="J11" s="304">
        <v>84</v>
      </c>
      <c r="K11" s="304">
        <v>74</v>
      </c>
      <c r="L11" s="304">
        <v>27</v>
      </c>
      <c r="M11" s="304">
        <v>24</v>
      </c>
      <c r="N11" s="812">
        <v>24</v>
      </c>
      <c r="O11" s="1201"/>
      <c r="P11" s="1201"/>
      <c r="Q11" s="95"/>
      <c r="R11" s="801" t="s">
        <v>1737</v>
      </c>
      <c r="S11" s="805">
        <f t="shared" si="10"/>
        <v>11.639731251134918</v>
      </c>
      <c r="T11" s="805">
        <f t="shared" si="0"/>
        <v>8.3364697026721863</v>
      </c>
      <c r="U11" s="805">
        <f t="shared" si="1"/>
        <v>5.8522436444292785</v>
      </c>
      <c r="V11" s="805">
        <f t="shared" si="2"/>
        <v>4.495255871830766</v>
      </c>
      <c r="W11" s="805">
        <f t="shared" si="3"/>
        <v>4.0722547932181907</v>
      </c>
      <c r="X11" s="805">
        <f t="shared" si="4"/>
        <v>2.9605819658264254</v>
      </c>
      <c r="Y11" s="805">
        <f t="shared" si="5"/>
        <v>2.895819054146676</v>
      </c>
      <c r="Z11" s="805">
        <f t="shared" si="6"/>
        <v>1.4072708996481824</v>
      </c>
      <c r="AA11" s="805">
        <f t="shared" si="7"/>
        <v>1.2734469110308038</v>
      </c>
      <c r="AB11" s="805">
        <f t="shared" si="8"/>
        <v>0.48578625404821879</v>
      </c>
      <c r="AC11" s="805">
        <f t="shared" si="9"/>
        <v>0.48115477145148355</v>
      </c>
      <c r="AD11" s="814">
        <f t="shared" si="9"/>
        <v>0.61919504643962853</v>
      </c>
    </row>
    <row r="12" spans="2:30">
      <c r="B12" s="801" t="s">
        <v>1738</v>
      </c>
      <c r="C12" s="304"/>
      <c r="D12" s="304"/>
      <c r="E12" s="304"/>
      <c r="F12" s="304"/>
      <c r="G12" s="304">
        <v>3</v>
      </c>
      <c r="H12" s="304">
        <v>98</v>
      </c>
      <c r="I12" s="304">
        <v>420</v>
      </c>
      <c r="J12" s="304">
        <v>403</v>
      </c>
      <c r="K12" s="304">
        <v>489</v>
      </c>
      <c r="L12" s="304">
        <v>580</v>
      </c>
      <c r="M12" s="304">
        <v>460</v>
      </c>
      <c r="N12" s="812">
        <v>23</v>
      </c>
      <c r="O12" s="1201"/>
      <c r="P12" s="1201"/>
      <c r="Q12" s="95"/>
      <c r="R12" s="801" t="s">
        <v>1738</v>
      </c>
      <c r="S12" s="805"/>
      <c r="T12" s="805"/>
      <c r="U12" s="805"/>
      <c r="V12" s="805"/>
      <c r="W12" s="806">
        <f t="shared" si="3"/>
        <v>4.7536048169862143E-2</v>
      </c>
      <c r="X12" s="805">
        <f t="shared" si="4"/>
        <v>1.6579259008627982</v>
      </c>
      <c r="Y12" s="805">
        <f t="shared" si="5"/>
        <v>7.1967100753941056</v>
      </c>
      <c r="Z12" s="805">
        <f t="shared" si="6"/>
        <v>6.7515496733121125</v>
      </c>
      <c r="AA12" s="805">
        <f t="shared" si="7"/>
        <v>8.4150748580278787</v>
      </c>
      <c r="AB12" s="805">
        <f t="shared" si="8"/>
        <v>10.435408420295071</v>
      </c>
      <c r="AC12" s="805">
        <f t="shared" si="9"/>
        <v>9.2221331194867684</v>
      </c>
      <c r="AD12" s="814">
        <f t="shared" si="9"/>
        <v>0.59339525283797734</v>
      </c>
    </row>
    <row r="13" spans="2:30">
      <c r="B13" s="801" t="s">
        <v>1739</v>
      </c>
      <c r="C13" s="304"/>
      <c r="D13" s="304"/>
      <c r="E13" s="304">
        <v>505</v>
      </c>
      <c r="F13" s="304">
        <v>107</v>
      </c>
      <c r="G13" s="304">
        <v>122</v>
      </c>
      <c r="H13" s="304">
        <v>120</v>
      </c>
      <c r="I13" s="304">
        <v>141</v>
      </c>
      <c r="J13" s="304">
        <v>126</v>
      </c>
      <c r="K13" s="304">
        <v>124</v>
      </c>
      <c r="L13" s="304">
        <v>108</v>
      </c>
      <c r="M13" s="304">
        <v>165</v>
      </c>
      <c r="N13" s="812">
        <v>207</v>
      </c>
      <c r="O13" s="1201"/>
      <c r="P13" s="1201"/>
      <c r="Q13" s="95"/>
      <c r="R13" s="801" t="s">
        <v>1739</v>
      </c>
      <c r="S13" s="805"/>
      <c r="T13" s="805"/>
      <c r="U13" s="805">
        <f t="shared" si="1"/>
        <v>8.6162770858215314</v>
      </c>
      <c r="V13" s="805">
        <f t="shared" si="2"/>
        <v>1.6643334888785191</v>
      </c>
      <c r="W13" s="805">
        <f t="shared" si="3"/>
        <v>1.9331326255743939</v>
      </c>
      <c r="X13" s="805">
        <f t="shared" si="4"/>
        <v>2.0301133479952629</v>
      </c>
      <c r="Y13" s="805">
        <f t="shared" si="5"/>
        <v>2.4160383824537353</v>
      </c>
      <c r="Z13" s="805">
        <f t="shared" si="6"/>
        <v>2.1109063494722733</v>
      </c>
      <c r="AA13" s="805">
        <f t="shared" si="7"/>
        <v>2.1338840130786441</v>
      </c>
      <c r="AB13" s="805">
        <f t="shared" si="8"/>
        <v>1.9431450161928752</v>
      </c>
      <c r="AC13" s="805">
        <f t="shared" si="9"/>
        <v>3.3079390537289495</v>
      </c>
      <c r="AD13" s="814">
        <f t="shared" si="9"/>
        <v>5.340557275541796</v>
      </c>
    </row>
    <row r="14" spans="2:30" ht="13.5" thickBot="1">
      <c r="B14" s="802" t="s">
        <v>4</v>
      </c>
      <c r="C14" s="803">
        <f>SUM(C7:C13)</f>
        <v>5507</v>
      </c>
      <c r="D14" s="803">
        <f t="shared" ref="D14:N14" si="11">SUM(D7:D13)</f>
        <v>5314</v>
      </c>
      <c r="E14" s="803">
        <f t="shared" si="11"/>
        <v>5861</v>
      </c>
      <c r="F14" s="803">
        <f t="shared" si="11"/>
        <v>6429</v>
      </c>
      <c r="G14" s="803">
        <f t="shared" si="11"/>
        <v>6311</v>
      </c>
      <c r="H14" s="803">
        <f t="shared" si="11"/>
        <v>5911</v>
      </c>
      <c r="I14" s="803">
        <f t="shared" si="11"/>
        <v>5836</v>
      </c>
      <c r="J14" s="803">
        <f t="shared" si="11"/>
        <v>5969</v>
      </c>
      <c r="K14" s="803">
        <f t="shared" si="11"/>
        <v>5811</v>
      </c>
      <c r="L14" s="803">
        <f t="shared" si="11"/>
        <v>5558</v>
      </c>
      <c r="M14" s="803">
        <f t="shared" si="11"/>
        <v>4988</v>
      </c>
      <c r="N14" s="813">
        <f t="shared" si="11"/>
        <v>3876</v>
      </c>
      <c r="O14" s="1202"/>
      <c r="P14" s="1202"/>
      <c r="Q14" s="95"/>
      <c r="R14" s="802" t="s">
        <v>4</v>
      </c>
      <c r="S14" s="803">
        <f>SUM(S7:S13)</f>
        <v>100</v>
      </c>
      <c r="T14" s="803">
        <f t="shared" ref="T14" si="12">SUM(T7:T13)</f>
        <v>99.999999999999986</v>
      </c>
      <c r="U14" s="803">
        <f t="shared" ref="U14" si="13">SUM(U7:U13)</f>
        <v>100.00000000000001</v>
      </c>
      <c r="V14" s="803">
        <f t="shared" ref="V14" si="14">SUM(V7:V13)</f>
        <v>100</v>
      </c>
      <c r="W14" s="803">
        <f t="shared" ref="W14" si="15">SUM(W7:W13)</f>
        <v>99.999999999999986</v>
      </c>
      <c r="X14" s="803">
        <f t="shared" ref="X14" si="16">SUM(X7:X13)</f>
        <v>99.999999999999986</v>
      </c>
      <c r="Y14" s="803">
        <f t="shared" ref="Y14" si="17">SUM(Y7:Y13)</f>
        <v>100</v>
      </c>
      <c r="Z14" s="803">
        <f t="shared" ref="Z14" si="18">SUM(Z7:Z13)</f>
        <v>99.999999999999986</v>
      </c>
      <c r="AA14" s="803">
        <f t="shared" ref="AA14" si="19">SUM(AA7:AA13)</f>
        <v>100</v>
      </c>
      <c r="AB14" s="803">
        <f t="shared" ref="AB14" si="20">SUM(AB7:AB13)</f>
        <v>100.00000000000001</v>
      </c>
      <c r="AC14" s="803">
        <f t="shared" ref="AC14:AD14" si="21">SUM(AC7:AC13)</f>
        <v>100</v>
      </c>
      <c r="AD14" s="813">
        <f t="shared" si="21"/>
        <v>100.00000000000001</v>
      </c>
    </row>
    <row r="15" spans="2:30" ht="13.5" thickBot="1"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</row>
    <row r="16" spans="2:30">
      <c r="B16" s="798" t="s">
        <v>1740</v>
      </c>
      <c r="C16" s="799">
        <v>2002</v>
      </c>
      <c r="D16" s="799">
        <v>2003</v>
      </c>
      <c r="E16" s="799">
        <v>2004</v>
      </c>
      <c r="F16" s="799">
        <v>2005</v>
      </c>
      <c r="G16" s="799">
        <v>2006</v>
      </c>
      <c r="H16" s="799">
        <v>2007</v>
      </c>
      <c r="I16" s="799">
        <v>2008</v>
      </c>
      <c r="J16" s="799">
        <v>2009</v>
      </c>
      <c r="K16" s="799">
        <v>2010</v>
      </c>
      <c r="L16" s="799">
        <v>2011</v>
      </c>
      <c r="M16" s="799">
        <v>2012</v>
      </c>
      <c r="N16" s="811">
        <v>2013</v>
      </c>
      <c r="O16" s="1200"/>
      <c r="P16" s="1200"/>
      <c r="Q16" s="95"/>
      <c r="R16" s="798" t="s">
        <v>1740</v>
      </c>
      <c r="S16" s="799">
        <v>2002</v>
      </c>
      <c r="T16" s="799">
        <v>2003</v>
      </c>
      <c r="U16" s="799">
        <v>2004</v>
      </c>
      <c r="V16" s="799">
        <v>2005</v>
      </c>
      <c r="W16" s="799">
        <v>2006</v>
      </c>
      <c r="X16" s="799">
        <v>2007</v>
      </c>
      <c r="Y16" s="799">
        <v>2008</v>
      </c>
      <c r="Z16" s="799">
        <v>2009</v>
      </c>
      <c r="AA16" s="799">
        <v>2010</v>
      </c>
      <c r="AB16" s="799">
        <v>2011</v>
      </c>
      <c r="AC16" s="799">
        <v>2012</v>
      </c>
      <c r="AD16" s="811">
        <v>2013</v>
      </c>
    </row>
    <row r="17" spans="2:30">
      <c r="B17" s="801" t="s">
        <v>1734</v>
      </c>
      <c r="C17" s="304"/>
      <c r="D17" s="304"/>
      <c r="E17" s="304">
        <f t="shared" ref="E17:H21" si="22">E7-E27</f>
        <v>3491</v>
      </c>
      <c r="F17" s="304">
        <f t="shared" si="22"/>
        <v>4232</v>
      </c>
      <c r="G17" s="304">
        <f t="shared" si="22"/>
        <v>4202</v>
      </c>
      <c r="H17" s="304">
        <f t="shared" si="22"/>
        <v>3873</v>
      </c>
      <c r="I17" s="304">
        <v>3604</v>
      </c>
      <c r="J17" s="304">
        <v>3703</v>
      </c>
      <c r="K17" s="304">
        <v>3350</v>
      </c>
      <c r="L17" s="304">
        <v>3353</v>
      </c>
      <c r="M17" s="304">
        <v>3317</v>
      </c>
      <c r="N17" s="812">
        <v>2885</v>
      </c>
      <c r="O17" s="1201"/>
      <c r="P17" s="1201"/>
      <c r="Q17" s="95"/>
      <c r="R17" s="801" t="s">
        <v>1734</v>
      </c>
      <c r="S17" s="805"/>
      <c r="T17" s="805"/>
      <c r="U17" s="805">
        <f t="shared" ref="U17:U23" si="23">E17/E$24%</f>
        <v>63.003068038260245</v>
      </c>
      <c r="V17" s="805">
        <f t="shared" ref="V17:V23" si="24">F17/F$24%</f>
        <v>69.696969696969703</v>
      </c>
      <c r="W17" s="805">
        <f t="shared" ref="W17:W23" si="25">G17/G$24%</f>
        <v>73.564425770308119</v>
      </c>
      <c r="X17" s="805">
        <f t="shared" ref="X17:X23" si="26">H17/H$24%</f>
        <v>73.477518497438808</v>
      </c>
      <c r="Y17" s="805">
        <f t="shared" ref="Y17:Y23" si="27">I17/I$24%</f>
        <v>69.028921662516751</v>
      </c>
      <c r="Z17" s="805">
        <f t="shared" ref="Z17:Z23" si="28">J17/J$24%</f>
        <v>73.720883933904048</v>
      </c>
      <c r="AA17" s="805">
        <f t="shared" ref="AA17:AA23" si="29">K17/K$24%</f>
        <v>73.739819502531361</v>
      </c>
      <c r="AB17" s="805">
        <f t="shared" ref="AB17:AB23" si="30">L17/L$24%</f>
        <v>76.395534290271129</v>
      </c>
      <c r="AC17" s="805">
        <f t="shared" ref="AC17:AC23" si="31">M17/M$24%</f>
        <v>76.375777112594974</v>
      </c>
      <c r="AD17" s="814">
        <f>N17/N$24%</f>
        <v>77.741848558340067</v>
      </c>
    </row>
    <row r="18" spans="2:30">
      <c r="B18" s="801" t="s">
        <v>1866</v>
      </c>
      <c r="C18" s="304"/>
      <c r="D18" s="304"/>
      <c r="E18" s="304">
        <f t="shared" si="22"/>
        <v>916</v>
      </c>
      <c r="F18" s="304">
        <f t="shared" si="22"/>
        <v>1013</v>
      </c>
      <c r="G18" s="304">
        <f t="shared" si="22"/>
        <v>662</v>
      </c>
      <c r="H18" s="304">
        <f t="shared" si="22"/>
        <v>554</v>
      </c>
      <c r="I18" s="304">
        <v>559</v>
      </c>
      <c r="J18" s="304">
        <v>511</v>
      </c>
      <c r="K18" s="304">
        <v>453</v>
      </c>
      <c r="L18" s="304">
        <v>341</v>
      </c>
      <c r="M18" s="304">
        <v>331</v>
      </c>
      <c r="N18" s="812">
        <v>406</v>
      </c>
      <c r="O18" s="1201"/>
      <c r="P18" s="1201"/>
      <c r="Q18" s="95"/>
      <c r="R18" s="801" t="s">
        <v>1866</v>
      </c>
      <c r="S18" s="805"/>
      <c r="T18" s="805"/>
      <c r="U18" s="805">
        <f t="shared" si="23"/>
        <v>16.531312037538353</v>
      </c>
      <c r="V18" s="805">
        <f t="shared" si="24"/>
        <v>16.683135704874836</v>
      </c>
      <c r="W18" s="805">
        <f t="shared" si="25"/>
        <v>11.589635854341736</v>
      </c>
      <c r="X18" s="805">
        <f t="shared" si="26"/>
        <v>10.510339594004932</v>
      </c>
      <c r="Y18" s="805">
        <f t="shared" si="27"/>
        <v>10.7067611568665</v>
      </c>
      <c r="Z18" s="805">
        <f t="shared" si="28"/>
        <v>10.173203264981087</v>
      </c>
      <c r="AA18" s="805">
        <f t="shared" si="29"/>
        <v>9.9713845476557346</v>
      </c>
      <c r="AB18" s="805">
        <f t="shared" si="30"/>
        <v>7.7694235588972429</v>
      </c>
      <c r="AC18" s="805">
        <f t="shared" si="31"/>
        <v>7.621459820400645</v>
      </c>
      <c r="AD18" s="814">
        <f t="shared" ref="AD18:AD24" si="32">N18/N$24%</f>
        <v>10.940447318781999</v>
      </c>
    </row>
    <row r="19" spans="2:30">
      <c r="B19" s="801" t="s">
        <v>1735</v>
      </c>
      <c r="C19" s="304"/>
      <c r="D19" s="304"/>
      <c r="E19" s="304">
        <f t="shared" si="22"/>
        <v>164</v>
      </c>
      <c r="F19" s="304">
        <f t="shared" si="22"/>
        <v>254</v>
      </c>
      <c r="G19" s="304">
        <f t="shared" si="22"/>
        <v>299</v>
      </c>
      <c r="H19" s="304">
        <f t="shared" si="22"/>
        <v>281</v>
      </c>
      <c r="I19" s="304">
        <v>182</v>
      </c>
      <c r="J19" s="304">
        <v>123</v>
      </c>
      <c r="K19" s="304">
        <v>65</v>
      </c>
      <c r="L19" s="304">
        <v>97</v>
      </c>
      <c r="M19" s="304">
        <v>122</v>
      </c>
      <c r="N19" s="812">
        <v>73</v>
      </c>
      <c r="O19" s="1201"/>
      <c r="P19" s="1201"/>
      <c r="Q19" s="95"/>
      <c r="R19" s="801" t="s">
        <v>1735</v>
      </c>
      <c r="S19" s="805"/>
      <c r="T19" s="805"/>
      <c r="U19" s="805">
        <f t="shared" si="23"/>
        <v>2.9597545569391808</v>
      </c>
      <c r="V19" s="805">
        <f t="shared" si="24"/>
        <v>4.183135704874835</v>
      </c>
      <c r="W19" s="805">
        <f t="shared" si="25"/>
        <v>5.2345938375350141</v>
      </c>
      <c r="X19" s="805">
        <f t="shared" si="26"/>
        <v>5.3310567254790362</v>
      </c>
      <c r="Y19" s="805">
        <f t="shared" si="27"/>
        <v>3.4859222371193259</v>
      </c>
      <c r="Z19" s="805">
        <f t="shared" si="28"/>
        <v>2.4487358152498508</v>
      </c>
      <c r="AA19" s="805">
        <f t="shared" si="29"/>
        <v>1.4307726172132953</v>
      </c>
      <c r="AB19" s="805">
        <f t="shared" si="30"/>
        <v>2.2100706311232625</v>
      </c>
      <c r="AC19" s="805">
        <f t="shared" si="31"/>
        <v>2.8091181211144369</v>
      </c>
      <c r="AD19" s="814">
        <f t="shared" si="32"/>
        <v>1.9671247642144976</v>
      </c>
    </row>
    <row r="20" spans="2:30">
      <c r="B20" s="801" t="s">
        <v>1736</v>
      </c>
      <c r="C20" s="304"/>
      <c r="D20" s="304"/>
      <c r="E20" s="304">
        <f t="shared" si="22"/>
        <v>182</v>
      </c>
      <c r="F20" s="304">
        <f t="shared" si="22"/>
        <v>224</v>
      </c>
      <c r="G20" s="304">
        <f t="shared" si="22"/>
        <v>216</v>
      </c>
      <c r="H20" s="304">
        <f t="shared" si="22"/>
        <v>246</v>
      </c>
      <c r="I20" s="304">
        <v>197</v>
      </c>
      <c r="J20" s="304">
        <v>183</v>
      </c>
      <c r="K20" s="304">
        <v>139</v>
      </c>
      <c r="L20" s="304">
        <v>113</v>
      </c>
      <c r="M20" s="304">
        <v>107</v>
      </c>
      <c r="N20" s="812">
        <v>128</v>
      </c>
      <c r="O20" s="1201"/>
      <c r="P20" s="1201"/>
      <c r="Q20" s="95"/>
      <c r="R20" s="801" t="s">
        <v>1736</v>
      </c>
      <c r="S20" s="805"/>
      <c r="T20" s="805"/>
      <c r="U20" s="805">
        <f t="shared" si="23"/>
        <v>3.2846056668471397</v>
      </c>
      <c r="V20" s="805">
        <f t="shared" si="24"/>
        <v>3.6890645586297759</v>
      </c>
      <c r="W20" s="805">
        <f t="shared" si="25"/>
        <v>3.7815126050420171</v>
      </c>
      <c r="X20" s="805">
        <f t="shared" si="26"/>
        <v>4.6670461013090492</v>
      </c>
      <c r="Y20" s="805">
        <f t="shared" si="27"/>
        <v>3.7732235203983913</v>
      </c>
      <c r="Z20" s="805">
        <f t="shared" si="28"/>
        <v>3.6432410909814852</v>
      </c>
      <c r="AA20" s="805">
        <f t="shared" si="29"/>
        <v>3.0596522121945853</v>
      </c>
      <c r="AB20" s="805">
        <f t="shared" si="30"/>
        <v>2.5746183640920481</v>
      </c>
      <c r="AC20" s="805">
        <f t="shared" si="31"/>
        <v>2.4637347455675802</v>
      </c>
      <c r="AD20" s="814">
        <f t="shared" si="32"/>
        <v>3.4492050660199407</v>
      </c>
    </row>
    <row r="21" spans="2:30">
      <c r="B21" s="801" t="s">
        <v>1737</v>
      </c>
      <c r="C21" s="304"/>
      <c r="D21" s="304"/>
      <c r="E21" s="304">
        <f t="shared" si="22"/>
        <v>290</v>
      </c>
      <c r="F21" s="304">
        <f t="shared" si="22"/>
        <v>242</v>
      </c>
      <c r="G21" s="304">
        <f t="shared" si="22"/>
        <v>212</v>
      </c>
      <c r="H21" s="304">
        <f t="shared" si="22"/>
        <v>109</v>
      </c>
      <c r="I21" s="304">
        <v>138</v>
      </c>
      <c r="J21" s="304">
        <v>61</v>
      </c>
      <c r="K21" s="304">
        <v>70</v>
      </c>
      <c r="L21" s="304">
        <v>26</v>
      </c>
      <c r="M21" s="304">
        <v>24</v>
      </c>
      <c r="N21" s="812">
        <v>24</v>
      </c>
      <c r="O21" s="1201"/>
      <c r="P21" s="1201"/>
      <c r="Q21" s="95"/>
      <c r="R21" s="801" t="s">
        <v>1737</v>
      </c>
      <c r="S21" s="805"/>
      <c r="T21" s="805"/>
      <c r="U21" s="805">
        <f t="shared" si="23"/>
        <v>5.233712326294893</v>
      </c>
      <c r="V21" s="805">
        <f t="shared" si="24"/>
        <v>3.9855072463768115</v>
      </c>
      <c r="W21" s="805">
        <f t="shared" si="25"/>
        <v>3.7114845938375352</v>
      </c>
      <c r="X21" s="805">
        <f t="shared" si="26"/>
        <v>2.0679188009865301</v>
      </c>
      <c r="Y21" s="805">
        <f t="shared" si="27"/>
        <v>2.643171806167401</v>
      </c>
      <c r="Z21" s="805">
        <f t="shared" si="28"/>
        <v>1.2144136969938284</v>
      </c>
      <c r="AA21" s="805">
        <f t="shared" si="29"/>
        <v>1.5408320493066257</v>
      </c>
      <c r="AB21" s="805">
        <f t="shared" si="30"/>
        <v>0.59239006607427658</v>
      </c>
      <c r="AC21" s="805">
        <f t="shared" si="31"/>
        <v>0.55261340087497124</v>
      </c>
      <c r="AD21" s="814">
        <f t="shared" si="32"/>
        <v>0.64672594987873888</v>
      </c>
    </row>
    <row r="22" spans="2:30">
      <c r="B22" s="801" t="s">
        <v>1738</v>
      </c>
      <c r="C22" s="304"/>
      <c r="D22" s="304"/>
      <c r="E22" s="304"/>
      <c r="F22" s="304"/>
      <c r="G22" s="304">
        <f>G12-G32</f>
        <v>3</v>
      </c>
      <c r="H22" s="304">
        <f>H12-H32</f>
        <v>98</v>
      </c>
      <c r="I22" s="304">
        <v>420</v>
      </c>
      <c r="J22" s="304">
        <v>345</v>
      </c>
      <c r="K22" s="304">
        <v>380</v>
      </c>
      <c r="L22" s="304">
        <v>401</v>
      </c>
      <c r="M22" s="304">
        <v>353</v>
      </c>
      <c r="N22" s="812">
        <v>23</v>
      </c>
      <c r="O22" s="1201"/>
      <c r="P22" s="1201"/>
      <c r="Q22" s="95"/>
      <c r="R22" s="801" t="s">
        <v>1738</v>
      </c>
      <c r="S22" s="805"/>
      <c r="T22" s="805"/>
      <c r="U22" s="805"/>
      <c r="V22" s="805"/>
      <c r="W22" s="805">
        <f t="shared" si="25"/>
        <v>5.2521008403361345E-2</v>
      </c>
      <c r="X22" s="805">
        <f t="shared" si="26"/>
        <v>1.8592297476759627</v>
      </c>
      <c r="Y22" s="805">
        <f t="shared" si="27"/>
        <v>8.0444359318138279</v>
      </c>
      <c r="Z22" s="805">
        <f t="shared" si="28"/>
        <v>6.8684053354568988</v>
      </c>
      <c r="AA22" s="805">
        <f t="shared" si="29"/>
        <v>8.3645168390931097</v>
      </c>
      <c r="AB22" s="805">
        <f t="shared" si="30"/>
        <v>9.1364775575301884</v>
      </c>
      <c r="AC22" s="805">
        <f t="shared" si="31"/>
        <v>8.1280221045360346</v>
      </c>
      <c r="AD22" s="814">
        <f t="shared" si="32"/>
        <v>0.61977903530045808</v>
      </c>
    </row>
    <row r="23" spans="2:30">
      <c r="B23" s="801" t="s">
        <v>1739</v>
      </c>
      <c r="C23" s="304"/>
      <c r="D23" s="304"/>
      <c r="E23" s="304">
        <f>E13-E33</f>
        <v>498</v>
      </c>
      <c r="F23" s="304">
        <f>F13-F33</f>
        <v>107</v>
      </c>
      <c r="G23" s="304">
        <f>G13-G33</f>
        <v>118</v>
      </c>
      <c r="H23" s="304">
        <f>H13-H33</f>
        <v>110</v>
      </c>
      <c r="I23" s="304">
        <v>121</v>
      </c>
      <c r="J23" s="304">
        <v>97</v>
      </c>
      <c r="K23" s="304">
        <v>86</v>
      </c>
      <c r="L23" s="304">
        <v>58</v>
      </c>
      <c r="M23" s="304">
        <v>89</v>
      </c>
      <c r="N23" s="812">
        <v>172</v>
      </c>
      <c r="O23" s="1201"/>
      <c r="P23" s="1201"/>
      <c r="Q23" s="95"/>
      <c r="R23" s="801" t="s">
        <v>1739</v>
      </c>
      <c r="S23" s="805"/>
      <c r="T23" s="805"/>
      <c r="U23" s="805">
        <f t="shared" si="23"/>
        <v>8.9875473741201954</v>
      </c>
      <c r="V23" s="805">
        <f t="shared" si="24"/>
        <v>1.7621870882740449</v>
      </c>
      <c r="W23" s="805">
        <f t="shared" si="25"/>
        <v>2.0658263305322131</v>
      </c>
      <c r="X23" s="805">
        <f t="shared" si="26"/>
        <v>2.0868905331056724</v>
      </c>
      <c r="Y23" s="805">
        <f t="shared" si="27"/>
        <v>2.3175636851177934</v>
      </c>
      <c r="Z23" s="805">
        <f t="shared" si="28"/>
        <v>1.9311168624328092</v>
      </c>
      <c r="AA23" s="805">
        <f t="shared" si="29"/>
        <v>1.893022232005283</v>
      </c>
      <c r="AB23" s="805">
        <f t="shared" si="30"/>
        <v>1.3214855320118477</v>
      </c>
      <c r="AC23" s="805">
        <f t="shared" si="31"/>
        <v>2.0492746949113516</v>
      </c>
      <c r="AD23" s="814">
        <f t="shared" si="32"/>
        <v>4.634869307464295</v>
      </c>
    </row>
    <row r="24" spans="2:30" ht="13.5" thickBot="1">
      <c r="B24" s="802" t="s">
        <v>4</v>
      </c>
      <c r="C24" s="803"/>
      <c r="D24" s="803"/>
      <c r="E24" s="803">
        <f t="shared" ref="E24" si="33">SUM(E17:E23)</f>
        <v>5541</v>
      </c>
      <c r="F24" s="803">
        <f t="shared" ref="F24" si="34">SUM(F17:F23)</f>
        <v>6072</v>
      </c>
      <c r="G24" s="803">
        <f t="shared" ref="G24" si="35">SUM(G17:G23)</f>
        <v>5712</v>
      </c>
      <c r="H24" s="803">
        <f t="shared" ref="H24" si="36">SUM(H17:H23)</f>
        <v>5271</v>
      </c>
      <c r="I24" s="803">
        <f t="shared" ref="I24" si="37">SUM(I17:I23)</f>
        <v>5221</v>
      </c>
      <c r="J24" s="803">
        <f t="shared" ref="J24" si="38">SUM(J17:J23)</f>
        <v>5023</v>
      </c>
      <c r="K24" s="803">
        <f t="shared" ref="K24" si="39">SUM(K17:K23)</f>
        <v>4543</v>
      </c>
      <c r="L24" s="803">
        <f t="shared" ref="L24" si="40">SUM(L17:L23)</f>
        <v>4389</v>
      </c>
      <c r="M24" s="803">
        <f t="shared" ref="M24:N24" si="41">SUM(M17:M23)</f>
        <v>4343</v>
      </c>
      <c r="N24" s="813">
        <f t="shared" si="41"/>
        <v>3711</v>
      </c>
      <c r="O24" s="1202"/>
      <c r="P24" s="1202"/>
      <c r="Q24" s="95"/>
      <c r="R24" s="802" t="s">
        <v>4</v>
      </c>
      <c r="S24" s="803"/>
      <c r="T24" s="803"/>
      <c r="U24" s="803">
        <f t="shared" ref="U24" si="42">SUM(U17:U23)</f>
        <v>100</v>
      </c>
      <c r="V24" s="803">
        <f t="shared" ref="V24" si="43">SUM(V17:V23)</f>
        <v>100</v>
      </c>
      <c r="W24" s="803">
        <f t="shared" ref="W24" si="44">SUM(W17:W23)</f>
        <v>100</v>
      </c>
      <c r="X24" s="803">
        <f t="shared" ref="X24" si="45">SUM(X17:X23)</f>
        <v>100</v>
      </c>
      <c r="Y24" s="803">
        <f t="shared" ref="Y24" si="46">SUM(Y17:Y23)</f>
        <v>99.999999999999986</v>
      </c>
      <c r="Z24" s="803">
        <f t="shared" ref="Z24" si="47">SUM(Z17:Z23)</f>
        <v>100.00000000000001</v>
      </c>
      <c r="AA24" s="803">
        <f t="shared" ref="AA24" si="48">SUM(AA17:AA23)</f>
        <v>100</v>
      </c>
      <c r="AB24" s="803">
        <f t="shared" ref="AB24" si="49">SUM(AB17:AB23)</f>
        <v>99.999999999999986</v>
      </c>
      <c r="AC24" s="803">
        <f t="shared" ref="AC24" si="50">SUM(AC17:AC23)</f>
        <v>99.999999999999986</v>
      </c>
      <c r="AD24" s="813">
        <f t="shared" si="32"/>
        <v>100</v>
      </c>
    </row>
    <row r="25" spans="2:30" ht="13.5" thickBot="1"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</row>
    <row r="26" spans="2:30">
      <c r="B26" s="798" t="s">
        <v>1741</v>
      </c>
      <c r="C26" s="799">
        <v>2002</v>
      </c>
      <c r="D26" s="799">
        <v>2003</v>
      </c>
      <c r="E26" s="799">
        <v>2004</v>
      </c>
      <c r="F26" s="799">
        <v>2005</v>
      </c>
      <c r="G26" s="799">
        <v>2006</v>
      </c>
      <c r="H26" s="799">
        <v>2007</v>
      </c>
      <c r="I26" s="799">
        <v>2008</v>
      </c>
      <c r="J26" s="799">
        <v>2009</v>
      </c>
      <c r="K26" s="799">
        <v>2010</v>
      </c>
      <c r="L26" s="799">
        <v>2011</v>
      </c>
      <c r="M26" s="799">
        <v>2012</v>
      </c>
      <c r="N26" s="811">
        <v>2013</v>
      </c>
      <c r="O26" s="1200"/>
      <c r="P26" s="1200"/>
      <c r="Q26" s="95"/>
      <c r="R26" s="798" t="s">
        <v>1741</v>
      </c>
      <c r="S26" s="799">
        <v>2002</v>
      </c>
      <c r="T26" s="799">
        <v>2003</v>
      </c>
      <c r="U26" s="799">
        <v>2004</v>
      </c>
      <c r="V26" s="799">
        <v>2005</v>
      </c>
      <c r="W26" s="799">
        <v>2006</v>
      </c>
      <c r="X26" s="799">
        <v>2007</v>
      </c>
      <c r="Y26" s="799">
        <v>2008</v>
      </c>
      <c r="Z26" s="799">
        <v>2009</v>
      </c>
      <c r="AA26" s="799">
        <v>2010</v>
      </c>
      <c r="AB26" s="799">
        <v>2011</v>
      </c>
      <c r="AC26" s="799">
        <v>2012</v>
      </c>
      <c r="AD26" s="811">
        <v>2013</v>
      </c>
    </row>
    <row r="27" spans="2:30">
      <c r="B27" s="801" t="s">
        <v>1734</v>
      </c>
      <c r="C27" s="304"/>
      <c r="D27" s="304"/>
      <c r="E27" s="304">
        <v>171</v>
      </c>
      <c r="F27" s="304">
        <v>234</v>
      </c>
      <c r="G27" s="304">
        <v>394</v>
      </c>
      <c r="H27" s="304">
        <v>411</v>
      </c>
      <c r="I27" s="304">
        <v>455</v>
      </c>
      <c r="J27" s="304">
        <v>723</v>
      </c>
      <c r="K27" s="304">
        <v>1014</v>
      </c>
      <c r="L27" s="304">
        <v>872</v>
      </c>
      <c r="M27" s="304">
        <v>441</v>
      </c>
      <c r="N27" s="812">
        <v>121</v>
      </c>
      <c r="O27" s="1201"/>
      <c r="P27" s="1201"/>
      <c r="Q27" s="95"/>
      <c r="R27" s="801" t="s">
        <v>1734</v>
      </c>
      <c r="S27" s="805"/>
      <c r="T27" s="805"/>
      <c r="U27" s="805">
        <f t="shared" ref="U27:U33" si="51">E27/E$34%</f>
        <v>53.4375</v>
      </c>
      <c r="V27" s="805">
        <f t="shared" ref="V27:V33" si="52">F27/F$34%</f>
        <v>65.546218487394967</v>
      </c>
      <c r="W27" s="805">
        <f t="shared" ref="W27:W33" si="53">G27/G$34%</f>
        <v>65.776293823038401</v>
      </c>
      <c r="X27" s="805">
        <f t="shared" ref="X27:X33" si="54">H27/H$34%</f>
        <v>64.21875</v>
      </c>
      <c r="Y27" s="805">
        <f t="shared" ref="Y27:Y33" si="55">I27/I$34%</f>
        <v>73.983739837398375</v>
      </c>
      <c r="Z27" s="805">
        <f t="shared" ref="Z27:Z33" si="56">J27/J$34%</f>
        <v>76.427061310782236</v>
      </c>
      <c r="AA27" s="805">
        <f t="shared" ref="AA27:AA33" si="57">K27/K$34%</f>
        <v>79.968454258675081</v>
      </c>
      <c r="AB27" s="805">
        <f t="shared" ref="AB27:AB33" si="58">L27/L$34%</f>
        <v>74.593669803250648</v>
      </c>
      <c r="AC27" s="805">
        <f t="shared" ref="AC27:AC33" si="59">M27/M$34%</f>
        <v>68.372093023255815</v>
      </c>
      <c r="AD27" s="814">
        <f>N27/N$34%</f>
        <v>73.333333333333343</v>
      </c>
    </row>
    <row r="28" spans="2:30">
      <c r="B28" s="801" t="s">
        <v>1866</v>
      </c>
      <c r="C28" s="304"/>
      <c r="D28" s="304"/>
      <c r="E28" s="304">
        <v>40</v>
      </c>
      <c r="F28" s="304">
        <v>30</v>
      </c>
      <c r="G28" s="304">
        <v>80</v>
      </c>
      <c r="H28" s="304">
        <v>75</v>
      </c>
      <c r="I28" s="304">
        <v>34</v>
      </c>
      <c r="J28" s="304">
        <v>54</v>
      </c>
      <c r="K28" s="304">
        <v>38</v>
      </c>
      <c r="L28" s="304">
        <v>12</v>
      </c>
      <c r="M28" s="304">
        <v>6</v>
      </c>
      <c r="N28" s="812">
        <v>8</v>
      </c>
      <c r="O28" s="1201"/>
      <c r="P28" s="1201"/>
      <c r="Q28" s="95"/>
      <c r="R28" s="801" t="s">
        <v>1866</v>
      </c>
      <c r="S28" s="805"/>
      <c r="T28" s="805"/>
      <c r="U28" s="805">
        <f t="shared" si="51"/>
        <v>12.5</v>
      </c>
      <c r="V28" s="805">
        <f t="shared" si="52"/>
        <v>8.4033613445378155</v>
      </c>
      <c r="W28" s="805">
        <f t="shared" si="53"/>
        <v>13.35559265442404</v>
      </c>
      <c r="X28" s="805">
        <f t="shared" si="54"/>
        <v>11.71875</v>
      </c>
      <c r="Y28" s="805">
        <f t="shared" si="55"/>
        <v>5.5284552845528454</v>
      </c>
      <c r="Z28" s="805">
        <f t="shared" si="56"/>
        <v>5.7082452431289639</v>
      </c>
      <c r="AA28" s="805">
        <f t="shared" si="57"/>
        <v>2.9968454258675079</v>
      </c>
      <c r="AB28" s="805">
        <f t="shared" si="58"/>
        <v>1.0265183917878529</v>
      </c>
      <c r="AC28" s="805">
        <f t="shared" si="59"/>
        <v>0.93023255813953487</v>
      </c>
      <c r="AD28" s="814">
        <f t="shared" ref="AD28:AD34" si="60">N28/N$34%</f>
        <v>4.8484848484848486</v>
      </c>
    </row>
    <row r="29" spans="2:30">
      <c r="B29" s="801" t="s">
        <v>1735</v>
      </c>
      <c r="C29" s="304"/>
      <c r="D29" s="304"/>
      <c r="E29" s="304">
        <v>41</v>
      </c>
      <c r="F29" s="304">
        <v>38</v>
      </c>
      <c r="G29" s="304">
        <v>56</v>
      </c>
      <c r="H29" s="304">
        <v>66</v>
      </c>
      <c r="I29" s="304">
        <v>45</v>
      </c>
      <c r="J29" s="304">
        <v>38</v>
      </c>
      <c r="K29" s="304">
        <v>23</v>
      </c>
      <c r="L29" s="304">
        <v>24</v>
      </c>
      <c r="M29" s="304">
        <v>7</v>
      </c>
      <c r="N29" s="812">
        <v>1</v>
      </c>
      <c r="O29" s="1201"/>
      <c r="P29" s="1201"/>
      <c r="Q29" s="95"/>
      <c r="R29" s="801" t="s">
        <v>1735</v>
      </c>
      <c r="S29" s="805"/>
      <c r="T29" s="805"/>
      <c r="U29" s="805">
        <f t="shared" si="51"/>
        <v>12.8125</v>
      </c>
      <c r="V29" s="805">
        <f t="shared" si="52"/>
        <v>10.644257703081234</v>
      </c>
      <c r="W29" s="805">
        <f t="shared" si="53"/>
        <v>9.348914858096828</v>
      </c>
      <c r="X29" s="805">
        <f t="shared" si="54"/>
        <v>10.3125</v>
      </c>
      <c r="Y29" s="805">
        <f t="shared" si="55"/>
        <v>7.3170731707317067</v>
      </c>
      <c r="Z29" s="805">
        <f t="shared" si="56"/>
        <v>4.0169133192388999</v>
      </c>
      <c r="AA29" s="805">
        <f t="shared" si="57"/>
        <v>1.8138801261829653</v>
      </c>
      <c r="AB29" s="805">
        <f t="shared" si="58"/>
        <v>2.0530367835757057</v>
      </c>
      <c r="AC29" s="805">
        <f t="shared" si="59"/>
        <v>1.0852713178294573</v>
      </c>
      <c r="AD29" s="814">
        <f t="shared" si="60"/>
        <v>0.60606060606060608</v>
      </c>
    </row>
    <row r="30" spans="2:30">
      <c r="B30" s="801" t="s">
        <v>1736</v>
      </c>
      <c r="C30" s="304"/>
      <c r="D30" s="304"/>
      <c r="E30" s="304">
        <v>8</v>
      </c>
      <c r="F30" s="304">
        <v>8</v>
      </c>
      <c r="G30" s="304">
        <v>20</v>
      </c>
      <c r="H30" s="304">
        <v>12</v>
      </c>
      <c r="I30" s="304">
        <v>30</v>
      </c>
      <c r="J30" s="304">
        <v>21</v>
      </c>
      <c r="K30" s="304">
        <v>42</v>
      </c>
      <c r="L30" s="304">
        <v>31</v>
      </c>
      <c r="M30" s="304">
        <v>8</v>
      </c>
      <c r="N30" s="812">
        <v>0</v>
      </c>
      <c r="O30" s="1201"/>
      <c r="P30" s="1201"/>
      <c r="Q30" s="95"/>
      <c r="R30" s="801" t="s">
        <v>1736</v>
      </c>
      <c r="S30" s="805"/>
      <c r="T30" s="805"/>
      <c r="U30" s="805">
        <f t="shared" si="51"/>
        <v>2.5</v>
      </c>
      <c r="V30" s="805">
        <f t="shared" si="52"/>
        <v>2.2408963585434174</v>
      </c>
      <c r="W30" s="805">
        <f t="shared" si="53"/>
        <v>3.33889816360601</v>
      </c>
      <c r="X30" s="805">
        <f t="shared" si="54"/>
        <v>1.875</v>
      </c>
      <c r="Y30" s="805">
        <f t="shared" si="55"/>
        <v>4.8780487804878048</v>
      </c>
      <c r="Z30" s="805">
        <f t="shared" si="56"/>
        <v>2.2198731501057081</v>
      </c>
      <c r="AA30" s="805">
        <f t="shared" si="57"/>
        <v>3.3123028391167195</v>
      </c>
      <c r="AB30" s="805">
        <f t="shared" si="58"/>
        <v>2.6518391787852869</v>
      </c>
      <c r="AC30" s="805">
        <f t="shared" si="59"/>
        <v>1.2403100775193798</v>
      </c>
      <c r="AD30" s="814">
        <f t="shared" si="60"/>
        <v>0</v>
      </c>
    </row>
    <row r="31" spans="2:30">
      <c r="B31" s="801" t="s">
        <v>1737</v>
      </c>
      <c r="C31" s="304"/>
      <c r="D31" s="304"/>
      <c r="E31" s="304">
        <v>53</v>
      </c>
      <c r="F31" s="304">
        <v>47</v>
      </c>
      <c r="G31" s="304">
        <v>45</v>
      </c>
      <c r="H31" s="304">
        <v>66</v>
      </c>
      <c r="I31" s="304">
        <v>31</v>
      </c>
      <c r="J31" s="304">
        <v>23</v>
      </c>
      <c r="K31" s="304">
        <v>4</v>
      </c>
      <c r="L31" s="304">
        <v>1</v>
      </c>
      <c r="M31" s="304">
        <v>0</v>
      </c>
      <c r="N31" s="812">
        <v>0</v>
      </c>
      <c r="O31" s="1201"/>
      <c r="P31" s="1201"/>
      <c r="Q31" s="95"/>
      <c r="R31" s="801" t="s">
        <v>1737</v>
      </c>
      <c r="S31" s="805"/>
      <c r="T31" s="805"/>
      <c r="U31" s="805">
        <f t="shared" si="51"/>
        <v>16.5625</v>
      </c>
      <c r="V31" s="805">
        <f t="shared" si="52"/>
        <v>13.165266106442578</v>
      </c>
      <c r="W31" s="805">
        <f t="shared" si="53"/>
        <v>7.5125208681135227</v>
      </c>
      <c r="X31" s="805">
        <f t="shared" si="54"/>
        <v>10.3125</v>
      </c>
      <c r="Y31" s="805">
        <f t="shared" si="55"/>
        <v>5.0406504065040645</v>
      </c>
      <c r="Z31" s="805">
        <f t="shared" si="56"/>
        <v>2.4312896405919662</v>
      </c>
      <c r="AA31" s="805">
        <f t="shared" si="57"/>
        <v>0.31545741324921134</v>
      </c>
      <c r="AB31" s="805">
        <f t="shared" si="58"/>
        <v>8.5543199315654406E-2</v>
      </c>
      <c r="AC31" s="805">
        <f t="shared" si="59"/>
        <v>0</v>
      </c>
      <c r="AD31" s="814">
        <f t="shared" si="60"/>
        <v>0</v>
      </c>
    </row>
    <row r="32" spans="2:30">
      <c r="B32" s="801" t="s">
        <v>1738</v>
      </c>
      <c r="C32" s="304"/>
      <c r="D32" s="304"/>
      <c r="E32" s="304"/>
      <c r="F32" s="304"/>
      <c r="G32" s="304"/>
      <c r="H32" s="304"/>
      <c r="I32" s="304"/>
      <c r="J32" s="304">
        <v>58</v>
      </c>
      <c r="K32" s="304">
        <v>109</v>
      </c>
      <c r="L32" s="304">
        <v>179</v>
      </c>
      <c r="M32" s="304">
        <v>107</v>
      </c>
      <c r="N32" s="812">
        <v>0</v>
      </c>
      <c r="O32" s="1201"/>
      <c r="P32" s="1201"/>
      <c r="Q32" s="95"/>
      <c r="R32" s="801" t="s">
        <v>1738</v>
      </c>
      <c r="S32" s="805"/>
      <c r="T32" s="805"/>
      <c r="U32" s="805">
        <f t="shared" si="51"/>
        <v>0</v>
      </c>
      <c r="V32" s="805">
        <f t="shared" si="52"/>
        <v>0</v>
      </c>
      <c r="W32" s="805">
        <f t="shared" si="53"/>
        <v>0</v>
      </c>
      <c r="X32" s="805">
        <f t="shared" si="54"/>
        <v>0</v>
      </c>
      <c r="Y32" s="805">
        <f t="shared" si="55"/>
        <v>0</v>
      </c>
      <c r="Z32" s="805">
        <f t="shared" si="56"/>
        <v>6.1310782241014792</v>
      </c>
      <c r="AA32" s="805">
        <f t="shared" si="57"/>
        <v>8.5962145110410102</v>
      </c>
      <c r="AB32" s="805">
        <f t="shared" si="58"/>
        <v>15.31223267750214</v>
      </c>
      <c r="AC32" s="805">
        <f t="shared" si="59"/>
        <v>16.589147286821706</v>
      </c>
      <c r="AD32" s="814">
        <f t="shared" si="60"/>
        <v>0</v>
      </c>
    </row>
    <row r="33" spans="2:30">
      <c r="B33" s="801" t="s">
        <v>1739</v>
      </c>
      <c r="C33" s="304"/>
      <c r="D33" s="304"/>
      <c r="E33" s="304">
        <v>7</v>
      </c>
      <c r="F33" s="304">
        <v>0</v>
      </c>
      <c r="G33" s="304">
        <v>4</v>
      </c>
      <c r="H33" s="304">
        <v>10</v>
      </c>
      <c r="I33" s="304">
        <v>20</v>
      </c>
      <c r="J33" s="304">
        <v>29</v>
      </c>
      <c r="K33" s="304">
        <v>38</v>
      </c>
      <c r="L33" s="304">
        <v>50</v>
      </c>
      <c r="M33" s="304">
        <v>76</v>
      </c>
      <c r="N33" s="812">
        <v>35</v>
      </c>
      <c r="O33" s="1201"/>
      <c r="P33" s="1201"/>
      <c r="Q33" s="95"/>
      <c r="R33" s="801" t="s">
        <v>1739</v>
      </c>
      <c r="S33" s="805"/>
      <c r="T33" s="805"/>
      <c r="U33" s="805">
        <f t="shared" si="51"/>
        <v>2.1875</v>
      </c>
      <c r="V33" s="805">
        <f t="shared" si="52"/>
        <v>0</v>
      </c>
      <c r="W33" s="805">
        <f t="shared" si="53"/>
        <v>0.667779632721202</v>
      </c>
      <c r="X33" s="805">
        <f t="shared" si="54"/>
        <v>1.5625</v>
      </c>
      <c r="Y33" s="805">
        <f t="shared" si="55"/>
        <v>3.2520325203252032</v>
      </c>
      <c r="Z33" s="805">
        <f t="shared" si="56"/>
        <v>3.0655391120507396</v>
      </c>
      <c r="AA33" s="805">
        <f t="shared" si="57"/>
        <v>2.9968454258675079</v>
      </c>
      <c r="AB33" s="805">
        <f t="shared" si="58"/>
        <v>4.2771599657827206</v>
      </c>
      <c r="AC33" s="805">
        <f t="shared" si="59"/>
        <v>11.782945736434108</v>
      </c>
      <c r="AD33" s="814">
        <f t="shared" si="60"/>
        <v>21.212121212121215</v>
      </c>
    </row>
    <row r="34" spans="2:30" ht="13.5" thickBot="1">
      <c r="B34" s="802" t="s">
        <v>4</v>
      </c>
      <c r="C34" s="803"/>
      <c r="D34" s="803"/>
      <c r="E34" s="803">
        <f t="shared" ref="E34" si="61">SUM(E27:E33)</f>
        <v>320</v>
      </c>
      <c r="F34" s="803">
        <f t="shared" ref="F34" si="62">SUM(F27:F33)</f>
        <v>357</v>
      </c>
      <c r="G34" s="803">
        <f t="shared" ref="G34" si="63">SUM(G27:G33)</f>
        <v>599</v>
      </c>
      <c r="H34" s="803">
        <f t="shared" ref="H34" si="64">SUM(H27:H33)</f>
        <v>640</v>
      </c>
      <c r="I34" s="803">
        <f t="shared" ref="I34" si="65">SUM(I27:I33)</f>
        <v>615</v>
      </c>
      <c r="J34" s="803">
        <f t="shared" ref="J34" si="66">SUM(J27:J33)</f>
        <v>946</v>
      </c>
      <c r="K34" s="803">
        <f t="shared" ref="K34" si="67">SUM(K27:K33)</f>
        <v>1268</v>
      </c>
      <c r="L34" s="803">
        <f t="shared" ref="L34" si="68">SUM(L27:L33)</f>
        <v>1169</v>
      </c>
      <c r="M34" s="803">
        <f t="shared" ref="M34:N34" si="69">SUM(M27:M33)</f>
        <v>645</v>
      </c>
      <c r="N34" s="813">
        <f t="shared" si="69"/>
        <v>165</v>
      </c>
      <c r="O34" s="1202"/>
      <c r="P34" s="1202"/>
      <c r="Q34" s="153"/>
      <c r="R34" s="802" t="s">
        <v>4</v>
      </c>
      <c r="S34" s="803"/>
      <c r="T34" s="803"/>
      <c r="U34" s="803">
        <f t="shared" ref="U34" si="70">SUM(U27:U33)</f>
        <v>100</v>
      </c>
      <c r="V34" s="803">
        <f t="shared" ref="V34" si="71">SUM(V27:V33)</f>
        <v>100.00000000000001</v>
      </c>
      <c r="W34" s="803">
        <f t="shared" ref="W34" si="72">SUM(W27:W33)</f>
        <v>100.00000000000001</v>
      </c>
      <c r="X34" s="803">
        <f t="shared" ref="X34" si="73">SUM(X27:X33)</f>
        <v>100</v>
      </c>
      <c r="Y34" s="803">
        <f t="shared" ref="Y34" si="74">SUM(Y27:Y33)</f>
        <v>100</v>
      </c>
      <c r="Z34" s="803">
        <f t="shared" ref="Z34" si="75">SUM(Z27:Z33)</f>
        <v>100</v>
      </c>
      <c r="AA34" s="803">
        <f t="shared" ref="AA34" si="76">SUM(AA27:AA33)</f>
        <v>100</v>
      </c>
      <c r="AB34" s="803">
        <f t="shared" ref="AB34" si="77">SUM(AB27:AB33)</f>
        <v>99.999999999999986</v>
      </c>
      <c r="AC34" s="803">
        <f t="shared" ref="AC34" si="78">SUM(AC27:AC33)</f>
        <v>100</v>
      </c>
      <c r="AD34" s="813">
        <f t="shared" si="60"/>
        <v>100</v>
      </c>
    </row>
    <row r="35" spans="2:30">
      <c r="C35" s="95"/>
      <c r="D35" s="95"/>
      <c r="E35" s="95"/>
      <c r="F35" s="95"/>
      <c r="G35" s="153"/>
      <c r="H35" s="153"/>
      <c r="I35" s="95"/>
      <c r="J35" s="95"/>
      <c r="K35" s="95"/>
      <c r="L35" s="95"/>
      <c r="M35" s="95"/>
      <c r="N35" s="95"/>
      <c r="O35" s="95"/>
      <c r="P35" s="95"/>
      <c r="Q35" s="95"/>
    </row>
    <row r="36" spans="2:30">
      <c r="B36" s="148" t="s">
        <v>1867</v>
      </c>
      <c r="I36" s="807" t="s">
        <v>1732</v>
      </c>
    </row>
    <row r="62" spans="2:32">
      <c r="B62" s="804" t="s">
        <v>872</v>
      </c>
      <c r="D62" s="809" t="s">
        <v>1746</v>
      </c>
      <c r="F62" s="135" t="s">
        <v>1742</v>
      </c>
      <c r="R62" s="804" t="str">
        <f>B62</f>
        <v>ALL CASES</v>
      </c>
      <c r="T62" s="809" t="str">
        <f>D62</f>
        <v>New classification</v>
      </c>
      <c r="V62" s="135" t="s">
        <v>18</v>
      </c>
    </row>
    <row r="63" spans="2:32" ht="13.5" thickBot="1"/>
    <row r="64" spans="2:32">
      <c r="B64" s="798" t="s">
        <v>32</v>
      </c>
      <c r="C64" s="799">
        <v>2002</v>
      </c>
      <c r="D64" s="799">
        <v>2003</v>
      </c>
      <c r="E64" s="799">
        <v>2004</v>
      </c>
      <c r="F64" s="799">
        <v>2005</v>
      </c>
      <c r="G64" s="799">
        <v>2006</v>
      </c>
      <c r="H64" s="799">
        <v>2007</v>
      </c>
      <c r="I64" s="799">
        <v>2008</v>
      </c>
      <c r="J64" s="799">
        <v>2009</v>
      </c>
      <c r="K64" s="799">
        <v>2010</v>
      </c>
      <c r="L64" s="799">
        <v>2011</v>
      </c>
      <c r="M64" s="799">
        <v>2012</v>
      </c>
      <c r="N64" s="811">
        <v>2013</v>
      </c>
      <c r="O64" s="1200">
        <v>2014</v>
      </c>
      <c r="P64" s="1200">
        <v>2015</v>
      </c>
      <c r="R64" s="798" t="s">
        <v>32</v>
      </c>
      <c r="S64" s="799">
        <v>2002</v>
      </c>
      <c r="T64" s="799">
        <v>2003</v>
      </c>
      <c r="U64" s="799">
        <v>2004</v>
      </c>
      <c r="V64" s="799">
        <v>2005</v>
      </c>
      <c r="W64" s="799">
        <v>2006</v>
      </c>
      <c r="X64" s="799">
        <v>2007</v>
      </c>
      <c r="Y64" s="799">
        <v>2008</v>
      </c>
      <c r="Z64" s="799">
        <v>2009</v>
      </c>
      <c r="AA64" s="799">
        <v>2010</v>
      </c>
      <c r="AB64" s="799">
        <v>2011</v>
      </c>
      <c r="AC64" s="799">
        <v>2012</v>
      </c>
      <c r="AD64" s="1203">
        <v>2013</v>
      </c>
      <c r="AE64" s="1200">
        <v>2014</v>
      </c>
      <c r="AF64" s="1200">
        <v>2015</v>
      </c>
    </row>
    <row r="65" spans="2:32">
      <c r="B65" s="801" t="s">
        <v>1734</v>
      </c>
      <c r="C65" s="304">
        <f>C7</f>
        <v>3530</v>
      </c>
      <c r="D65" s="304">
        <f t="shared" ref="D65:M65" si="79">D7</f>
        <v>3532</v>
      </c>
      <c r="E65" s="304">
        <f t="shared" si="79"/>
        <v>3662</v>
      </c>
      <c r="F65" s="304">
        <f t="shared" si="79"/>
        <v>4466</v>
      </c>
      <c r="G65" s="304">
        <f t="shared" si="79"/>
        <v>4596</v>
      </c>
      <c r="H65" s="304">
        <f t="shared" si="79"/>
        <v>4284</v>
      </c>
      <c r="I65" s="304">
        <f t="shared" si="79"/>
        <v>4059</v>
      </c>
      <c r="J65" s="304">
        <f t="shared" si="79"/>
        <v>4426</v>
      </c>
      <c r="K65" s="304">
        <f t="shared" si="79"/>
        <v>4364</v>
      </c>
      <c r="L65" s="304">
        <f t="shared" si="79"/>
        <v>4225</v>
      </c>
      <c r="M65" s="304">
        <f t="shared" si="79"/>
        <v>3758</v>
      </c>
      <c r="N65" s="812">
        <f t="shared" ref="N65" si="80">N7</f>
        <v>3006</v>
      </c>
      <c r="O65" s="1201"/>
      <c r="P65" s="1201"/>
      <c r="Q65" s="95"/>
      <c r="R65" s="801" t="s">
        <v>1734</v>
      </c>
      <c r="S65" s="805">
        <f>C65/C$71%</f>
        <v>64.100236063192298</v>
      </c>
      <c r="T65" s="805">
        <f t="shared" ref="T65:T70" si="81">D65/D$71%</f>
        <v>66.465939028980046</v>
      </c>
      <c r="U65" s="805">
        <f t="shared" ref="U65:U70" si="82">E65/E$71%</f>
        <v>62.480805323323665</v>
      </c>
      <c r="V65" s="805">
        <f t="shared" ref="V65:V70" si="83">F65/F$71%</f>
        <v>69.466480012443611</v>
      </c>
      <c r="W65" s="805">
        <f t="shared" ref="W65:W70" si="84">G65/G$71%</f>
        <v>72.859860494610018</v>
      </c>
      <c r="X65" s="805">
        <f t="shared" ref="X65:X70" si="85">H65/H$71%</f>
        <v>73.696886289351454</v>
      </c>
      <c r="Y65" s="805">
        <f t="shared" ref="Y65:Y70" si="86">I65/I$71%</f>
        <v>74.944608567208277</v>
      </c>
      <c r="Z65" s="805">
        <f t="shared" ref="Z65:Z70" si="87">J65/J$71%</f>
        <v>79.518505210204822</v>
      </c>
      <c r="AA65" s="805">
        <f t="shared" ref="AA65:AA70" si="88">K65/K$71%</f>
        <v>81.999248402856068</v>
      </c>
      <c r="AB65" s="805">
        <f t="shared" ref="AB65:AB70" si="89">L65/L$71%</f>
        <v>84.873443149859384</v>
      </c>
      <c r="AC65" s="805">
        <f t="shared" ref="AC65:AD70" si="90">M65/M$71%</f>
        <v>82.994699646643113</v>
      </c>
      <c r="AD65" s="1204">
        <f t="shared" si="90"/>
        <v>78.017129509473136</v>
      </c>
      <c r="AE65" s="1200"/>
      <c r="AF65" s="1200"/>
    </row>
    <row r="66" spans="2:32">
      <c r="B66" s="801" t="s">
        <v>1866</v>
      </c>
      <c r="C66" s="304">
        <f t="shared" ref="C66:M69" si="91">C8</f>
        <v>1160</v>
      </c>
      <c r="D66" s="304">
        <f t="shared" si="91"/>
        <v>1085</v>
      </c>
      <c r="E66" s="304">
        <f t="shared" si="91"/>
        <v>956</v>
      </c>
      <c r="F66" s="304">
        <f t="shared" si="91"/>
        <v>1043</v>
      </c>
      <c r="G66" s="304">
        <f t="shared" si="91"/>
        <v>742</v>
      </c>
      <c r="H66" s="304">
        <f t="shared" si="91"/>
        <v>629</v>
      </c>
      <c r="I66" s="304">
        <f t="shared" si="91"/>
        <v>593</v>
      </c>
      <c r="J66" s="304">
        <f t="shared" si="91"/>
        <v>565</v>
      </c>
      <c r="K66" s="304">
        <f t="shared" si="91"/>
        <v>491</v>
      </c>
      <c r="L66" s="304">
        <f t="shared" si="91"/>
        <v>353</v>
      </c>
      <c r="M66" s="304">
        <f t="shared" si="91"/>
        <v>337</v>
      </c>
      <c r="N66" s="812">
        <f t="shared" ref="N66" si="92">N8</f>
        <v>414</v>
      </c>
      <c r="O66" s="1201"/>
      <c r="P66" s="1201"/>
      <c r="Q66" s="95"/>
      <c r="R66" s="801" t="s">
        <v>1866</v>
      </c>
      <c r="S66" s="805">
        <f t="shared" ref="S66:S70" si="93">C66/C$71%</f>
        <v>21.064100236063194</v>
      </c>
      <c r="T66" s="805">
        <f t="shared" si="81"/>
        <v>20.417764395935265</v>
      </c>
      <c r="U66" s="805">
        <f t="shared" si="82"/>
        <v>16.311209691178981</v>
      </c>
      <c r="V66" s="805">
        <f t="shared" si="83"/>
        <v>16.223362886918647</v>
      </c>
      <c r="W66" s="805">
        <f t="shared" si="84"/>
        <v>11.762840837032341</v>
      </c>
      <c r="X66" s="805">
        <f t="shared" si="85"/>
        <v>10.820574574230173</v>
      </c>
      <c r="Y66" s="805">
        <f t="shared" si="86"/>
        <v>10.949039881831611</v>
      </c>
      <c r="Z66" s="805">
        <f t="shared" si="87"/>
        <v>10.150916277398492</v>
      </c>
      <c r="AA66" s="805">
        <f t="shared" si="88"/>
        <v>9.225854941751221</v>
      </c>
      <c r="AB66" s="805">
        <f t="shared" si="89"/>
        <v>7.09120128565689</v>
      </c>
      <c r="AC66" s="805">
        <f t="shared" si="90"/>
        <v>7.4425795053003529</v>
      </c>
      <c r="AD66" s="1204">
        <f t="shared" si="90"/>
        <v>10.744874124059175</v>
      </c>
      <c r="AE66" s="1200"/>
      <c r="AF66" s="1200"/>
    </row>
    <row r="67" spans="2:32">
      <c r="B67" s="801" t="s">
        <v>1735</v>
      </c>
      <c r="C67" s="304">
        <f t="shared" si="91"/>
        <v>42</v>
      </c>
      <c r="D67" s="304">
        <f t="shared" si="91"/>
        <v>102</v>
      </c>
      <c r="E67" s="304">
        <f t="shared" si="91"/>
        <v>205</v>
      </c>
      <c r="F67" s="304">
        <f t="shared" si="91"/>
        <v>292</v>
      </c>
      <c r="G67" s="304">
        <f t="shared" si="91"/>
        <v>355</v>
      </c>
      <c r="H67" s="304">
        <f t="shared" si="91"/>
        <v>347</v>
      </c>
      <c r="I67" s="304">
        <f t="shared" si="91"/>
        <v>227</v>
      </c>
      <c r="J67" s="304">
        <f t="shared" si="91"/>
        <v>161</v>
      </c>
      <c r="K67" s="304">
        <f t="shared" si="91"/>
        <v>88</v>
      </c>
      <c r="L67" s="304">
        <f t="shared" si="91"/>
        <v>121</v>
      </c>
      <c r="M67" s="304">
        <f t="shared" si="91"/>
        <v>129</v>
      </c>
      <c r="N67" s="812">
        <f t="shared" ref="N67" si="94">N9</f>
        <v>74</v>
      </c>
      <c r="O67" s="1201"/>
      <c r="P67" s="1201"/>
      <c r="Q67" s="95"/>
      <c r="R67" s="801" t="s">
        <v>1735</v>
      </c>
      <c r="S67" s="805">
        <f t="shared" si="93"/>
        <v>0.76266569820228802</v>
      </c>
      <c r="T67" s="805">
        <f t="shared" si="81"/>
        <v>1.9194580353782462</v>
      </c>
      <c r="U67" s="805">
        <f t="shared" si="82"/>
        <v>3.49769663879884</v>
      </c>
      <c r="V67" s="805">
        <f t="shared" si="83"/>
        <v>4.5419194275937151</v>
      </c>
      <c r="W67" s="805">
        <f t="shared" si="84"/>
        <v>5.627774254914395</v>
      </c>
      <c r="X67" s="805">
        <f t="shared" si="85"/>
        <v>5.9693789781524167</v>
      </c>
      <c r="Y67" s="805">
        <f t="shared" si="86"/>
        <v>4.1912850812407685</v>
      </c>
      <c r="Z67" s="805">
        <f t="shared" si="87"/>
        <v>2.8925619834710745</v>
      </c>
      <c r="AA67" s="805">
        <f t="shared" si="88"/>
        <v>1.6535137166478768</v>
      </c>
      <c r="AB67" s="805">
        <f t="shared" si="89"/>
        <v>2.4306950582563278</v>
      </c>
      <c r="AC67" s="805">
        <f t="shared" si="90"/>
        <v>2.8489399293286217</v>
      </c>
      <c r="AD67" s="1204">
        <f t="shared" si="90"/>
        <v>1.9205813651699974</v>
      </c>
      <c r="AE67" s="1200"/>
      <c r="AF67" s="1200"/>
    </row>
    <row r="68" spans="2:32">
      <c r="B68" s="801" t="s">
        <v>1736</v>
      </c>
      <c r="C68" s="304">
        <f t="shared" si="91"/>
        <v>134</v>
      </c>
      <c r="D68" s="304">
        <f t="shared" si="91"/>
        <v>152</v>
      </c>
      <c r="E68" s="304">
        <f t="shared" si="91"/>
        <v>190</v>
      </c>
      <c r="F68" s="304">
        <f t="shared" si="91"/>
        <v>232</v>
      </c>
      <c r="G68" s="304">
        <f t="shared" si="91"/>
        <v>236</v>
      </c>
      <c r="H68" s="304">
        <f t="shared" si="91"/>
        <v>258</v>
      </c>
      <c r="I68" s="304">
        <f t="shared" si="91"/>
        <v>227</v>
      </c>
      <c r="J68" s="304">
        <f t="shared" si="91"/>
        <v>204</v>
      </c>
      <c r="K68" s="304">
        <f t="shared" si="91"/>
        <v>181</v>
      </c>
      <c r="L68" s="304">
        <f t="shared" si="91"/>
        <v>144</v>
      </c>
      <c r="M68" s="304">
        <f t="shared" si="91"/>
        <v>115</v>
      </c>
      <c r="N68" s="812">
        <f t="shared" ref="N68" si="95">N10</f>
        <v>128</v>
      </c>
      <c r="O68" s="1201"/>
      <c r="P68" s="1201"/>
      <c r="Q68" s="95"/>
      <c r="R68" s="801" t="s">
        <v>1736</v>
      </c>
      <c r="S68" s="805">
        <f t="shared" si="93"/>
        <v>2.4332667514072996</v>
      </c>
      <c r="T68" s="805">
        <f t="shared" si="81"/>
        <v>2.8603688370342493</v>
      </c>
      <c r="U68" s="805">
        <f t="shared" si="82"/>
        <v>3.2417676164477052</v>
      </c>
      <c r="V68" s="805">
        <f t="shared" si="83"/>
        <v>3.6086483123347328</v>
      </c>
      <c r="W68" s="805">
        <f t="shared" si="84"/>
        <v>3.741280913126189</v>
      </c>
      <c r="X68" s="805">
        <f t="shared" si="85"/>
        <v>4.4383278857732664</v>
      </c>
      <c r="Y68" s="805">
        <f t="shared" si="86"/>
        <v>4.1912850812407685</v>
      </c>
      <c r="Z68" s="805">
        <f t="shared" si="87"/>
        <v>3.6651095939633493</v>
      </c>
      <c r="AA68" s="805">
        <f t="shared" si="88"/>
        <v>3.4009770762871101</v>
      </c>
      <c r="AB68" s="805">
        <f t="shared" si="89"/>
        <v>2.8927280032141423</v>
      </c>
      <c r="AC68" s="805">
        <f t="shared" si="90"/>
        <v>2.5397526501766783</v>
      </c>
      <c r="AD68" s="1204">
        <f t="shared" si="90"/>
        <v>3.3220866856994551</v>
      </c>
      <c r="AE68" s="1200"/>
      <c r="AF68" s="1200"/>
    </row>
    <row r="69" spans="2:32">
      <c r="B69" s="801" t="s">
        <v>1737</v>
      </c>
      <c r="C69" s="304">
        <f t="shared" si="91"/>
        <v>641</v>
      </c>
      <c r="D69" s="304">
        <f t="shared" si="91"/>
        <v>443</v>
      </c>
      <c r="E69" s="304">
        <f t="shared" si="91"/>
        <v>343</v>
      </c>
      <c r="F69" s="304">
        <f t="shared" si="91"/>
        <v>289</v>
      </c>
      <c r="G69" s="304">
        <f t="shared" si="91"/>
        <v>257</v>
      </c>
      <c r="H69" s="304">
        <f t="shared" si="91"/>
        <v>175</v>
      </c>
      <c r="I69" s="304">
        <f t="shared" si="91"/>
        <v>169</v>
      </c>
      <c r="J69" s="304">
        <f t="shared" si="91"/>
        <v>84</v>
      </c>
      <c r="K69" s="304">
        <f t="shared" si="91"/>
        <v>74</v>
      </c>
      <c r="L69" s="304">
        <f t="shared" si="91"/>
        <v>27</v>
      </c>
      <c r="M69" s="304">
        <f t="shared" si="91"/>
        <v>24</v>
      </c>
      <c r="N69" s="812">
        <f t="shared" ref="N69" si="96">N11</f>
        <v>24</v>
      </c>
      <c r="O69" s="1201"/>
      <c r="P69" s="1201"/>
      <c r="Q69" s="95"/>
      <c r="R69" s="801" t="s">
        <v>1737</v>
      </c>
      <c r="S69" s="805">
        <f t="shared" si="93"/>
        <v>11.639731251134918</v>
      </c>
      <c r="T69" s="805">
        <f t="shared" si="81"/>
        <v>8.3364697026721863</v>
      </c>
      <c r="U69" s="805">
        <f t="shared" si="82"/>
        <v>5.8522436444292785</v>
      </c>
      <c r="V69" s="805">
        <f t="shared" si="83"/>
        <v>4.495255871830766</v>
      </c>
      <c r="W69" s="805">
        <f t="shared" si="84"/>
        <v>4.0741915028535196</v>
      </c>
      <c r="X69" s="805">
        <f t="shared" si="85"/>
        <v>3.0104937209702389</v>
      </c>
      <c r="Y69" s="805">
        <f t="shared" si="86"/>
        <v>3.1203840472673563</v>
      </c>
      <c r="Z69" s="805">
        <f t="shared" si="87"/>
        <v>1.5091627739849085</v>
      </c>
      <c r="AA69" s="805">
        <f t="shared" si="88"/>
        <v>1.3904547162720782</v>
      </c>
      <c r="AB69" s="805">
        <f t="shared" si="89"/>
        <v>0.5423865006026517</v>
      </c>
      <c r="AC69" s="805">
        <f t="shared" si="90"/>
        <v>0.53003533568904593</v>
      </c>
      <c r="AD69" s="1204">
        <f t="shared" si="90"/>
        <v>0.62289125356864783</v>
      </c>
      <c r="AE69" s="1200"/>
      <c r="AF69" s="1200"/>
    </row>
    <row r="70" spans="2:32">
      <c r="B70" s="801" t="s">
        <v>1739</v>
      </c>
      <c r="C70" s="304">
        <f>C13</f>
        <v>0</v>
      </c>
      <c r="D70" s="304">
        <f t="shared" ref="D70:M70" si="97">D13</f>
        <v>0</v>
      </c>
      <c r="E70" s="304">
        <f t="shared" si="97"/>
        <v>505</v>
      </c>
      <c r="F70" s="304">
        <f t="shared" si="97"/>
        <v>107</v>
      </c>
      <c r="G70" s="304">
        <f t="shared" si="97"/>
        <v>122</v>
      </c>
      <c r="H70" s="304">
        <f t="shared" si="97"/>
        <v>120</v>
      </c>
      <c r="I70" s="304">
        <f t="shared" si="97"/>
        <v>141</v>
      </c>
      <c r="J70" s="304">
        <f t="shared" si="97"/>
        <v>126</v>
      </c>
      <c r="K70" s="304">
        <f t="shared" si="97"/>
        <v>124</v>
      </c>
      <c r="L70" s="304">
        <f t="shared" si="97"/>
        <v>108</v>
      </c>
      <c r="M70" s="304">
        <f t="shared" si="97"/>
        <v>165</v>
      </c>
      <c r="N70" s="812">
        <f t="shared" ref="N70" si="98">N13</f>
        <v>207</v>
      </c>
      <c r="O70" s="1201"/>
      <c r="P70" s="1201"/>
      <c r="Q70" s="95"/>
      <c r="R70" s="801" t="s">
        <v>1739</v>
      </c>
      <c r="S70" s="805">
        <f t="shared" si="93"/>
        <v>0</v>
      </c>
      <c r="T70" s="805">
        <f t="shared" si="81"/>
        <v>0</v>
      </c>
      <c r="U70" s="805">
        <f t="shared" si="82"/>
        <v>8.6162770858215314</v>
      </c>
      <c r="V70" s="805">
        <f t="shared" si="83"/>
        <v>1.6643334888785191</v>
      </c>
      <c r="W70" s="805">
        <f t="shared" si="84"/>
        <v>1.9340519974635384</v>
      </c>
      <c r="X70" s="805">
        <f t="shared" si="85"/>
        <v>2.0643385515224497</v>
      </c>
      <c r="Y70" s="805">
        <f t="shared" si="86"/>
        <v>2.6033973412112261</v>
      </c>
      <c r="Z70" s="805">
        <f t="shared" si="87"/>
        <v>2.2637441609773625</v>
      </c>
      <c r="AA70" s="805">
        <f t="shared" si="88"/>
        <v>2.3299511461856444</v>
      </c>
      <c r="AB70" s="805">
        <f t="shared" si="89"/>
        <v>2.1695460024106068</v>
      </c>
      <c r="AC70" s="805">
        <f t="shared" si="90"/>
        <v>3.6439929328621905</v>
      </c>
      <c r="AD70" s="1204">
        <f t="shared" si="90"/>
        <v>5.3724370620295874</v>
      </c>
      <c r="AE70" s="1200"/>
      <c r="AF70" s="1200"/>
    </row>
    <row r="71" spans="2:32" ht="13.5" thickBot="1">
      <c r="B71" s="802" t="s">
        <v>4</v>
      </c>
      <c r="C71" s="803">
        <f t="shared" ref="C71:N71" si="99">SUM(C65:C70)</f>
        <v>5507</v>
      </c>
      <c r="D71" s="803">
        <f t="shared" si="99"/>
        <v>5314</v>
      </c>
      <c r="E71" s="803">
        <f t="shared" si="99"/>
        <v>5861</v>
      </c>
      <c r="F71" s="803">
        <f t="shared" si="99"/>
        <v>6429</v>
      </c>
      <c r="G71" s="803">
        <f t="shared" si="99"/>
        <v>6308</v>
      </c>
      <c r="H71" s="803">
        <f t="shared" si="99"/>
        <v>5813</v>
      </c>
      <c r="I71" s="803">
        <f t="shared" si="99"/>
        <v>5416</v>
      </c>
      <c r="J71" s="803">
        <f t="shared" si="99"/>
        <v>5566</v>
      </c>
      <c r="K71" s="803">
        <f t="shared" si="99"/>
        <v>5322</v>
      </c>
      <c r="L71" s="803">
        <f t="shared" si="99"/>
        <v>4978</v>
      </c>
      <c r="M71" s="803">
        <f t="shared" si="99"/>
        <v>4528</v>
      </c>
      <c r="N71" s="813">
        <f t="shared" si="99"/>
        <v>3853</v>
      </c>
      <c r="O71" s="1202"/>
      <c r="P71" s="1202"/>
      <c r="Q71" s="95"/>
      <c r="R71" s="802" t="s">
        <v>4</v>
      </c>
      <c r="S71" s="803">
        <f t="shared" ref="S71:AC71" si="100">SUM(S65:S70)</f>
        <v>100</v>
      </c>
      <c r="T71" s="803">
        <f t="shared" si="100"/>
        <v>99.999999999999986</v>
      </c>
      <c r="U71" s="803">
        <f t="shared" si="100"/>
        <v>100.00000000000001</v>
      </c>
      <c r="V71" s="803">
        <f t="shared" si="100"/>
        <v>100</v>
      </c>
      <c r="W71" s="803">
        <f t="shared" si="100"/>
        <v>100.00000000000001</v>
      </c>
      <c r="X71" s="803">
        <f t="shared" si="100"/>
        <v>100.00000000000001</v>
      </c>
      <c r="Y71" s="803">
        <f t="shared" si="100"/>
        <v>99.999999999999986</v>
      </c>
      <c r="Z71" s="803">
        <f t="shared" si="100"/>
        <v>100.00000000000001</v>
      </c>
      <c r="AA71" s="803">
        <f t="shared" si="100"/>
        <v>100</v>
      </c>
      <c r="AB71" s="803">
        <f t="shared" si="100"/>
        <v>100.00000000000001</v>
      </c>
      <c r="AC71" s="803">
        <f t="shared" si="100"/>
        <v>100.00000000000001</v>
      </c>
      <c r="AD71" s="815">
        <f>N71/N$71%</f>
        <v>100</v>
      </c>
      <c r="AE71" s="1200"/>
      <c r="AF71" s="1200"/>
    </row>
    <row r="72" spans="2:32" ht="13.5" thickBot="1"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</row>
    <row r="73" spans="2:32">
      <c r="B73" s="798" t="s">
        <v>1740</v>
      </c>
      <c r="C73" s="799">
        <v>2002</v>
      </c>
      <c r="D73" s="799">
        <v>2003</v>
      </c>
      <c r="E73" s="799">
        <v>2004</v>
      </c>
      <c r="F73" s="799">
        <v>2005</v>
      </c>
      <c r="G73" s="799">
        <v>2006</v>
      </c>
      <c r="H73" s="799">
        <v>2007</v>
      </c>
      <c r="I73" s="799">
        <v>2008</v>
      </c>
      <c r="J73" s="799">
        <v>2009</v>
      </c>
      <c r="K73" s="799">
        <v>2010</v>
      </c>
      <c r="L73" s="799">
        <v>2011</v>
      </c>
      <c r="M73" s="799">
        <v>2012</v>
      </c>
      <c r="N73" s="811">
        <v>2013</v>
      </c>
      <c r="O73" s="1200">
        <v>2014</v>
      </c>
      <c r="P73" s="1200">
        <v>2015</v>
      </c>
      <c r="Q73" s="95"/>
      <c r="R73" s="798" t="s">
        <v>1740</v>
      </c>
      <c r="S73" s="799">
        <v>2002</v>
      </c>
      <c r="T73" s="799">
        <v>2003</v>
      </c>
      <c r="U73" s="799">
        <v>2004</v>
      </c>
      <c r="V73" s="799">
        <v>2005</v>
      </c>
      <c r="W73" s="799">
        <v>2006</v>
      </c>
      <c r="X73" s="799">
        <v>2007</v>
      </c>
      <c r="Y73" s="799">
        <v>2008</v>
      </c>
      <c r="Z73" s="799">
        <v>2009</v>
      </c>
      <c r="AA73" s="799">
        <v>2010</v>
      </c>
      <c r="AB73" s="799">
        <v>2011</v>
      </c>
      <c r="AC73" s="799">
        <v>2012</v>
      </c>
      <c r="AD73" s="811">
        <v>2013</v>
      </c>
      <c r="AE73" s="1200">
        <v>2014</v>
      </c>
      <c r="AF73" s="1200">
        <v>2015</v>
      </c>
    </row>
    <row r="74" spans="2:32">
      <c r="B74" s="801" t="s">
        <v>1734</v>
      </c>
      <c r="C74" s="304"/>
      <c r="D74" s="304"/>
      <c r="E74" s="304">
        <f t="shared" ref="E74:M74" si="101">E17</f>
        <v>3491</v>
      </c>
      <c r="F74" s="304">
        <f t="shared" si="101"/>
        <v>4232</v>
      </c>
      <c r="G74" s="304">
        <f t="shared" si="101"/>
        <v>4202</v>
      </c>
      <c r="H74" s="304">
        <f t="shared" si="101"/>
        <v>3873</v>
      </c>
      <c r="I74" s="304">
        <f t="shared" si="101"/>
        <v>3604</v>
      </c>
      <c r="J74" s="304">
        <f t="shared" si="101"/>
        <v>3703</v>
      </c>
      <c r="K74" s="304">
        <f t="shared" si="101"/>
        <v>3350</v>
      </c>
      <c r="L74" s="304">
        <f t="shared" si="101"/>
        <v>3353</v>
      </c>
      <c r="M74" s="304">
        <f t="shared" si="101"/>
        <v>3317</v>
      </c>
      <c r="N74" s="812">
        <f>N17</f>
        <v>2885</v>
      </c>
      <c r="O74" s="1201"/>
      <c r="P74" s="1201"/>
      <c r="Q74" s="95"/>
      <c r="R74" s="801" t="s">
        <v>1734</v>
      </c>
      <c r="S74" s="805"/>
      <c r="T74" s="805"/>
      <c r="U74" s="805">
        <f>E74/E$80%</f>
        <v>63.003068038260245</v>
      </c>
      <c r="V74" s="805">
        <f t="shared" ref="V74:V79" si="102">F74/F$80%</f>
        <v>69.696969696969703</v>
      </c>
      <c r="W74" s="805">
        <f t="shared" ref="W74:W79" si="103">G74/G$80%</f>
        <v>73.603082851637765</v>
      </c>
      <c r="X74" s="805">
        <f t="shared" ref="X74:X79" si="104">H74/H$80%</f>
        <v>74.869514788323997</v>
      </c>
      <c r="Y74" s="805">
        <f t="shared" ref="Y74:Y79" si="105">I74/I$80%</f>
        <v>75.067694230368673</v>
      </c>
      <c r="Z74" s="805">
        <f t="shared" ref="Z74:Z79" si="106">J74/J$80%</f>
        <v>79.157759726378799</v>
      </c>
      <c r="AA74" s="805">
        <f t="shared" ref="AA74:AA79" si="107">K74/K$80%</f>
        <v>80.470814316598606</v>
      </c>
      <c r="AB74" s="805">
        <f t="shared" ref="AB74:AB79" si="108">L74/L$80%</f>
        <v>84.077231695085246</v>
      </c>
      <c r="AC74" s="805">
        <f t="shared" ref="AC74:AD79" si="109">M74/M$80%</f>
        <v>83.132832080200501</v>
      </c>
      <c r="AD74" s="814">
        <f t="shared" si="109"/>
        <v>78.226681127982644</v>
      </c>
      <c r="AE74" s="1200"/>
      <c r="AF74" s="1200"/>
    </row>
    <row r="75" spans="2:32">
      <c r="B75" s="801" t="s">
        <v>1866</v>
      </c>
      <c r="C75" s="304"/>
      <c r="D75" s="304"/>
      <c r="E75" s="304">
        <f t="shared" ref="E75:N78" si="110">E18</f>
        <v>916</v>
      </c>
      <c r="F75" s="304">
        <f t="shared" si="110"/>
        <v>1013</v>
      </c>
      <c r="G75" s="304">
        <f t="shared" si="110"/>
        <v>662</v>
      </c>
      <c r="H75" s="304">
        <f t="shared" si="110"/>
        <v>554</v>
      </c>
      <c r="I75" s="304">
        <f t="shared" si="110"/>
        <v>559</v>
      </c>
      <c r="J75" s="304">
        <f t="shared" si="110"/>
        <v>511</v>
      </c>
      <c r="K75" s="304">
        <f t="shared" si="110"/>
        <v>453</v>
      </c>
      <c r="L75" s="304">
        <f t="shared" si="110"/>
        <v>341</v>
      </c>
      <c r="M75" s="304">
        <f t="shared" si="110"/>
        <v>331</v>
      </c>
      <c r="N75" s="812">
        <f t="shared" si="110"/>
        <v>406</v>
      </c>
      <c r="O75" s="1201"/>
      <c r="P75" s="1201"/>
      <c r="Q75" s="95"/>
      <c r="R75" s="801" t="s">
        <v>1866</v>
      </c>
      <c r="S75" s="805"/>
      <c r="T75" s="805"/>
      <c r="U75" s="805">
        <f t="shared" ref="U75:U79" si="111">E75/E$80%</f>
        <v>16.531312037538353</v>
      </c>
      <c r="V75" s="805">
        <f t="shared" si="102"/>
        <v>16.683135704874836</v>
      </c>
      <c r="W75" s="805">
        <f t="shared" si="103"/>
        <v>11.595726046593098</v>
      </c>
      <c r="X75" s="805">
        <f t="shared" si="104"/>
        <v>10.709452928668085</v>
      </c>
      <c r="Y75" s="805">
        <f t="shared" si="105"/>
        <v>11.64340762341179</v>
      </c>
      <c r="Z75" s="805">
        <f t="shared" si="106"/>
        <v>10.923471569046601</v>
      </c>
      <c r="AA75" s="805">
        <f t="shared" si="107"/>
        <v>10.881575786692288</v>
      </c>
      <c r="AB75" s="805">
        <f t="shared" si="108"/>
        <v>8.5506519558676022</v>
      </c>
      <c r="AC75" s="805">
        <f t="shared" si="109"/>
        <v>8.2957393483709279</v>
      </c>
      <c r="AD75" s="814">
        <f t="shared" si="109"/>
        <v>11.008676789587852</v>
      </c>
      <c r="AE75" s="1200"/>
      <c r="AF75" s="1200"/>
    </row>
    <row r="76" spans="2:32">
      <c r="B76" s="801" t="s">
        <v>1735</v>
      </c>
      <c r="C76" s="304"/>
      <c r="D76" s="304"/>
      <c r="E76" s="304">
        <f t="shared" si="110"/>
        <v>164</v>
      </c>
      <c r="F76" s="304">
        <f t="shared" si="110"/>
        <v>254</v>
      </c>
      <c r="G76" s="304">
        <f t="shared" si="110"/>
        <v>299</v>
      </c>
      <c r="H76" s="304">
        <f t="shared" si="110"/>
        <v>281</v>
      </c>
      <c r="I76" s="304">
        <f t="shared" si="110"/>
        <v>182</v>
      </c>
      <c r="J76" s="304">
        <f t="shared" si="110"/>
        <v>123</v>
      </c>
      <c r="K76" s="304">
        <f t="shared" si="110"/>
        <v>65</v>
      </c>
      <c r="L76" s="304">
        <f t="shared" si="110"/>
        <v>97</v>
      </c>
      <c r="M76" s="304">
        <f t="shared" si="110"/>
        <v>122</v>
      </c>
      <c r="N76" s="812">
        <f t="shared" si="110"/>
        <v>73</v>
      </c>
      <c r="O76" s="1201"/>
      <c r="P76" s="1201"/>
      <c r="Q76" s="95"/>
      <c r="R76" s="801" t="s">
        <v>1735</v>
      </c>
      <c r="S76" s="805"/>
      <c r="T76" s="805"/>
      <c r="U76" s="805">
        <f t="shared" si="111"/>
        <v>2.9597545569391808</v>
      </c>
      <c r="V76" s="805">
        <f t="shared" si="102"/>
        <v>4.183135704874835</v>
      </c>
      <c r="W76" s="805">
        <f t="shared" si="103"/>
        <v>5.2373445437029247</v>
      </c>
      <c r="X76" s="805">
        <f t="shared" si="104"/>
        <v>5.4320510342161228</v>
      </c>
      <c r="Y76" s="805">
        <f t="shared" si="105"/>
        <v>3.7908769006456988</v>
      </c>
      <c r="Z76" s="805">
        <f t="shared" si="106"/>
        <v>2.629328772979906</v>
      </c>
      <c r="AA76" s="805">
        <f t="shared" si="107"/>
        <v>1.5613740091280326</v>
      </c>
      <c r="AB76" s="805">
        <f t="shared" si="108"/>
        <v>2.4322968906720157</v>
      </c>
      <c r="AC76" s="805">
        <f t="shared" si="109"/>
        <v>3.0576441102756893</v>
      </c>
      <c r="AD76" s="814">
        <f t="shared" si="109"/>
        <v>1.9793926247288502</v>
      </c>
      <c r="AE76" s="1200"/>
      <c r="AF76" s="1200"/>
    </row>
    <row r="77" spans="2:32">
      <c r="B77" s="801" t="s">
        <v>1736</v>
      </c>
      <c r="C77" s="304"/>
      <c r="D77" s="304"/>
      <c r="E77" s="304">
        <f t="shared" si="110"/>
        <v>182</v>
      </c>
      <c r="F77" s="304">
        <f t="shared" si="110"/>
        <v>224</v>
      </c>
      <c r="G77" s="304">
        <f t="shared" si="110"/>
        <v>216</v>
      </c>
      <c r="H77" s="304">
        <f t="shared" si="110"/>
        <v>246</v>
      </c>
      <c r="I77" s="304">
        <f t="shared" si="110"/>
        <v>197</v>
      </c>
      <c r="J77" s="304">
        <f t="shared" si="110"/>
        <v>183</v>
      </c>
      <c r="K77" s="304">
        <f t="shared" si="110"/>
        <v>139</v>
      </c>
      <c r="L77" s="304">
        <f t="shared" si="110"/>
        <v>113</v>
      </c>
      <c r="M77" s="304">
        <f t="shared" si="110"/>
        <v>107</v>
      </c>
      <c r="N77" s="812">
        <f t="shared" si="110"/>
        <v>128</v>
      </c>
      <c r="O77" s="1201"/>
      <c r="P77" s="1201"/>
      <c r="Q77" s="95"/>
      <c r="R77" s="801" t="s">
        <v>1736</v>
      </c>
      <c r="S77" s="805"/>
      <c r="T77" s="805"/>
      <c r="U77" s="805">
        <f t="shared" si="111"/>
        <v>3.2846056668471397</v>
      </c>
      <c r="V77" s="805">
        <f t="shared" si="102"/>
        <v>3.6890645586297759</v>
      </c>
      <c r="W77" s="805">
        <f t="shared" si="103"/>
        <v>3.7834997372569625</v>
      </c>
      <c r="X77" s="805">
        <f t="shared" si="104"/>
        <v>4.7554610477479224</v>
      </c>
      <c r="Y77" s="805">
        <f t="shared" si="105"/>
        <v>4.1033118100395756</v>
      </c>
      <c r="Z77" s="805">
        <f t="shared" si="106"/>
        <v>3.9119281744335184</v>
      </c>
      <c r="AA77" s="805">
        <f t="shared" si="107"/>
        <v>3.3389382656737929</v>
      </c>
      <c r="AB77" s="805">
        <f t="shared" si="108"/>
        <v>2.8335005015045134</v>
      </c>
      <c r="AC77" s="805">
        <f t="shared" si="109"/>
        <v>2.681704260651629</v>
      </c>
      <c r="AD77" s="814">
        <f t="shared" si="109"/>
        <v>3.4707158351409975</v>
      </c>
      <c r="AE77" s="1200"/>
      <c r="AF77" s="1200"/>
    </row>
    <row r="78" spans="2:32">
      <c r="B78" s="801" t="s">
        <v>1737</v>
      </c>
      <c r="C78" s="304"/>
      <c r="D78" s="304"/>
      <c r="E78" s="304">
        <f t="shared" si="110"/>
        <v>290</v>
      </c>
      <c r="F78" s="304">
        <f t="shared" si="110"/>
        <v>242</v>
      </c>
      <c r="G78" s="304">
        <f t="shared" si="110"/>
        <v>212</v>
      </c>
      <c r="H78" s="304">
        <f t="shared" si="110"/>
        <v>109</v>
      </c>
      <c r="I78" s="304">
        <f t="shared" si="110"/>
        <v>138</v>
      </c>
      <c r="J78" s="304">
        <f t="shared" si="110"/>
        <v>61</v>
      </c>
      <c r="K78" s="304">
        <f t="shared" si="110"/>
        <v>70</v>
      </c>
      <c r="L78" s="304">
        <f t="shared" si="110"/>
        <v>26</v>
      </c>
      <c r="M78" s="304">
        <f t="shared" si="110"/>
        <v>24</v>
      </c>
      <c r="N78" s="812">
        <f t="shared" si="110"/>
        <v>24</v>
      </c>
      <c r="O78" s="1201"/>
      <c r="P78" s="1201"/>
      <c r="Q78" s="95"/>
      <c r="R78" s="801" t="s">
        <v>1737</v>
      </c>
      <c r="S78" s="805"/>
      <c r="T78" s="805"/>
      <c r="U78" s="805">
        <f t="shared" si="111"/>
        <v>5.233712326294893</v>
      </c>
      <c r="V78" s="805">
        <f t="shared" si="102"/>
        <v>3.9855072463768115</v>
      </c>
      <c r="W78" s="805">
        <f t="shared" si="103"/>
        <v>3.7134349273077594</v>
      </c>
      <c r="X78" s="805">
        <f t="shared" si="104"/>
        <v>2.1070945292866812</v>
      </c>
      <c r="Y78" s="805">
        <f t="shared" si="105"/>
        <v>2.8744011664236617</v>
      </c>
      <c r="Z78" s="805">
        <f t="shared" si="106"/>
        <v>1.3039760581445061</v>
      </c>
      <c r="AA78" s="805">
        <f t="shared" si="107"/>
        <v>1.6814797021378813</v>
      </c>
      <c r="AB78" s="805">
        <f t="shared" si="108"/>
        <v>0.65195586760280844</v>
      </c>
      <c r="AC78" s="805">
        <f t="shared" si="109"/>
        <v>0.60150375939849621</v>
      </c>
      <c r="AD78" s="814">
        <f t="shared" si="109"/>
        <v>0.65075921908893708</v>
      </c>
      <c r="AE78" s="1200"/>
      <c r="AF78" s="1200"/>
    </row>
    <row r="79" spans="2:32">
      <c r="B79" s="801" t="s">
        <v>1739</v>
      </c>
      <c r="C79" s="304"/>
      <c r="D79" s="304"/>
      <c r="E79" s="304">
        <f t="shared" ref="E79:M79" si="112">E23</f>
        <v>498</v>
      </c>
      <c r="F79" s="304">
        <f t="shared" si="112"/>
        <v>107</v>
      </c>
      <c r="G79" s="304">
        <f t="shared" si="112"/>
        <v>118</v>
      </c>
      <c r="H79" s="304">
        <f t="shared" si="112"/>
        <v>110</v>
      </c>
      <c r="I79" s="304">
        <f t="shared" si="112"/>
        <v>121</v>
      </c>
      <c r="J79" s="304">
        <f t="shared" si="112"/>
        <v>97</v>
      </c>
      <c r="K79" s="304">
        <f t="shared" si="112"/>
        <v>86</v>
      </c>
      <c r="L79" s="304">
        <f t="shared" si="112"/>
        <v>58</v>
      </c>
      <c r="M79" s="304">
        <f t="shared" si="112"/>
        <v>89</v>
      </c>
      <c r="N79" s="812">
        <f>N23</f>
        <v>172</v>
      </c>
      <c r="O79" s="1201"/>
      <c r="P79" s="1201"/>
      <c r="Q79" s="95"/>
      <c r="R79" s="801" t="s">
        <v>1739</v>
      </c>
      <c r="S79" s="805"/>
      <c r="T79" s="805"/>
      <c r="U79" s="805">
        <f t="shared" si="111"/>
        <v>8.9875473741201954</v>
      </c>
      <c r="V79" s="805">
        <f t="shared" si="102"/>
        <v>1.7621870882740449</v>
      </c>
      <c r="W79" s="805">
        <f t="shared" si="103"/>
        <v>2.066911893501489</v>
      </c>
      <c r="X79" s="805">
        <f t="shared" si="104"/>
        <v>2.1264256717572008</v>
      </c>
      <c r="Y79" s="805">
        <f t="shared" si="105"/>
        <v>2.5203082691106022</v>
      </c>
      <c r="Z79" s="805">
        <f t="shared" si="106"/>
        <v>2.0735356990166736</v>
      </c>
      <c r="AA79" s="805">
        <f t="shared" si="107"/>
        <v>2.0658179197693971</v>
      </c>
      <c r="AB79" s="805">
        <f t="shared" si="108"/>
        <v>1.4543630892678032</v>
      </c>
      <c r="AC79" s="805">
        <f t="shared" si="109"/>
        <v>2.2305764411027571</v>
      </c>
      <c r="AD79" s="814">
        <f t="shared" si="109"/>
        <v>4.6637744034707156</v>
      </c>
      <c r="AE79" s="1200"/>
      <c r="AF79" s="1200"/>
    </row>
    <row r="80" spans="2:32" ht="13.5" thickBot="1">
      <c r="B80" s="802" t="s">
        <v>4</v>
      </c>
      <c r="C80" s="803"/>
      <c r="D80" s="803"/>
      <c r="E80" s="803">
        <f t="shared" ref="E80:N80" si="113">SUM(E74:E79)</f>
        <v>5541</v>
      </c>
      <c r="F80" s="803">
        <f t="shared" si="113"/>
        <v>6072</v>
      </c>
      <c r="G80" s="803">
        <f t="shared" si="113"/>
        <v>5709</v>
      </c>
      <c r="H80" s="803">
        <f t="shared" si="113"/>
        <v>5173</v>
      </c>
      <c r="I80" s="803">
        <f t="shared" si="113"/>
        <v>4801</v>
      </c>
      <c r="J80" s="803">
        <f t="shared" si="113"/>
        <v>4678</v>
      </c>
      <c r="K80" s="803">
        <f t="shared" si="113"/>
        <v>4163</v>
      </c>
      <c r="L80" s="803">
        <f t="shared" si="113"/>
        <v>3988</v>
      </c>
      <c r="M80" s="803">
        <f t="shared" si="113"/>
        <v>3990</v>
      </c>
      <c r="N80" s="813">
        <f t="shared" si="113"/>
        <v>3688</v>
      </c>
      <c r="O80" s="1202"/>
      <c r="P80" s="1202"/>
      <c r="Q80" s="95"/>
      <c r="R80" s="802" t="s">
        <v>4</v>
      </c>
      <c r="S80" s="803"/>
      <c r="T80" s="803"/>
      <c r="U80" s="803">
        <f t="shared" ref="U80:AD80" si="114">SUM(U74:U79)</f>
        <v>100</v>
      </c>
      <c r="V80" s="803">
        <f t="shared" si="114"/>
        <v>100</v>
      </c>
      <c r="W80" s="803">
        <f t="shared" si="114"/>
        <v>99.999999999999986</v>
      </c>
      <c r="X80" s="803">
        <f t="shared" si="114"/>
        <v>100.00000000000003</v>
      </c>
      <c r="Y80" s="803">
        <f t="shared" si="114"/>
        <v>100</v>
      </c>
      <c r="Z80" s="803">
        <f t="shared" si="114"/>
        <v>99.999999999999986</v>
      </c>
      <c r="AA80" s="803">
        <f t="shared" si="114"/>
        <v>100</v>
      </c>
      <c r="AB80" s="803">
        <f t="shared" si="114"/>
        <v>100</v>
      </c>
      <c r="AC80" s="803">
        <f t="shared" si="114"/>
        <v>100</v>
      </c>
      <c r="AD80" s="815">
        <f t="shared" si="114"/>
        <v>99.999999999999986</v>
      </c>
      <c r="AE80" s="1200"/>
      <c r="AF80" s="1200"/>
    </row>
    <row r="81" spans="2:32" ht="13.5" thickBot="1"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</row>
    <row r="82" spans="2:32">
      <c r="B82" s="798" t="s">
        <v>1741</v>
      </c>
      <c r="C82" s="799">
        <v>2002</v>
      </c>
      <c r="D82" s="799">
        <v>2003</v>
      </c>
      <c r="E82" s="799">
        <v>2004</v>
      </c>
      <c r="F82" s="799">
        <v>2005</v>
      </c>
      <c r="G82" s="799">
        <v>2006</v>
      </c>
      <c r="H82" s="799">
        <v>2007</v>
      </c>
      <c r="I82" s="799">
        <v>2008</v>
      </c>
      <c r="J82" s="799">
        <v>2009</v>
      </c>
      <c r="K82" s="799">
        <v>2010</v>
      </c>
      <c r="L82" s="799">
        <v>2011</v>
      </c>
      <c r="M82" s="799">
        <v>2012</v>
      </c>
      <c r="N82" s="811">
        <v>2013</v>
      </c>
      <c r="O82" s="1200"/>
      <c r="P82" s="1200"/>
      <c r="Q82" s="95"/>
      <c r="R82" s="798" t="s">
        <v>1741</v>
      </c>
      <c r="S82" s="799">
        <v>2002</v>
      </c>
      <c r="T82" s="799">
        <v>2003</v>
      </c>
      <c r="U82" s="799">
        <v>2004</v>
      </c>
      <c r="V82" s="799">
        <v>2005</v>
      </c>
      <c r="W82" s="799">
        <v>2006</v>
      </c>
      <c r="X82" s="799">
        <v>2007</v>
      </c>
      <c r="Y82" s="799">
        <v>2008</v>
      </c>
      <c r="Z82" s="799">
        <v>2009</v>
      </c>
      <c r="AA82" s="799">
        <v>2010</v>
      </c>
      <c r="AB82" s="799">
        <v>2011</v>
      </c>
      <c r="AC82" s="799">
        <v>2012</v>
      </c>
      <c r="AD82" s="811">
        <v>2013</v>
      </c>
      <c r="AE82" s="1200">
        <v>2014</v>
      </c>
      <c r="AF82" s="1200">
        <v>2015</v>
      </c>
    </row>
    <row r="83" spans="2:32">
      <c r="B83" s="801" t="s">
        <v>1734</v>
      </c>
      <c r="C83" s="304"/>
      <c r="D83" s="304"/>
      <c r="E83" s="304">
        <f t="shared" ref="E83:M83" si="115">E27</f>
        <v>171</v>
      </c>
      <c r="F83" s="304">
        <f t="shared" si="115"/>
        <v>234</v>
      </c>
      <c r="G83" s="304">
        <f t="shared" si="115"/>
        <v>394</v>
      </c>
      <c r="H83" s="304">
        <f t="shared" si="115"/>
        <v>411</v>
      </c>
      <c r="I83" s="304">
        <f t="shared" si="115"/>
        <v>455</v>
      </c>
      <c r="J83" s="304">
        <f t="shared" si="115"/>
        <v>723</v>
      </c>
      <c r="K83" s="304">
        <f t="shared" si="115"/>
        <v>1014</v>
      </c>
      <c r="L83" s="304">
        <f t="shared" si="115"/>
        <v>872</v>
      </c>
      <c r="M83" s="304">
        <f t="shared" si="115"/>
        <v>441</v>
      </c>
      <c r="N83" s="812">
        <f>N27</f>
        <v>121</v>
      </c>
      <c r="O83" s="1201"/>
      <c r="P83" s="1201"/>
      <c r="Q83" s="95"/>
      <c r="R83" s="801" t="s">
        <v>1734</v>
      </c>
      <c r="S83" s="805"/>
      <c r="T83" s="805"/>
      <c r="U83" s="805">
        <f>E83/E$89%</f>
        <v>53.4375</v>
      </c>
      <c r="V83" s="805">
        <f t="shared" ref="V83:V88" si="116">F83/F$89%</f>
        <v>65.546218487394967</v>
      </c>
      <c r="W83" s="805">
        <f t="shared" ref="W83:W88" si="117">G83/G$89%</f>
        <v>65.776293823038401</v>
      </c>
      <c r="X83" s="805">
        <f t="shared" ref="X83:X88" si="118">H83/H$89%</f>
        <v>64.21875</v>
      </c>
      <c r="Y83" s="805">
        <f t="shared" ref="Y83:Y88" si="119">I83/I$89%</f>
        <v>73.983739837398375</v>
      </c>
      <c r="Z83" s="805">
        <f t="shared" ref="Z83:Z88" si="120">J83/J$89%</f>
        <v>81.418918918918905</v>
      </c>
      <c r="AA83" s="805">
        <f t="shared" ref="AA83:AA88" si="121">K83/K$89%</f>
        <v>87.489214840379645</v>
      </c>
      <c r="AB83" s="805">
        <f t="shared" ref="AB83:AB88" si="122">L83/L$89%</f>
        <v>88.080808080808083</v>
      </c>
      <c r="AC83" s="805">
        <f t="shared" ref="AC83:AD88" si="123">M83/M$89%</f>
        <v>81.970260223048328</v>
      </c>
      <c r="AD83" s="814">
        <f t="shared" si="123"/>
        <v>73.333333333333343</v>
      </c>
      <c r="AE83" s="1200"/>
      <c r="AF83" s="1200"/>
    </row>
    <row r="84" spans="2:32">
      <c r="B84" s="801" t="s">
        <v>1866</v>
      </c>
      <c r="C84" s="304"/>
      <c r="D84" s="304"/>
      <c r="E84" s="304">
        <f t="shared" ref="E84:N87" si="124">E28</f>
        <v>40</v>
      </c>
      <c r="F84" s="304">
        <f t="shared" si="124"/>
        <v>30</v>
      </c>
      <c r="G84" s="304">
        <f t="shared" si="124"/>
        <v>80</v>
      </c>
      <c r="H84" s="304">
        <f t="shared" si="124"/>
        <v>75</v>
      </c>
      <c r="I84" s="304">
        <f t="shared" si="124"/>
        <v>34</v>
      </c>
      <c r="J84" s="304">
        <f t="shared" si="124"/>
        <v>54</v>
      </c>
      <c r="K84" s="304">
        <f t="shared" si="124"/>
        <v>38</v>
      </c>
      <c r="L84" s="304">
        <f t="shared" si="124"/>
        <v>12</v>
      </c>
      <c r="M84" s="304">
        <f t="shared" si="124"/>
        <v>6</v>
      </c>
      <c r="N84" s="812">
        <f t="shared" si="124"/>
        <v>8</v>
      </c>
      <c r="O84" s="1201"/>
      <c r="P84" s="1201"/>
      <c r="Q84" s="95"/>
      <c r="R84" s="801" t="s">
        <v>1866</v>
      </c>
      <c r="S84" s="805"/>
      <c r="T84" s="805"/>
      <c r="U84" s="805">
        <f t="shared" ref="U84:U88" si="125">E84/E$89%</f>
        <v>12.5</v>
      </c>
      <c r="V84" s="805">
        <f t="shared" si="116"/>
        <v>8.4033613445378155</v>
      </c>
      <c r="W84" s="805">
        <f t="shared" si="117"/>
        <v>13.35559265442404</v>
      </c>
      <c r="X84" s="805">
        <f t="shared" si="118"/>
        <v>11.71875</v>
      </c>
      <c r="Y84" s="805">
        <f t="shared" si="119"/>
        <v>5.5284552845528454</v>
      </c>
      <c r="Z84" s="805">
        <f t="shared" si="120"/>
        <v>6.0810810810810807</v>
      </c>
      <c r="AA84" s="805">
        <f t="shared" si="121"/>
        <v>3.278688524590164</v>
      </c>
      <c r="AB84" s="805">
        <f t="shared" si="122"/>
        <v>1.2121212121212122</v>
      </c>
      <c r="AC84" s="805">
        <f t="shared" si="123"/>
        <v>1.1152416356877324</v>
      </c>
      <c r="AD84" s="814">
        <f t="shared" si="123"/>
        <v>4.8484848484848486</v>
      </c>
      <c r="AE84" s="1200"/>
      <c r="AF84" s="1200"/>
    </row>
    <row r="85" spans="2:32">
      <c r="B85" s="801" t="s">
        <v>1735</v>
      </c>
      <c r="C85" s="304"/>
      <c r="D85" s="304"/>
      <c r="E85" s="304">
        <f t="shared" si="124"/>
        <v>41</v>
      </c>
      <c r="F85" s="304">
        <f t="shared" si="124"/>
        <v>38</v>
      </c>
      <c r="G85" s="304">
        <f t="shared" si="124"/>
        <v>56</v>
      </c>
      <c r="H85" s="304">
        <f t="shared" si="124"/>
        <v>66</v>
      </c>
      <c r="I85" s="304">
        <f t="shared" si="124"/>
        <v>45</v>
      </c>
      <c r="J85" s="304">
        <f t="shared" si="124"/>
        <v>38</v>
      </c>
      <c r="K85" s="304">
        <f t="shared" si="124"/>
        <v>23</v>
      </c>
      <c r="L85" s="304">
        <f t="shared" si="124"/>
        <v>24</v>
      </c>
      <c r="M85" s="304">
        <f t="shared" si="124"/>
        <v>7</v>
      </c>
      <c r="N85" s="812">
        <f t="shared" si="124"/>
        <v>1</v>
      </c>
      <c r="O85" s="1201"/>
      <c r="P85" s="1201"/>
      <c r="Q85" s="95"/>
      <c r="R85" s="801" t="s">
        <v>1735</v>
      </c>
      <c r="S85" s="805"/>
      <c r="T85" s="805"/>
      <c r="U85" s="805">
        <f t="shared" si="125"/>
        <v>12.8125</v>
      </c>
      <c r="V85" s="805">
        <f t="shared" si="116"/>
        <v>10.644257703081234</v>
      </c>
      <c r="W85" s="805">
        <f t="shared" si="117"/>
        <v>9.348914858096828</v>
      </c>
      <c r="X85" s="805">
        <f t="shared" si="118"/>
        <v>10.3125</v>
      </c>
      <c r="Y85" s="805">
        <f t="shared" si="119"/>
        <v>7.3170731707317067</v>
      </c>
      <c r="Z85" s="805">
        <f t="shared" si="120"/>
        <v>4.2792792792792786</v>
      </c>
      <c r="AA85" s="805">
        <f t="shared" si="121"/>
        <v>1.9844693701466782</v>
      </c>
      <c r="AB85" s="805">
        <f t="shared" si="122"/>
        <v>2.4242424242424243</v>
      </c>
      <c r="AC85" s="805">
        <f t="shared" si="123"/>
        <v>1.3011152416356877</v>
      </c>
      <c r="AD85" s="814">
        <f t="shared" si="123"/>
        <v>0.60606060606060608</v>
      </c>
      <c r="AE85" s="1200"/>
      <c r="AF85" s="1200"/>
    </row>
    <row r="86" spans="2:32">
      <c r="B86" s="801" t="s">
        <v>1736</v>
      </c>
      <c r="C86" s="304"/>
      <c r="D86" s="304"/>
      <c r="E86" s="304">
        <f t="shared" si="124"/>
        <v>8</v>
      </c>
      <c r="F86" s="304">
        <f t="shared" si="124"/>
        <v>8</v>
      </c>
      <c r="G86" s="304">
        <f t="shared" si="124"/>
        <v>20</v>
      </c>
      <c r="H86" s="304">
        <f t="shared" si="124"/>
        <v>12</v>
      </c>
      <c r="I86" s="304">
        <f t="shared" si="124"/>
        <v>30</v>
      </c>
      <c r="J86" s="304">
        <f t="shared" si="124"/>
        <v>21</v>
      </c>
      <c r="K86" s="304">
        <f t="shared" si="124"/>
        <v>42</v>
      </c>
      <c r="L86" s="304">
        <f t="shared" si="124"/>
        <v>31</v>
      </c>
      <c r="M86" s="304">
        <f t="shared" si="124"/>
        <v>8</v>
      </c>
      <c r="N86" s="812">
        <f t="shared" si="124"/>
        <v>0</v>
      </c>
      <c r="O86" s="1201"/>
      <c r="P86" s="1201"/>
      <c r="Q86" s="95"/>
      <c r="R86" s="801" t="s">
        <v>1736</v>
      </c>
      <c r="S86" s="805"/>
      <c r="T86" s="805"/>
      <c r="U86" s="805">
        <f t="shared" si="125"/>
        <v>2.5</v>
      </c>
      <c r="V86" s="805">
        <f t="shared" si="116"/>
        <v>2.2408963585434174</v>
      </c>
      <c r="W86" s="805">
        <f t="shared" si="117"/>
        <v>3.33889816360601</v>
      </c>
      <c r="X86" s="805">
        <f t="shared" si="118"/>
        <v>1.875</v>
      </c>
      <c r="Y86" s="805">
        <f t="shared" si="119"/>
        <v>4.8780487804878048</v>
      </c>
      <c r="Z86" s="805">
        <f t="shared" si="120"/>
        <v>2.3648648648648645</v>
      </c>
      <c r="AA86" s="805">
        <f t="shared" si="121"/>
        <v>3.62381363244176</v>
      </c>
      <c r="AB86" s="805">
        <f t="shared" si="122"/>
        <v>3.131313131313131</v>
      </c>
      <c r="AC86" s="805">
        <f t="shared" si="123"/>
        <v>1.4869888475836432</v>
      </c>
      <c r="AD86" s="814">
        <f t="shared" si="123"/>
        <v>0</v>
      </c>
      <c r="AE86" s="1200"/>
      <c r="AF86" s="1200"/>
    </row>
    <row r="87" spans="2:32">
      <c r="B87" s="801" t="s">
        <v>1737</v>
      </c>
      <c r="C87" s="304"/>
      <c r="D87" s="304"/>
      <c r="E87" s="304">
        <f t="shared" si="124"/>
        <v>53</v>
      </c>
      <c r="F87" s="304">
        <f t="shared" si="124"/>
        <v>47</v>
      </c>
      <c r="G87" s="304">
        <f t="shared" si="124"/>
        <v>45</v>
      </c>
      <c r="H87" s="304">
        <f t="shared" si="124"/>
        <v>66</v>
      </c>
      <c r="I87" s="304">
        <f t="shared" si="124"/>
        <v>31</v>
      </c>
      <c r="J87" s="304">
        <f t="shared" si="124"/>
        <v>23</v>
      </c>
      <c r="K87" s="304">
        <f t="shared" si="124"/>
        <v>4</v>
      </c>
      <c r="L87" s="304">
        <f t="shared" si="124"/>
        <v>1</v>
      </c>
      <c r="M87" s="304">
        <f t="shared" si="124"/>
        <v>0</v>
      </c>
      <c r="N87" s="812">
        <f t="shared" si="124"/>
        <v>0</v>
      </c>
      <c r="O87" s="1201"/>
      <c r="P87" s="1201"/>
      <c r="Q87" s="95"/>
      <c r="R87" s="801" t="s">
        <v>1737</v>
      </c>
      <c r="S87" s="805"/>
      <c r="T87" s="805"/>
      <c r="U87" s="805">
        <f t="shared" si="125"/>
        <v>16.5625</v>
      </c>
      <c r="V87" s="805">
        <f t="shared" si="116"/>
        <v>13.165266106442578</v>
      </c>
      <c r="W87" s="805">
        <f t="shared" si="117"/>
        <v>7.5125208681135227</v>
      </c>
      <c r="X87" s="805">
        <f t="shared" si="118"/>
        <v>10.3125</v>
      </c>
      <c r="Y87" s="805">
        <f t="shared" si="119"/>
        <v>5.0406504065040645</v>
      </c>
      <c r="Z87" s="805">
        <f t="shared" si="120"/>
        <v>2.5900900900900901</v>
      </c>
      <c r="AA87" s="805">
        <f t="shared" si="121"/>
        <v>0.34512510785159622</v>
      </c>
      <c r="AB87" s="805">
        <f t="shared" si="122"/>
        <v>0.10101010101010101</v>
      </c>
      <c r="AC87" s="805">
        <f t="shared" si="123"/>
        <v>0</v>
      </c>
      <c r="AD87" s="814">
        <f t="shared" si="123"/>
        <v>0</v>
      </c>
      <c r="AE87" s="1200"/>
      <c r="AF87" s="1200"/>
    </row>
    <row r="88" spans="2:32">
      <c r="B88" s="801" t="s">
        <v>1739</v>
      </c>
      <c r="C88" s="304"/>
      <c r="D88" s="304"/>
      <c r="E88" s="304">
        <f t="shared" ref="E88:M88" si="126">E33</f>
        <v>7</v>
      </c>
      <c r="F88" s="304">
        <f t="shared" si="126"/>
        <v>0</v>
      </c>
      <c r="G88" s="304">
        <f t="shared" si="126"/>
        <v>4</v>
      </c>
      <c r="H88" s="304">
        <f t="shared" si="126"/>
        <v>10</v>
      </c>
      <c r="I88" s="304">
        <f t="shared" si="126"/>
        <v>20</v>
      </c>
      <c r="J88" s="304">
        <f t="shared" si="126"/>
        <v>29</v>
      </c>
      <c r="K88" s="304">
        <f t="shared" si="126"/>
        <v>38</v>
      </c>
      <c r="L88" s="304">
        <f t="shared" si="126"/>
        <v>50</v>
      </c>
      <c r="M88" s="304">
        <f t="shared" si="126"/>
        <v>76</v>
      </c>
      <c r="N88" s="812">
        <f>N33</f>
        <v>35</v>
      </c>
      <c r="O88" s="1201"/>
      <c r="P88" s="1201"/>
      <c r="Q88" s="95"/>
      <c r="R88" s="801" t="s">
        <v>1739</v>
      </c>
      <c r="S88" s="805"/>
      <c r="T88" s="805"/>
      <c r="U88" s="805">
        <f t="shared" si="125"/>
        <v>2.1875</v>
      </c>
      <c r="V88" s="805">
        <f t="shared" si="116"/>
        <v>0</v>
      </c>
      <c r="W88" s="805">
        <f t="shared" si="117"/>
        <v>0.667779632721202</v>
      </c>
      <c r="X88" s="805">
        <f t="shared" si="118"/>
        <v>1.5625</v>
      </c>
      <c r="Y88" s="805">
        <f t="shared" si="119"/>
        <v>3.2520325203252032</v>
      </c>
      <c r="Z88" s="805">
        <f t="shared" si="120"/>
        <v>3.2657657657657655</v>
      </c>
      <c r="AA88" s="805">
        <f t="shared" si="121"/>
        <v>3.278688524590164</v>
      </c>
      <c r="AB88" s="805">
        <f t="shared" si="122"/>
        <v>5.0505050505050502</v>
      </c>
      <c r="AC88" s="805">
        <f t="shared" si="123"/>
        <v>14.12639405204461</v>
      </c>
      <c r="AD88" s="814">
        <f t="shared" si="123"/>
        <v>21.212121212121215</v>
      </c>
      <c r="AE88" s="1200"/>
      <c r="AF88" s="1200"/>
    </row>
    <row r="89" spans="2:32" ht="13.5" thickBot="1">
      <c r="B89" s="802" t="s">
        <v>4</v>
      </c>
      <c r="C89" s="803"/>
      <c r="D89" s="803"/>
      <c r="E89" s="803">
        <f t="shared" ref="E89:N89" si="127">SUM(E83:E88)</f>
        <v>320</v>
      </c>
      <c r="F89" s="803">
        <f t="shared" si="127"/>
        <v>357</v>
      </c>
      <c r="G89" s="803">
        <f t="shared" si="127"/>
        <v>599</v>
      </c>
      <c r="H89" s="803">
        <f t="shared" si="127"/>
        <v>640</v>
      </c>
      <c r="I89" s="803">
        <f t="shared" si="127"/>
        <v>615</v>
      </c>
      <c r="J89" s="803">
        <f t="shared" si="127"/>
        <v>888</v>
      </c>
      <c r="K89" s="803">
        <f t="shared" si="127"/>
        <v>1159</v>
      </c>
      <c r="L89" s="803">
        <f t="shared" si="127"/>
        <v>990</v>
      </c>
      <c r="M89" s="803">
        <f t="shared" si="127"/>
        <v>538</v>
      </c>
      <c r="N89" s="813">
        <f t="shared" si="127"/>
        <v>165</v>
      </c>
      <c r="O89" s="1202"/>
      <c r="P89" s="1202"/>
      <c r="Q89" s="153"/>
      <c r="R89" s="802" t="s">
        <v>4</v>
      </c>
      <c r="S89" s="803"/>
      <c r="T89" s="803"/>
      <c r="U89" s="803">
        <f t="shared" ref="U89:AD89" si="128">SUM(U83:U88)</f>
        <v>100</v>
      </c>
      <c r="V89" s="803">
        <f t="shared" si="128"/>
        <v>100.00000000000001</v>
      </c>
      <c r="W89" s="803">
        <f t="shared" si="128"/>
        <v>100.00000000000001</v>
      </c>
      <c r="X89" s="803">
        <f t="shared" si="128"/>
        <v>100</v>
      </c>
      <c r="Y89" s="803">
        <f t="shared" si="128"/>
        <v>100</v>
      </c>
      <c r="Z89" s="803">
        <f t="shared" si="128"/>
        <v>99.999999999999986</v>
      </c>
      <c r="AA89" s="803">
        <f t="shared" si="128"/>
        <v>100.00000000000003</v>
      </c>
      <c r="AB89" s="803">
        <f t="shared" si="128"/>
        <v>100.00000000000001</v>
      </c>
      <c r="AC89" s="803">
        <f t="shared" si="128"/>
        <v>100</v>
      </c>
      <c r="AD89" s="813">
        <f t="shared" si="128"/>
        <v>100.00000000000001</v>
      </c>
      <c r="AE89" s="1200"/>
      <c r="AF89" s="1200"/>
    </row>
    <row r="90" spans="2:32">
      <c r="C90" s="95"/>
      <c r="D90" s="95"/>
      <c r="E90" s="95"/>
      <c r="F90" s="95"/>
      <c r="G90" s="153"/>
      <c r="H90" s="153"/>
      <c r="I90" s="95"/>
      <c r="J90" s="95"/>
      <c r="K90" s="95"/>
      <c r="L90" s="95"/>
      <c r="M90" s="95"/>
      <c r="N90" s="95"/>
      <c r="O90" s="95"/>
      <c r="P90" s="95"/>
      <c r="Q90" s="95"/>
    </row>
    <row r="91" spans="2:32">
      <c r="B91" s="148" t="s">
        <v>1867</v>
      </c>
      <c r="I91" s="810" t="s">
        <v>797</v>
      </c>
    </row>
    <row r="117" spans="2:30">
      <c r="B117" s="804" t="s">
        <v>1745</v>
      </c>
      <c r="D117" s="808" t="s">
        <v>1743</v>
      </c>
      <c r="F117" s="135" t="s">
        <v>1742</v>
      </c>
      <c r="R117" s="804" t="str">
        <f>B117</f>
        <v>NEW AFB+ cases</v>
      </c>
      <c r="T117" s="808" t="str">
        <f>D117</f>
        <v>Old classification</v>
      </c>
      <c r="V117" s="135" t="s">
        <v>18</v>
      </c>
    </row>
    <row r="118" spans="2:30" ht="13.5" thickBot="1"/>
    <row r="119" spans="2:30">
      <c r="B119" s="798" t="s">
        <v>32</v>
      </c>
      <c r="C119" s="799">
        <v>2002</v>
      </c>
      <c r="D119" s="799">
        <v>2003</v>
      </c>
      <c r="E119" s="799">
        <v>2004</v>
      </c>
      <c r="F119" s="799">
        <v>2005</v>
      </c>
      <c r="G119" s="799">
        <v>2006</v>
      </c>
      <c r="H119" s="799">
        <v>2007</v>
      </c>
      <c r="I119" s="799">
        <v>2008</v>
      </c>
      <c r="J119" s="799">
        <v>2009</v>
      </c>
      <c r="K119" s="799">
        <v>2010</v>
      </c>
      <c r="L119" s="799">
        <v>2011</v>
      </c>
      <c r="M119" s="799">
        <v>2012</v>
      </c>
      <c r="N119" s="811">
        <v>2013</v>
      </c>
      <c r="O119" s="1200"/>
      <c r="P119" s="1200"/>
      <c r="R119" s="798" t="s">
        <v>32</v>
      </c>
      <c r="S119" s="799">
        <v>2002</v>
      </c>
      <c r="T119" s="799">
        <v>2003</v>
      </c>
      <c r="U119" s="799">
        <v>2004</v>
      </c>
      <c r="V119" s="799">
        <v>2005</v>
      </c>
      <c r="W119" s="799">
        <v>2006</v>
      </c>
      <c r="X119" s="799">
        <v>2007</v>
      </c>
      <c r="Y119" s="799">
        <v>2008</v>
      </c>
      <c r="Z119" s="799">
        <v>2009</v>
      </c>
      <c r="AA119" s="799">
        <v>2010</v>
      </c>
      <c r="AB119" s="799">
        <v>2011</v>
      </c>
      <c r="AC119" s="799">
        <v>2012</v>
      </c>
      <c r="AD119" s="811">
        <v>2013</v>
      </c>
    </row>
    <row r="120" spans="2:30">
      <c r="B120" s="801" t="s">
        <v>1734</v>
      </c>
      <c r="C120" s="304"/>
      <c r="D120" s="304"/>
      <c r="E120" s="304">
        <v>879</v>
      </c>
      <c r="F120" s="304">
        <v>1079</v>
      </c>
      <c r="G120" s="304">
        <v>1368</v>
      </c>
      <c r="H120" s="304">
        <v>1435</v>
      </c>
      <c r="I120" s="304">
        <v>1371</v>
      </c>
      <c r="J120" s="304">
        <v>1549</v>
      </c>
      <c r="K120" s="304">
        <v>1639</v>
      </c>
      <c r="L120" s="304">
        <v>1542</v>
      </c>
      <c r="M120" s="304">
        <v>1225</v>
      </c>
      <c r="N120" s="812">
        <v>950</v>
      </c>
      <c r="O120" s="1201"/>
      <c r="P120" s="1201"/>
      <c r="Q120" s="95"/>
      <c r="R120" s="801" t="s">
        <v>1734</v>
      </c>
      <c r="S120" s="805"/>
      <c r="T120" s="805"/>
      <c r="U120" s="805">
        <f t="shared" ref="U120:U126" si="129">E120/E$127%</f>
        <v>67.56341275941584</v>
      </c>
      <c r="V120" s="805">
        <f t="shared" ref="V120:V126" si="130">F120/F$127%</f>
        <v>72.464741437206172</v>
      </c>
      <c r="W120" s="805">
        <f t="shared" ref="W120:W126" si="131">G120/G$127%</f>
        <v>75.371900826446293</v>
      </c>
      <c r="X120" s="805">
        <f t="shared" ref="X120:X126" si="132">H120/H$127%</f>
        <v>77.067669172932327</v>
      </c>
      <c r="Y120" s="805">
        <f t="shared" ref="Y120:Y126" si="133">I120/I$127%</f>
        <v>73.394004282655246</v>
      </c>
      <c r="Z120" s="805">
        <f t="shared" ref="Z120:Z126" si="134">J120/J$127%</f>
        <v>75.37712895377129</v>
      </c>
      <c r="AA120" s="805">
        <f t="shared" ref="AA120:AA126" si="135">K120/K$127%</f>
        <v>76.481567895473631</v>
      </c>
      <c r="AB120" s="805">
        <f t="shared" ref="AB120:AB126" si="136">L120/L$127%</f>
        <v>76.035502958579883</v>
      </c>
      <c r="AC120" s="805">
        <f t="shared" ref="AC120:AD126" si="137">M120/M$127%</f>
        <v>74.377656344869465</v>
      </c>
      <c r="AD120" s="814">
        <f t="shared" si="137"/>
        <v>80.988917306052855</v>
      </c>
    </row>
    <row r="121" spans="2:30">
      <c r="B121" s="801" t="s">
        <v>1866</v>
      </c>
      <c r="C121" s="304"/>
      <c r="D121" s="304"/>
      <c r="E121" s="304">
        <v>165</v>
      </c>
      <c r="F121" s="304">
        <v>190</v>
      </c>
      <c r="G121" s="304">
        <v>181</v>
      </c>
      <c r="H121" s="304">
        <v>163</v>
      </c>
      <c r="I121" s="304">
        <v>164</v>
      </c>
      <c r="J121" s="304">
        <v>151</v>
      </c>
      <c r="K121" s="304">
        <v>143</v>
      </c>
      <c r="L121" s="304">
        <v>104</v>
      </c>
      <c r="M121" s="304">
        <v>89</v>
      </c>
      <c r="N121" s="812">
        <v>87</v>
      </c>
      <c r="O121" s="1201"/>
      <c r="P121" s="1201"/>
      <c r="Q121" s="95"/>
      <c r="R121" s="801" t="s">
        <v>1866</v>
      </c>
      <c r="S121" s="805"/>
      <c r="T121" s="805"/>
      <c r="U121" s="805">
        <f t="shared" si="129"/>
        <v>12.682551883166795</v>
      </c>
      <c r="V121" s="805">
        <f t="shared" si="130"/>
        <v>12.760241773002015</v>
      </c>
      <c r="W121" s="805">
        <f t="shared" si="131"/>
        <v>9.9724517906336096</v>
      </c>
      <c r="X121" s="805">
        <f t="shared" si="132"/>
        <v>8.7540279269602568</v>
      </c>
      <c r="Y121" s="805">
        <f t="shared" si="133"/>
        <v>8.7794432548179877</v>
      </c>
      <c r="Z121" s="805">
        <f t="shared" si="134"/>
        <v>7.3479318734793182</v>
      </c>
      <c r="AA121" s="805">
        <f t="shared" si="135"/>
        <v>6.6728884741017263</v>
      </c>
      <c r="AB121" s="805">
        <f t="shared" si="136"/>
        <v>5.1282051282051277</v>
      </c>
      <c r="AC121" s="805">
        <f t="shared" si="137"/>
        <v>5.403764420157863</v>
      </c>
      <c r="AD121" s="814">
        <f t="shared" si="137"/>
        <v>7.4168797953964187</v>
      </c>
    </row>
    <row r="122" spans="2:30">
      <c r="B122" s="801" t="s">
        <v>1735</v>
      </c>
      <c r="C122" s="304"/>
      <c r="D122" s="304"/>
      <c r="E122" s="304">
        <v>60</v>
      </c>
      <c r="F122" s="304">
        <v>77</v>
      </c>
      <c r="G122" s="304">
        <v>105</v>
      </c>
      <c r="H122" s="304">
        <v>115</v>
      </c>
      <c r="I122" s="304">
        <v>83</v>
      </c>
      <c r="J122" s="304">
        <v>72</v>
      </c>
      <c r="K122" s="304">
        <v>41</v>
      </c>
      <c r="L122" s="304">
        <v>63</v>
      </c>
      <c r="M122" s="304">
        <v>71</v>
      </c>
      <c r="N122" s="812">
        <v>43</v>
      </c>
      <c r="O122" s="1201"/>
      <c r="P122" s="1201"/>
      <c r="Q122" s="95"/>
      <c r="R122" s="801" t="s">
        <v>1735</v>
      </c>
      <c r="S122" s="805"/>
      <c r="T122" s="805"/>
      <c r="U122" s="805">
        <f t="shared" si="129"/>
        <v>4.611837048424289</v>
      </c>
      <c r="V122" s="805">
        <f t="shared" si="130"/>
        <v>5.1712558764271321</v>
      </c>
      <c r="W122" s="805">
        <f t="shared" si="131"/>
        <v>5.785123966942149</v>
      </c>
      <c r="X122" s="805">
        <f t="shared" si="132"/>
        <v>6.1761546723952732</v>
      </c>
      <c r="Y122" s="805">
        <f t="shared" si="133"/>
        <v>4.4432548179871523</v>
      </c>
      <c r="Z122" s="805">
        <f t="shared" si="134"/>
        <v>3.5036496350364961</v>
      </c>
      <c r="AA122" s="805">
        <f t="shared" si="135"/>
        <v>1.9132057862809146</v>
      </c>
      <c r="AB122" s="805">
        <f t="shared" si="136"/>
        <v>3.1065088757396446</v>
      </c>
      <c r="AC122" s="805">
        <f t="shared" si="137"/>
        <v>4.3108682452944755</v>
      </c>
      <c r="AD122" s="814">
        <f t="shared" si="137"/>
        <v>3.6658141517476555</v>
      </c>
    </row>
    <row r="123" spans="2:30">
      <c r="B123" s="801" t="s">
        <v>1736</v>
      </c>
      <c r="C123" s="304"/>
      <c r="D123" s="304"/>
      <c r="E123" s="304">
        <v>37</v>
      </c>
      <c r="F123" s="304">
        <v>38</v>
      </c>
      <c r="G123" s="304">
        <v>50</v>
      </c>
      <c r="H123" s="304">
        <v>46</v>
      </c>
      <c r="I123" s="304">
        <v>52</v>
      </c>
      <c r="J123" s="304">
        <v>63</v>
      </c>
      <c r="K123" s="304">
        <v>63</v>
      </c>
      <c r="L123" s="304">
        <v>47</v>
      </c>
      <c r="M123" s="304">
        <v>33</v>
      </c>
      <c r="N123" s="812">
        <v>41</v>
      </c>
      <c r="O123" s="1201"/>
      <c r="P123" s="1201"/>
      <c r="Q123" s="95"/>
      <c r="R123" s="801" t="s">
        <v>1736</v>
      </c>
      <c r="S123" s="805"/>
      <c r="T123" s="805"/>
      <c r="U123" s="805">
        <f t="shared" si="129"/>
        <v>2.8439661798616451</v>
      </c>
      <c r="V123" s="805">
        <f t="shared" si="130"/>
        <v>2.5520483546004029</v>
      </c>
      <c r="W123" s="805">
        <f t="shared" si="131"/>
        <v>2.7548209366391188</v>
      </c>
      <c r="X123" s="805">
        <f t="shared" si="132"/>
        <v>2.4704618689581093</v>
      </c>
      <c r="Y123" s="805">
        <f t="shared" si="133"/>
        <v>2.78372591006424</v>
      </c>
      <c r="Z123" s="805">
        <f t="shared" si="134"/>
        <v>3.0656934306569341</v>
      </c>
      <c r="AA123" s="805">
        <f t="shared" si="135"/>
        <v>2.9398040130657956</v>
      </c>
      <c r="AB123" s="805">
        <f t="shared" si="136"/>
        <v>2.3175542406311638</v>
      </c>
      <c r="AC123" s="805">
        <f t="shared" si="137"/>
        <v>2.0036429872495449</v>
      </c>
      <c r="AD123" s="814">
        <f t="shared" si="137"/>
        <v>3.4953111679454389</v>
      </c>
    </row>
    <row r="124" spans="2:30">
      <c r="B124" s="801" t="s">
        <v>1737</v>
      </c>
      <c r="C124" s="304"/>
      <c r="D124" s="304"/>
      <c r="E124" s="304">
        <v>70</v>
      </c>
      <c r="F124" s="304">
        <v>91</v>
      </c>
      <c r="G124" s="304">
        <v>80</v>
      </c>
      <c r="H124" s="304">
        <v>58</v>
      </c>
      <c r="I124" s="304">
        <v>46</v>
      </c>
      <c r="J124" s="304">
        <v>28</v>
      </c>
      <c r="K124" s="304">
        <v>18</v>
      </c>
      <c r="L124" s="304">
        <v>11</v>
      </c>
      <c r="M124" s="304">
        <v>4</v>
      </c>
      <c r="N124" s="812">
        <v>6</v>
      </c>
      <c r="O124" s="1201"/>
      <c r="P124" s="1201"/>
      <c r="Q124" s="95"/>
      <c r="R124" s="801" t="s">
        <v>1737</v>
      </c>
      <c r="S124" s="805"/>
      <c r="T124" s="805"/>
      <c r="U124" s="805">
        <f t="shared" si="129"/>
        <v>5.3804765564950037</v>
      </c>
      <c r="V124" s="805">
        <f t="shared" si="130"/>
        <v>6.1114842175957014</v>
      </c>
      <c r="W124" s="805">
        <f t="shared" si="131"/>
        <v>4.4077134986225897</v>
      </c>
      <c r="X124" s="805">
        <f t="shared" si="132"/>
        <v>3.1149301825993554</v>
      </c>
      <c r="Y124" s="805">
        <f t="shared" si="133"/>
        <v>2.462526766595289</v>
      </c>
      <c r="Z124" s="805">
        <f t="shared" si="134"/>
        <v>1.362530413625304</v>
      </c>
      <c r="AA124" s="805">
        <f t="shared" si="135"/>
        <v>0.83994400373308442</v>
      </c>
      <c r="AB124" s="805">
        <f t="shared" si="136"/>
        <v>0.54240631163708086</v>
      </c>
      <c r="AC124" s="805">
        <f t="shared" si="137"/>
        <v>0.24286581663630846</v>
      </c>
      <c r="AD124" s="814">
        <f t="shared" si="137"/>
        <v>0.51150895140664965</v>
      </c>
    </row>
    <row r="125" spans="2:30">
      <c r="B125" s="801" t="s">
        <v>1738</v>
      </c>
      <c r="C125" s="304"/>
      <c r="D125" s="304"/>
      <c r="G125" s="65">
        <v>2</v>
      </c>
      <c r="H125" s="304">
        <v>22</v>
      </c>
      <c r="I125" s="304">
        <v>123</v>
      </c>
      <c r="J125" s="304">
        <v>166</v>
      </c>
      <c r="K125" s="304">
        <v>210</v>
      </c>
      <c r="L125" s="304">
        <v>237</v>
      </c>
      <c r="M125" s="304">
        <v>186</v>
      </c>
      <c r="N125" s="812">
        <v>8</v>
      </c>
      <c r="O125" s="1201"/>
      <c r="P125" s="1201"/>
      <c r="Q125" s="95"/>
      <c r="R125" s="801" t="s">
        <v>1738</v>
      </c>
      <c r="S125" s="805"/>
      <c r="T125" s="805"/>
      <c r="U125" s="805">
        <f t="shared" si="129"/>
        <v>0</v>
      </c>
      <c r="V125" s="805">
        <f t="shared" si="130"/>
        <v>0</v>
      </c>
      <c r="W125" s="805">
        <f t="shared" si="131"/>
        <v>0.11019283746556474</v>
      </c>
      <c r="X125" s="805">
        <f t="shared" si="132"/>
        <v>1.1815252416756175</v>
      </c>
      <c r="Y125" s="805">
        <f t="shared" si="133"/>
        <v>6.5845824411134908</v>
      </c>
      <c r="Z125" s="805">
        <f t="shared" si="134"/>
        <v>8.0778588807785887</v>
      </c>
      <c r="AA125" s="805">
        <f t="shared" si="135"/>
        <v>9.7993467102193197</v>
      </c>
      <c r="AB125" s="805">
        <f t="shared" si="136"/>
        <v>11.686390532544378</v>
      </c>
      <c r="AC125" s="805">
        <f t="shared" si="137"/>
        <v>11.293260473588344</v>
      </c>
      <c r="AD125" s="814">
        <f t="shared" si="137"/>
        <v>0.68201193520886616</v>
      </c>
    </row>
    <row r="126" spans="2:30">
      <c r="B126" s="801" t="s">
        <v>1739</v>
      </c>
      <c r="C126" s="304"/>
      <c r="D126" s="304"/>
      <c r="E126" s="304">
        <v>90</v>
      </c>
      <c r="F126" s="304">
        <v>14</v>
      </c>
      <c r="G126" s="304">
        <v>29</v>
      </c>
      <c r="H126" s="304">
        <v>23</v>
      </c>
      <c r="I126" s="304">
        <v>29</v>
      </c>
      <c r="J126" s="304">
        <v>26</v>
      </c>
      <c r="K126" s="304">
        <v>29</v>
      </c>
      <c r="L126" s="304">
        <v>24</v>
      </c>
      <c r="M126" s="304">
        <v>39</v>
      </c>
      <c r="N126" s="812">
        <v>38</v>
      </c>
      <c r="O126" s="1201"/>
      <c r="P126" s="1201"/>
      <c r="Q126" s="95"/>
      <c r="R126" s="801" t="s">
        <v>1739</v>
      </c>
      <c r="S126" s="805"/>
      <c r="T126" s="805"/>
      <c r="U126" s="805">
        <f t="shared" si="129"/>
        <v>6.9177555726364339</v>
      </c>
      <c r="V126" s="805">
        <f t="shared" si="130"/>
        <v>0.94022834116856946</v>
      </c>
      <c r="W126" s="805">
        <f t="shared" si="131"/>
        <v>1.5977961432506889</v>
      </c>
      <c r="X126" s="805">
        <f t="shared" si="132"/>
        <v>1.2352309344790546</v>
      </c>
      <c r="Y126" s="805">
        <f t="shared" si="133"/>
        <v>1.5524625267665952</v>
      </c>
      <c r="Z126" s="805">
        <f t="shared" si="134"/>
        <v>1.2652068126520681</v>
      </c>
      <c r="AA126" s="805">
        <f t="shared" si="135"/>
        <v>1.353243117125525</v>
      </c>
      <c r="AB126" s="805">
        <f t="shared" si="136"/>
        <v>1.1834319526627217</v>
      </c>
      <c r="AC126" s="805">
        <f t="shared" si="137"/>
        <v>2.3679417122040074</v>
      </c>
      <c r="AD126" s="814">
        <f t="shared" si="137"/>
        <v>3.2395566922421142</v>
      </c>
    </row>
    <row r="127" spans="2:30" ht="13.5" thickBot="1">
      <c r="B127" s="802" t="s">
        <v>4</v>
      </c>
      <c r="C127" s="803"/>
      <c r="D127" s="803"/>
      <c r="E127" s="803">
        <f t="shared" ref="E127:N127" si="138">SUM(E120:E126)</f>
        <v>1301</v>
      </c>
      <c r="F127" s="803">
        <f t="shared" si="138"/>
        <v>1489</v>
      </c>
      <c r="G127" s="803">
        <f t="shared" si="138"/>
        <v>1815</v>
      </c>
      <c r="H127" s="803">
        <f t="shared" si="138"/>
        <v>1862</v>
      </c>
      <c r="I127" s="803">
        <f t="shared" si="138"/>
        <v>1868</v>
      </c>
      <c r="J127" s="803">
        <f t="shared" si="138"/>
        <v>2055</v>
      </c>
      <c r="K127" s="803">
        <f t="shared" si="138"/>
        <v>2143</v>
      </c>
      <c r="L127" s="803">
        <f t="shared" si="138"/>
        <v>2028</v>
      </c>
      <c r="M127" s="803">
        <f t="shared" si="138"/>
        <v>1647</v>
      </c>
      <c r="N127" s="813">
        <f t="shared" si="138"/>
        <v>1173</v>
      </c>
      <c r="O127" s="1202"/>
      <c r="P127" s="1202"/>
      <c r="Q127" s="95"/>
      <c r="R127" s="802" t="s">
        <v>4</v>
      </c>
      <c r="S127" s="803"/>
      <c r="T127" s="803"/>
      <c r="U127" s="803">
        <f t="shared" ref="U127:AD127" si="139">SUM(U120:U126)</f>
        <v>100</v>
      </c>
      <c r="V127" s="803">
        <f t="shared" si="139"/>
        <v>99.999999999999986</v>
      </c>
      <c r="W127" s="803">
        <f t="shared" si="139"/>
        <v>100.00000000000001</v>
      </c>
      <c r="X127" s="803">
        <f t="shared" si="139"/>
        <v>99.999999999999986</v>
      </c>
      <c r="Y127" s="803">
        <f t="shared" si="139"/>
        <v>100</v>
      </c>
      <c r="Z127" s="803">
        <f t="shared" si="139"/>
        <v>100.00000000000001</v>
      </c>
      <c r="AA127" s="803">
        <f t="shared" si="139"/>
        <v>100</v>
      </c>
      <c r="AB127" s="803">
        <f t="shared" si="139"/>
        <v>100</v>
      </c>
      <c r="AC127" s="803">
        <f t="shared" si="139"/>
        <v>100</v>
      </c>
      <c r="AD127" s="813">
        <f t="shared" si="139"/>
        <v>100.00000000000001</v>
      </c>
    </row>
    <row r="128" spans="2:30" ht="13.5" thickBot="1"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</row>
    <row r="129" spans="2:30">
      <c r="B129" s="798" t="s">
        <v>1740</v>
      </c>
      <c r="C129" s="799">
        <v>2002</v>
      </c>
      <c r="D129" s="799">
        <v>2003</v>
      </c>
      <c r="E129" s="799">
        <v>2004</v>
      </c>
      <c r="F129" s="799">
        <v>2005</v>
      </c>
      <c r="G129" s="799">
        <v>2006</v>
      </c>
      <c r="H129" s="799">
        <v>2007</v>
      </c>
      <c r="I129" s="799">
        <v>2008</v>
      </c>
      <c r="J129" s="799">
        <v>2009</v>
      </c>
      <c r="K129" s="799">
        <v>2010</v>
      </c>
      <c r="L129" s="799">
        <v>2011</v>
      </c>
      <c r="M129" s="799">
        <v>2012</v>
      </c>
      <c r="N129" s="811">
        <v>2013</v>
      </c>
      <c r="O129" s="1200"/>
      <c r="P129" s="1200"/>
      <c r="Q129" s="95"/>
      <c r="R129" s="798" t="s">
        <v>1740</v>
      </c>
      <c r="S129" s="799">
        <v>2002</v>
      </c>
      <c r="T129" s="799">
        <v>2003</v>
      </c>
      <c r="U129" s="799">
        <v>2004</v>
      </c>
      <c r="V129" s="799">
        <v>2005</v>
      </c>
      <c r="W129" s="799">
        <v>2006</v>
      </c>
      <c r="X129" s="799">
        <v>2007</v>
      </c>
      <c r="Y129" s="799">
        <v>2008</v>
      </c>
      <c r="Z129" s="799">
        <v>2009</v>
      </c>
      <c r="AA129" s="799">
        <v>2010</v>
      </c>
      <c r="AB129" s="799">
        <v>2011</v>
      </c>
      <c r="AC129" s="799">
        <v>2012</v>
      </c>
      <c r="AD129" s="811">
        <v>2013</v>
      </c>
    </row>
    <row r="130" spans="2:30">
      <c r="B130" s="801" t="s">
        <v>1734</v>
      </c>
      <c r="C130" s="304"/>
      <c r="D130" s="304"/>
      <c r="E130" s="304">
        <v>818</v>
      </c>
      <c r="F130" s="304">
        <v>961</v>
      </c>
      <c r="G130" s="304">
        <v>1157</v>
      </c>
      <c r="H130" s="304">
        <v>1236</v>
      </c>
      <c r="I130" s="304">
        <v>1162</v>
      </c>
      <c r="J130" s="304">
        <v>1254</v>
      </c>
      <c r="K130" s="304">
        <v>1197</v>
      </c>
      <c r="L130" s="304">
        <v>1164</v>
      </c>
      <c r="M130" s="304">
        <v>1090</v>
      </c>
      <c r="N130" s="812">
        <v>918</v>
      </c>
      <c r="O130" s="1201"/>
      <c r="P130" s="1201"/>
      <c r="Q130" s="95"/>
      <c r="R130" s="801" t="s">
        <v>1734</v>
      </c>
      <c r="S130" s="805"/>
      <c r="T130" s="805"/>
      <c r="U130" s="805">
        <f>E130/E$137%</f>
        <v>68.2804674457429</v>
      </c>
      <c r="V130" s="805">
        <f t="shared" ref="V130:V136" si="140">F130/F$137%</f>
        <v>72.968868640850417</v>
      </c>
      <c r="W130" s="805">
        <f t="shared" ref="W130:W136" si="141">G130/G$137%</f>
        <v>76.673293571901922</v>
      </c>
      <c r="X130" s="805">
        <f t="shared" ref="X130:X136" si="142">H130/H$137%</f>
        <v>77.931904161412362</v>
      </c>
      <c r="Y130" s="805">
        <f t="shared" ref="Y130:Y136" si="143">I130/I$137%</f>
        <v>72.579637726420984</v>
      </c>
      <c r="Z130" s="805">
        <f t="shared" ref="Z130:Z136" si="144">J130/J$137%</f>
        <v>74.509803921568633</v>
      </c>
      <c r="AA130" s="805">
        <f t="shared" ref="AA130:AA136" si="145">K130/K$137%</f>
        <v>74.163568773234203</v>
      </c>
      <c r="AB130" s="805">
        <f t="shared" ref="AB130:AB136" si="146">L130/L$137%</f>
        <v>74.855305466237937</v>
      </c>
      <c r="AC130" s="805">
        <f t="shared" ref="AC130:AC136" si="147">M130/M$137%</f>
        <v>74.759945130315501</v>
      </c>
      <c r="AD130" s="814">
        <f>N130/N$137%</f>
        <v>80.738786279683382</v>
      </c>
    </row>
    <row r="131" spans="2:30">
      <c r="B131" s="801" t="s">
        <v>1866</v>
      </c>
      <c r="C131" s="304"/>
      <c r="D131" s="304"/>
      <c r="E131" s="304">
        <v>154</v>
      </c>
      <c r="F131" s="304">
        <v>179</v>
      </c>
      <c r="G131" s="304">
        <v>144</v>
      </c>
      <c r="H131" s="304">
        <v>140</v>
      </c>
      <c r="I131" s="304">
        <v>152</v>
      </c>
      <c r="J131" s="304">
        <v>127</v>
      </c>
      <c r="K131" s="304">
        <v>134</v>
      </c>
      <c r="L131" s="304">
        <v>101</v>
      </c>
      <c r="M131" s="304">
        <v>87</v>
      </c>
      <c r="N131" s="812">
        <v>87</v>
      </c>
      <c r="O131" s="1201"/>
      <c r="P131" s="1201"/>
      <c r="Q131" s="95"/>
      <c r="R131" s="801" t="s">
        <v>1866</v>
      </c>
      <c r="S131" s="805"/>
      <c r="T131" s="805"/>
      <c r="U131" s="805">
        <f t="shared" ref="U131:U136" si="148">E131/E$137%</f>
        <v>12.854757929883139</v>
      </c>
      <c r="V131" s="805">
        <f t="shared" si="140"/>
        <v>13.591495823842065</v>
      </c>
      <c r="W131" s="805">
        <f t="shared" si="141"/>
        <v>9.5427435387673949</v>
      </c>
      <c r="X131" s="805">
        <f t="shared" si="142"/>
        <v>8.827238335435057</v>
      </c>
      <c r="Y131" s="805">
        <f t="shared" si="143"/>
        <v>9.4940662086196124</v>
      </c>
      <c r="Z131" s="805">
        <f t="shared" si="144"/>
        <v>7.5460487225193118</v>
      </c>
      <c r="AA131" s="805">
        <f t="shared" si="145"/>
        <v>8.3023543990086743</v>
      </c>
      <c r="AB131" s="805">
        <f t="shared" si="146"/>
        <v>6.495176848874598</v>
      </c>
      <c r="AC131" s="805">
        <f t="shared" si="147"/>
        <v>5.9670781893004117</v>
      </c>
      <c r="AD131" s="814">
        <f t="shared" ref="AD131:AD136" si="149">N131/N$137%</f>
        <v>7.6517150395778373</v>
      </c>
    </row>
    <row r="132" spans="2:30">
      <c r="B132" s="801" t="s">
        <v>1735</v>
      </c>
      <c r="C132" s="304"/>
      <c r="D132" s="304"/>
      <c r="E132" s="304">
        <v>48</v>
      </c>
      <c r="F132" s="304">
        <v>69</v>
      </c>
      <c r="G132" s="304">
        <v>82</v>
      </c>
      <c r="H132" s="304">
        <v>95</v>
      </c>
      <c r="I132" s="304">
        <v>68</v>
      </c>
      <c r="J132" s="304">
        <v>63</v>
      </c>
      <c r="K132" s="304">
        <v>32</v>
      </c>
      <c r="L132" s="304">
        <v>52</v>
      </c>
      <c r="M132" s="304">
        <v>66</v>
      </c>
      <c r="N132" s="812">
        <v>43</v>
      </c>
      <c r="O132" s="1201"/>
      <c r="P132" s="1201"/>
      <c r="Q132" s="95"/>
      <c r="R132" s="801" t="s">
        <v>1735</v>
      </c>
      <c r="S132" s="805"/>
      <c r="T132" s="805"/>
      <c r="U132" s="805">
        <f t="shared" si="148"/>
        <v>4.006677796327212</v>
      </c>
      <c r="V132" s="805">
        <f t="shared" si="140"/>
        <v>5.2391799544419131</v>
      </c>
      <c r="W132" s="805">
        <f t="shared" si="141"/>
        <v>5.4340622929092115</v>
      </c>
      <c r="X132" s="805">
        <f t="shared" si="142"/>
        <v>5.9899117276166463</v>
      </c>
      <c r="Y132" s="805">
        <f t="shared" si="143"/>
        <v>4.2473454091193004</v>
      </c>
      <c r="Z132" s="805">
        <f t="shared" si="144"/>
        <v>3.7433155080213907</v>
      </c>
      <c r="AA132" s="805">
        <f t="shared" si="145"/>
        <v>1.9826517967781907</v>
      </c>
      <c r="AB132" s="805">
        <f t="shared" si="146"/>
        <v>3.3440514469453375</v>
      </c>
      <c r="AC132" s="805">
        <f t="shared" si="147"/>
        <v>4.5267489711934159</v>
      </c>
      <c r="AD132" s="814">
        <f t="shared" si="149"/>
        <v>3.7818821459982415</v>
      </c>
    </row>
    <row r="133" spans="2:30">
      <c r="B133" s="801" t="s">
        <v>1736</v>
      </c>
      <c r="C133" s="304"/>
      <c r="D133" s="304"/>
      <c r="E133" s="304">
        <v>35</v>
      </c>
      <c r="F133" s="304">
        <v>35</v>
      </c>
      <c r="G133" s="304">
        <v>43</v>
      </c>
      <c r="H133" s="304">
        <v>43</v>
      </c>
      <c r="I133" s="304">
        <v>41</v>
      </c>
      <c r="J133" s="304">
        <v>54</v>
      </c>
      <c r="K133" s="304">
        <v>52</v>
      </c>
      <c r="L133" s="304">
        <v>35</v>
      </c>
      <c r="M133" s="304">
        <v>33</v>
      </c>
      <c r="N133" s="812">
        <v>41</v>
      </c>
      <c r="O133" s="1201"/>
      <c r="P133" s="1201"/>
      <c r="Q133" s="95"/>
      <c r="R133" s="801" t="s">
        <v>1736</v>
      </c>
      <c r="S133" s="805"/>
      <c r="T133" s="805"/>
      <c r="U133" s="805">
        <f t="shared" si="148"/>
        <v>2.9215358931552586</v>
      </c>
      <c r="V133" s="805">
        <f t="shared" si="140"/>
        <v>2.6575550493545936</v>
      </c>
      <c r="W133" s="805">
        <f t="shared" si="141"/>
        <v>2.8495692511597084</v>
      </c>
      <c r="X133" s="805">
        <f t="shared" si="142"/>
        <v>2.7112232030264818</v>
      </c>
      <c r="Y133" s="805">
        <f t="shared" si="143"/>
        <v>2.5608994378513428</v>
      </c>
      <c r="Z133" s="805">
        <f t="shared" si="144"/>
        <v>3.2085561497326207</v>
      </c>
      <c r="AA133" s="805">
        <f t="shared" si="145"/>
        <v>3.2218091697645601</v>
      </c>
      <c r="AB133" s="805">
        <f t="shared" si="146"/>
        <v>2.2508038585209</v>
      </c>
      <c r="AC133" s="805">
        <f t="shared" si="147"/>
        <v>2.263374485596708</v>
      </c>
      <c r="AD133" s="814">
        <f t="shared" si="149"/>
        <v>3.6059806508355323</v>
      </c>
    </row>
    <row r="134" spans="2:30">
      <c r="B134" s="801" t="s">
        <v>1737</v>
      </c>
      <c r="C134" s="304"/>
      <c r="D134" s="304"/>
      <c r="E134" s="304">
        <v>53</v>
      </c>
      <c r="F134" s="304">
        <v>59</v>
      </c>
      <c r="G134" s="304">
        <v>54</v>
      </c>
      <c r="H134" s="304">
        <v>32</v>
      </c>
      <c r="I134" s="304">
        <v>34</v>
      </c>
      <c r="J134" s="304">
        <v>18</v>
      </c>
      <c r="K134" s="304">
        <v>18</v>
      </c>
      <c r="L134" s="304">
        <v>11</v>
      </c>
      <c r="M134" s="304">
        <v>4</v>
      </c>
      <c r="N134" s="812">
        <v>6</v>
      </c>
      <c r="O134" s="1201"/>
      <c r="P134" s="1201"/>
      <c r="Q134" s="95"/>
      <c r="R134" s="801" t="s">
        <v>1737</v>
      </c>
      <c r="S134" s="805"/>
      <c r="T134" s="805"/>
      <c r="U134" s="805">
        <f t="shared" si="148"/>
        <v>4.4240400667779634</v>
      </c>
      <c r="V134" s="805">
        <f t="shared" si="140"/>
        <v>4.4798785117691722</v>
      </c>
      <c r="W134" s="805">
        <f t="shared" si="141"/>
        <v>3.5785288270377733</v>
      </c>
      <c r="X134" s="805">
        <f t="shared" si="142"/>
        <v>2.0176544766708702</v>
      </c>
      <c r="Y134" s="805">
        <f t="shared" si="143"/>
        <v>2.1236727045596502</v>
      </c>
      <c r="Z134" s="805">
        <f t="shared" si="144"/>
        <v>1.0695187165775402</v>
      </c>
      <c r="AA134" s="805">
        <f t="shared" si="145"/>
        <v>1.1152416356877324</v>
      </c>
      <c r="AB134" s="805">
        <f t="shared" si="146"/>
        <v>0.70739549839228288</v>
      </c>
      <c r="AC134" s="805">
        <f t="shared" si="147"/>
        <v>0.27434842249657065</v>
      </c>
      <c r="AD134" s="814">
        <f t="shared" si="149"/>
        <v>0.52770448548812665</v>
      </c>
    </row>
    <row r="135" spans="2:30">
      <c r="B135" s="801" t="s">
        <v>1738</v>
      </c>
      <c r="C135" s="304"/>
      <c r="D135" s="304"/>
      <c r="E135" s="304"/>
      <c r="F135" s="304"/>
      <c r="G135" s="304">
        <v>2</v>
      </c>
      <c r="H135" s="304">
        <v>22</v>
      </c>
      <c r="I135" s="304">
        <v>123</v>
      </c>
      <c r="J135" s="304">
        <v>148</v>
      </c>
      <c r="K135" s="304">
        <v>165</v>
      </c>
      <c r="L135" s="304">
        <v>180</v>
      </c>
      <c r="M135" s="304">
        <v>154</v>
      </c>
      <c r="N135" s="812">
        <v>8</v>
      </c>
      <c r="O135" s="1201"/>
      <c r="P135" s="1201"/>
      <c r="Q135" s="95"/>
      <c r="R135" s="801" t="s">
        <v>1738</v>
      </c>
      <c r="S135" s="805"/>
      <c r="T135" s="805"/>
      <c r="U135" s="805">
        <f t="shared" si="148"/>
        <v>0</v>
      </c>
      <c r="V135" s="805">
        <f t="shared" si="140"/>
        <v>0</v>
      </c>
      <c r="W135" s="805">
        <f t="shared" si="141"/>
        <v>0.13253810470510272</v>
      </c>
      <c r="X135" s="805">
        <f t="shared" si="142"/>
        <v>1.3871374527112232</v>
      </c>
      <c r="Y135" s="805">
        <f t="shared" si="143"/>
        <v>7.6826983135540283</v>
      </c>
      <c r="Z135" s="805">
        <f t="shared" si="144"/>
        <v>8.7938205585264413</v>
      </c>
      <c r="AA135" s="805">
        <f t="shared" si="145"/>
        <v>10.223048327137546</v>
      </c>
      <c r="AB135" s="805">
        <f t="shared" si="146"/>
        <v>11.57556270096463</v>
      </c>
      <c r="AC135" s="805">
        <f t="shared" si="147"/>
        <v>10.562414266117969</v>
      </c>
      <c r="AD135" s="814">
        <f t="shared" si="149"/>
        <v>0.70360598065083557</v>
      </c>
    </row>
    <row r="136" spans="2:30">
      <c r="B136" s="801" t="s">
        <v>1739</v>
      </c>
      <c r="C136" s="304"/>
      <c r="D136" s="304"/>
      <c r="E136" s="304">
        <v>90</v>
      </c>
      <c r="F136" s="304">
        <v>14</v>
      </c>
      <c r="G136" s="304">
        <v>27</v>
      </c>
      <c r="H136" s="304">
        <v>18</v>
      </c>
      <c r="I136" s="304">
        <v>21</v>
      </c>
      <c r="J136" s="304">
        <v>19</v>
      </c>
      <c r="K136" s="304">
        <v>16</v>
      </c>
      <c r="L136" s="304">
        <v>12</v>
      </c>
      <c r="M136" s="304">
        <v>24</v>
      </c>
      <c r="N136" s="812">
        <v>34</v>
      </c>
      <c r="O136" s="1201"/>
      <c r="P136" s="1201"/>
      <c r="Q136" s="95"/>
      <c r="R136" s="801" t="s">
        <v>1739</v>
      </c>
      <c r="S136" s="805"/>
      <c r="T136" s="805"/>
      <c r="U136" s="805">
        <f t="shared" si="148"/>
        <v>7.5125208681135227</v>
      </c>
      <c r="V136" s="805">
        <f t="shared" si="140"/>
        <v>1.0630220197418374</v>
      </c>
      <c r="W136" s="805">
        <f t="shared" si="141"/>
        <v>1.7892644135188867</v>
      </c>
      <c r="X136" s="805">
        <f t="shared" si="142"/>
        <v>1.1349306431273645</v>
      </c>
      <c r="Y136" s="805">
        <f t="shared" si="143"/>
        <v>1.311680199875078</v>
      </c>
      <c r="Z136" s="805">
        <f t="shared" si="144"/>
        <v>1.1289364230540702</v>
      </c>
      <c r="AA136" s="805">
        <f t="shared" si="145"/>
        <v>0.99132589838909535</v>
      </c>
      <c r="AB136" s="805">
        <f t="shared" si="146"/>
        <v>0.77170418006430863</v>
      </c>
      <c r="AC136" s="805">
        <f t="shared" si="147"/>
        <v>1.6460905349794239</v>
      </c>
      <c r="AD136" s="814">
        <f t="shared" si="149"/>
        <v>2.9903254177660514</v>
      </c>
    </row>
    <row r="137" spans="2:30" ht="13.5" thickBot="1">
      <c r="B137" s="802" t="s">
        <v>4</v>
      </c>
      <c r="C137" s="803"/>
      <c r="D137" s="803"/>
      <c r="E137" s="803">
        <f t="shared" ref="E137:N137" si="150">SUM(E130:E136)</f>
        <v>1198</v>
      </c>
      <c r="F137" s="803">
        <f t="shared" si="150"/>
        <v>1317</v>
      </c>
      <c r="G137" s="803">
        <f t="shared" si="150"/>
        <v>1509</v>
      </c>
      <c r="H137" s="803">
        <f t="shared" si="150"/>
        <v>1586</v>
      </c>
      <c r="I137" s="803">
        <f t="shared" si="150"/>
        <v>1601</v>
      </c>
      <c r="J137" s="803">
        <f t="shared" si="150"/>
        <v>1683</v>
      </c>
      <c r="K137" s="803">
        <f t="shared" si="150"/>
        <v>1614</v>
      </c>
      <c r="L137" s="803">
        <f t="shared" si="150"/>
        <v>1555</v>
      </c>
      <c r="M137" s="803">
        <f t="shared" si="150"/>
        <v>1458</v>
      </c>
      <c r="N137" s="813">
        <f t="shared" si="150"/>
        <v>1137</v>
      </c>
      <c r="O137" s="1202"/>
      <c r="P137" s="1202"/>
      <c r="Q137" s="95"/>
      <c r="R137" s="802" t="s">
        <v>4</v>
      </c>
      <c r="S137" s="803"/>
      <c r="T137" s="803"/>
      <c r="U137" s="803">
        <f t="shared" ref="U137:AD137" si="151">SUM(U130:U136)</f>
        <v>99.999999999999986</v>
      </c>
      <c r="V137" s="803">
        <f t="shared" si="151"/>
        <v>100</v>
      </c>
      <c r="W137" s="803">
        <f t="shared" si="151"/>
        <v>100.00000000000001</v>
      </c>
      <c r="X137" s="803">
        <f t="shared" si="151"/>
        <v>100</v>
      </c>
      <c r="Y137" s="803">
        <f t="shared" si="151"/>
        <v>100.00000000000001</v>
      </c>
      <c r="Z137" s="803">
        <f t="shared" si="151"/>
        <v>100.00000000000001</v>
      </c>
      <c r="AA137" s="803">
        <f t="shared" si="151"/>
        <v>100</v>
      </c>
      <c r="AB137" s="803">
        <f t="shared" si="151"/>
        <v>99.999999999999986</v>
      </c>
      <c r="AC137" s="803">
        <f t="shared" si="151"/>
        <v>100</v>
      </c>
      <c r="AD137" s="813">
        <f t="shared" si="151"/>
        <v>100</v>
      </c>
    </row>
    <row r="138" spans="2:30" ht="13.5" thickBot="1"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</row>
    <row r="139" spans="2:30">
      <c r="B139" s="798" t="s">
        <v>1741</v>
      </c>
      <c r="C139" s="799">
        <v>2002</v>
      </c>
      <c r="D139" s="799">
        <v>2003</v>
      </c>
      <c r="E139" s="799">
        <v>2004</v>
      </c>
      <c r="F139" s="799">
        <v>2005</v>
      </c>
      <c r="G139" s="799">
        <v>2006</v>
      </c>
      <c r="H139" s="799">
        <v>2007</v>
      </c>
      <c r="I139" s="799">
        <v>2008</v>
      </c>
      <c r="J139" s="799">
        <v>2009</v>
      </c>
      <c r="K139" s="799">
        <v>2010</v>
      </c>
      <c r="L139" s="799">
        <v>2011</v>
      </c>
      <c r="M139" s="799">
        <v>2012</v>
      </c>
      <c r="N139" s="811">
        <v>2013</v>
      </c>
      <c r="O139" s="1200"/>
      <c r="P139" s="1200"/>
      <c r="Q139" s="95"/>
      <c r="R139" s="798" t="s">
        <v>1741</v>
      </c>
      <c r="S139" s="799">
        <v>2002</v>
      </c>
      <c r="T139" s="799">
        <v>2003</v>
      </c>
      <c r="U139" s="799">
        <v>2004</v>
      </c>
      <c r="V139" s="799">
        <v>2005</v>
      </c>
      <c r="W139" s="799">
        <v>2006</v>
      </c>
      <c r="X139" s="799">
        <v>2007</v>
      </c>
      <c r="Y139" s="799">
        <v>2008</v>
      </c>
      <c r="Z139" s="799">
        <v>2009</v>
      </c>
      <c r="AA139" s="799">
        <v>2010</v>
      </c>
      <c r="AB139" s="799">
        <v>2011</v>
      </c>
      <c r="AC139" s="799">
        <v>2012</v>
      </c>
      <c r="AD139" s="800">
        <v>2013</v>
      </c>
    </row>
    <row r="140" spans="2:30">
      <c r="B140" s="801" t="s">
        <v>1734</v>
      </c>
      <c r="C140" s="304"/>
      <c r="D140" s="304"/>
      <c r="E140" s="304">
        <v>61</v>
      </c>
      <c r="F140" s="65">
        <v>118</v>
      </c>
      <c r="G140" s="65">
        <v>211</v>
      </c>
      <c r="H140" s="65">
        <v>199</v>
      </c>
      <c r="I140" s="65">
        <v>209</v>
      </c>
      <c r="J140" s="65">
        <v>295</v>
      </c>
      <c r="K140" s="65">
        <v>442</v>
      </c>
      <c r="L140" s="65">
        <v>378</v>
      </c>
      <c r="M140" s="65">
        <v>135</v>
      </c>
      <c r="N140" s="812">
        <v>32</v>
      </c>
      <c r="O140" s="1201"/>
      <c r="P140" s="1201"/>
      <c r="Q140" s="95"/>
      <c r="R140" s="801" t="s">
        <v>1734</v>
      </c>
      <c r="S140" s="805"/>
      <c r="T140" s="805"/>
      <c r="U140" s="805">
        <f>E140/E$147%</f>
        <v>59.223300970873787</v>
      </c>
      <c r="V140" s="805">
        <f t="shared" ref="V140:V146" si="152">F140/F$147%</f>
        <v>68.604651162790702</v>
      </c>
      <c r="W140" s="805">
        <f t="shared" ref="W140:W146" si="153">G140/G$147%</f>
        <v>68.954248366013076</v>
      </c>
      <c r="X140" s="805">
        <f t="shared" ref="X140:X146" si="154">H140/H$147%</f>
        <v>72.101449275362327</v>
      </c>
      <c r="Y140" s="805">
        <f t="shared" ref="Y140:Y146" si="155">I140/I$147%</f>
        <v>78.277153558052433</v>
      </c>
      <c r="Z140" s="805">
        <f t="shared" ref="Z140:Z146" si="156">J140/J$147%</f>
        <v>79.3010752688172</v>
      </c>
      <c r="AA140" s="805">
        <f t="shared" ref="AA140:AA146" si="157">K140/K$147%</f>
        <v>83.5538752362949</v>
      </c>
      <c r="AB140" s="805">
        <f t="shared" ref="AB140:AB146" si="158">L140/L$147%</f>
        <v>79.915433403805494</v>
      </c>
      <c r="AC140" s="805">
        <f t="shared" ref="AC140:AD146" si="159">M140/M$147%</f>
        <v>71.428571428571431</v>
      </c>
      <c r="AD140" s="814">
        <f t="shared" si="159"/>
        <v>88.888888888888886</v>
      </c>
    </row>
    <row r="141" spans="2:30">
      <c r="B141" s="801" t="s">
        <v>1866</v>
      </c>
      <c r="C141" s="304"/>
      <c r="D141" s="304"/>
      <c r="E141" s="304">
        <v>11</v>
      </c>
      <c r="F141" s="65">
        <v>11</v>
      </c>
      <c r="G141" s="65">
        <v>37</v>
      </c>
      <c r="H141" s="65">
        <v>23</v>
      </c>
      <c r="I141" s="65">
        <v>12</v>
      </c>
      <c r="J141" s="65">
        <v>24</v>
      </c>
      <c r="K141" s="65">
        <v>9</v>
      </c>
      <c r="L141" s="65">
        <v>3</v>
      </c>
      <c r="M141" s="65">
        <v>2</v>
      </c>
      <c r="N141" s="812">
        <v>0</v>
      </c>
      <c r="O141" s="1201"/>
      <c r="P141" s="1201"/>
      <c r="Q141" s="95"/>
      <c r="R141" s="801" t="s">
        <v>1866</v>
      </c>
      <c r="S141" s="805"/>
      <c r="T141" s="805"/>
      <c r="U141" s="805">
        <f t="shared" ref="U141:U146" si="160">E141/E$147%</f>
        <v>10.679611650485437</v>
      </c>
      <c r="V141" s="805">
        <f t="shared" si="152"/>
        <v>6.3953488372093021</v>
      </c>
      <c r="W141" s="805">
        <f t="shared" si="153"/>
        <v>12.091503267973856</v>
      </c>
      <c r="X141" s="805">
        <f t="shared" si="154"/>
        <v>8.3333333333333339</v>
      </c>
      <c r="Y141" s="805">
        <f t="shared" si="155"/>
        <v>4.4943820224719104</v>
      </c>
      <c r="Z141" s="805">
        <f t="shared" si="156"/>
        <v>6.4516129032258061</v>
      </c>
      <c r="AA141" s="805">
        <f t="shared" si="157"/>
        <v>1.7013232514177694</v>
      </c>
      <c r="AB141" s="805">
        <f t="shared" si="158"/>
        <v>0.63424947145877375</v>
      </c>
      <c r="AC141" s="805">
        <f t="shared" si="159"/>
        <v>1.0582010582010584</v>
      </c>
      <c r="AD141" s="814">
        <f t="shared" si="159"/>
        <v>0</v>
      </c>
    </row>
    <row r="142" spans="2:30">
      <c r="B142" s="801" t="s">
        <v>1735</v>
      </c>
      <c r="C142" s="304"/>
      <c r="D142" s="304"/>
      <c r="E142" s="304">
        <v>12</v>
      </c>
      <c r="F142" s="65">
        <v>8</v>
      </c>
      <c r="G142" s="65">
        <v>23</v>
      </c>
      <c r="H142" s="65">
        <v>20</v>
      </c>
      <c r="I142" s="65">
        <v>15</v>
      </c>
      <c r="J142" s="65">
        <v>9</v>
      </c>
      <c r="K142" s="65">
        <v>9</v>
      </c>
      <c r="L142" s="65">
        <v>11</v>
      </c>
      <c r="M142" s="65">
        <v>5</v>
      </c>
      <c r="N142" s="812">
        <v>0</v>
      </c>
      <c r="O142" s="1201"/>
      <c r="P142" s="1201"/>
      <c r="Q142" s="95"/>
      <c r="R142" s="801" t="s">
        <v>1735</v>
      </c>
      <c r="S142" s="805"/>
      <c r="T142" s="805"/>
      <c r="U142" s="805">
        <f t="shared" si="160"/>
        <v>11.650485436893204</v>
      </c>
      <c r="V142" s="805">
        <f t="shared" si="152"/>
        <v>4.6511627906976747</v>
      </c>
      <c r="W142" s="805">
        <f t="shared" si="153"/>
        <v>7.5163398692810457</v>
      </c>
      <c r="X142" s="805">
        <f t="shared" si="154"/>
        <v>7.2463768115942031</v>
      </c>
      <c r="Y142" s="805">
        <f t="shared" si="155"/>
        <v>5.617977528089888</v>
      </c>
      <c r="Z142" s="805">
        <f t="shared" si="156"/>
        <v>2.4193548387096775</v>
      </c>
      <c r="AA142" s="805">
        <f t="shared" si="157"/>
        <v>1.7013232514177694</v>
      </c>
      <c r="AB142" s="805">
        <f t="shared" si="158"/>
        <v>2.3255813953488369</v>
      </c>
      <c r="AC142" s="805">
        <f t="shared" si="159"/>
        <v>2.6455026455026456</v>
      </c>
      <c r="AD142" s="814">
        <f t="shared" si="159"/>
        <v>0</v>
      </c>
    </row>
    <row r="143" spans="2:30">
      <c r="B143" s="801" t="s">
        <v>1736</v>
      </c>
      <c r="C143" s="304"/>
      <c r="D143" s="304"/>
      <c r="E143" s="304">
        <v>2</v>
      </c>
      <c r="F143" s="65">
        <v>3</v>
      </c>
      <c r="G143" s="65">
        <v>7</v>
      </c>
      <c r="H143" s="65">
        <v>3</v>
      </c>
      <c r="I143" s="65">
        <v>11</v>
      </c>
      <c r="J143" s="65">
        <v>9</v>
      </c>
      <c r="K143" s="65">
        <v>11</v>
      </c>
      <c r="L143" s="65">
        <v>12</v>
      </c>
      <c r="M143" s="65">
        <v>0</v>
      </c>
      <c r="N143" s="812">
        <v>0</v>
      </c>
      <c r="O143" s="1201"/>
      <c r="P143" s="1201"/>
      <c r="Q143" s="95"/>
      <c r="R143" s="801" t="s">
        <v>1736</v>
      </c>
      <c r="S143" s="805"/>
      <c r="T143" s="805"/>
      <c r="U143" s="805">
        <f t="shared" si="160"/>
        <v>1.941747572815534</v>
      </c>
      <c r="V143" s="805">
        <f t="shared" si="152"/>
        <v>1.7441860465116279</v>
      </c>
      <c r="W143" s="805">
        <f t="shared" si="153"/>
        <v>2.2875816993464051</v>
      </c>
      <c r="X143" s="805">
        <f t="shared" si="154"/>
        <v>1.0869565217391306</v>
      </c>
      <c r="Y143" s="805">
        <f t="shared" si="155"/>
        <v>4.1198501872659179</v>
      </c>
      <c r="Z143" s="805">
        <f t="shared" si="156"/>
        <v>2.4193548387096775</v>
      </c>
      <c r="AA143" s="805">
        <f t="shared" si="157"/>
        <v>2.0793950850661624</v>
      </c>
      <c r="AB143" s="805">
        <f t="shared" si="158"/>
        <v>2.536997885835095</v>
      </c>
      <c r="AC143" s="805">
        <f t="shared" si="159"/>
        <v>0</v>
      </c>
      <c r="AD143" s="814">
        <f t="shared" si="159"/>
        <v>0</v>
      </c>
    </row>
    <row r="144" spans="2:30">
      <c r="B144" s="801" t="s">
        <v>1737</v>
      </c>
      <c r="C144" s="304"/>
      <c r="D144" s="304"/>
      <c r="E144" s="304">
        <v>17</v>
      </c>
      <c r="F144" s="65">
        <v>32</v>
      </c>
      <c r="G144" s="65">
        <v>26</v>
      </c>
      <c r="H144" s="65">
        <v>26</v>
      </c>
      <c r="I144" s="65">
        <v>12</v>
      </c>
      <c r="J144" s="65">
        <v>10</v>
      </c>
      <c r="K144" s="65">
        <v>0</v>
      </c>
      <c r="L144" s="65">
        <v>0</v>
      </c>
      <c r="M144" s="65">
        <v>0</v>
      </c>
      <c r="N144" s="812">
        <v>0</v>
      </c>
      <c r="O144" s="1201"/>
      <c r="P144" s="1201"/>
      <c r="Q144" s="95"/>
      <c r="R144" s="801" t="s">
        <v>1737</v>
      </c>
      <c r="S144" s="805"/>
      <c r="T144" s="805"/>
      <c r="U144" s="805">
        <f t="shared" si="160"/>
        <v>16.504854368932037</v>
      </c>
      <c r="V144" s="805">
        <f t="shared" si="152"/>
        <v>18.604651162790699</v>
      </c>
      <c r="W144" s="805">
        <f t="shared" si="153"/>
        <v>8.4967320261437909</v>
      </c>
      <c r="X144" s="805">
        <f t="shared" si="154"/>
        <v>9.4202898550724647</v>
      </c>
      <c r="Y144" s="805">
        <f t="shared" si="155"/>
        <v>4.4943820224719104</v>
      </c>
      <c r="Z144" s="805">
        <f t="shared" si="156"/>
        <v>2.6881720430107525</v>
      </c>
      <c r="AA144" s="805">
        <f t="shared" si="157"/>
        <v>0</v>
      </c>
      <c r="AB144" s="805">
        <f t="shared" si="158"/>
        <v>0</v>
      </c>
      <c r="AC144" s="805">
        <f t="shared" si="159"/>
        <v>0</v>
      </c>
      <c r="AD144" s="814">
        <f t="shared" si="159"/>
        <v>0</v>
      </c>
    </row>
    <row r="145" spans="2:30">
      <c r="B145" s="801" t="s">
        <v>1738</v>
      </c>
      <c r="C145" s="304"/>
      <c r="D145" s="304"/>
      <c r="J145" s="65">
        <v>18</v>
      </c>
      <c r="K145" s="65">
        <v>45</v>
      </c>
      <c r="L145" s="65">
        <v>57</v>
      </c>
      <c r="M145" s="65">
        <v>32</v>
      </c>
      <c r="N145" s="812">
        <v>0</v>
      </c>
      <c r="O145" s="1201"/>
      <c r="P145" s="1201"/>
      <c r="Q145" s="95"/>
      <c r="R145" s="801" t="s">
        <v>1738</v>
      </c>
      <c r="S145" s="805"/>
      <c r="T145" s="805"/>
      <c r="U145" s="805">
        <f t="shared" si="160"/>
        <v>0</v>
      </c>
      <c r="V145" s="805">
        <f t="shared" si="152"/>
        <v>0</v>
      </c>
      <c r="W145" s="805">
        <f t="shared" si="153"/>
        <v>0</v>
      </c>
      <c r="X145" s="805">
        <f t="shared" si="154"/>
        <v>0</v>
      </c>
      <c r="Y145" s="805">
        <f t="shared" si="155"/>
        <v>0</v>
      </c>
      <c r="Z145" s="805">
        <f t="shared" si="156"/>
        <v>4.838709677419355</v>
      </c>
      <c r="AA145" s="805">
        <f t="shared" si="157"/>
        <v>8.5066162570888473</v>
      </c>
      <c r="AB145" s="805">
        <f t="shared" si="158"/>
        <v>12.050739957716701</v>
      </c>
      <c r="AC145" s="805">
        <f t="shared" si="159"/>
        <v>16.931216931216934</v>
      </c>
      <c r="AD145" s="814">
        <f t="shared" si="159"/>
        <v>0</v>
      </c>
    </row>
    <row r="146" spans="2:30">
      <c r="B146" s="801" t="s">
        <v>1739</v>
      </c>
      <c r="C146" s="304"/>
      <c r="D146" s="304"/>
      <c r="E146" s="304">
        <v>0</v>
      </c>
      <c r="F146" s="65">
        <v>0</v>
      </c>
      <c r="G146" s="65">
        <v>2</v>
      </c>
      <c r="H146" s="65">
        <v>5</v>
      </c>
      <c r="I146" s="65">
        <v>8</v>
      </c>
      <c r="J146" s="65">
        <v>7</v>
      </c>
      <c r="K146" s="65">
        <v>13</v>
      </c>
      <c r="L146" s="65">
        <v>12</v>
      </c>
      <c r="M146" s="65">
        <v>15</v>
      </c>
      <c r="N146" s="812">
        <v>4</v>
      </c>
      <c r="O146" s="1201"/>
      <c r="P146" s="1201"/>
      <c r="Q146" s="95"/>
      <c r="R146" s="801" t="s">
        <v>1739</v>
      </c>
      <c r="S146" s="805"/>
      <c r="T146" s="805"/>
      <c r="U146" s="805">
        <f t="shared" si="160"/>
        <v>0</v>
      </c>
      <c r="V146" s="805">
        <f t="shared" si="152"/>
        <v>0</v>
      </c>
      <c r="W146" s="805">
        <f t="shared" si="153"/>
        <v>0.65359477124183007</v>
      </c>
      <c r="X146" s="805">
        <f t="shared" si="154"/>
        <v>1.8115942028985508</v>
      </c>
      <c r="Y146" s="805">
        <f t="shared" si="155"/>
        <v>2.9962546816479403</v>
      </c>
      <c r="Z146" s="805">
        <f t="shared" si="156"/>
        <v>1.8817204301075268</v>
      </c>
      <c r="AA146" s="805">
        <f t="shared" si="157"/>
        <v>2.4574669187145557</v>
      </c>
      <c r="AB146" s="805">
        <f t="shared" si="158"/>
        <v>2.536997885835095</v>
      </c>
      <c r="AC146" s="805">
        <f t="shared" si="159"/>
        <v>7.9365079365079367</v>
      </c>
      <c r="AD146" s="814">
        <f t="shared" si="159"/>
        <v>11.111111111111111</v>
      </c>
    </row>
    <row r="147" spans="2:30" ht="13.5" thickBot="1">
      <c r="B147" s="802" t="s">
        <v>4</v>
      </c>
      <c r="C147" s="803"/>
      <c r="D147" s="803"/>
      <c r="E147" s="803">
        <f>SUM(E140:E146)</f>
        <v>103</v>
      </c>
      <c r="F147" s="803">
        <f>SUM(F140:F146)</f>
        <v>172</v>
      </c>
      <c r="G147" s="803">
        <f>SUM(G140:G146)</f>
        <v>306</v>
      </c>
      <c r="H147" s="803">
        <f>SUM(H140:H146)</f>
        <v>276</v>
      </c>
      <c r="I147" s="803">
        <f t="shared" ref="I147" si="161">SUM(I140:I146)</f>
        <v>267</v>
      </c>
      <c r="J147" s="803">
        <f t="shared" ref="J147" si="162">SUM(J140:J146)</f>
        <v>372</v>
      </c>
      <c r="K147" s="803">
        <f t="shared" ref="K147:L147" si="163">SUM(K140:K146)</f>
        <v>529</v>
      </c>
      <c r="L147" s="803">
        <f t="shared" si="163"/>
        <v>473</v>
      </c>
      <c r="M147" s="803">
        <f t="shared" ref="M147:N147" si="164">SUM(M140:M146)</f>
        <v>189</v>
      </c>
      <c r="N147" s="813">
        <f t="shared" si="164"/>
        <v>36</v>
      </c>
      <c r="O147" s="1202"/>
      <c r="P147" s="1202"/>
      <c r="Q147" s="153"/>
      <c r="R147" s="802" t="s">
        <v>4</v>
      </c>
      <c r="S147" s="803"/>
      <c r="T147" s="803"/>
      <c r="U147" s="803">
        <f t="shared" ref="U147:AD147" si="165">SUM(U140:U146)</f>
        <v>100</v>
      </c>
      <c r="V147" s="803">
        <f t="shared" si="165"/>
        <v>100</v>
      </c>
      <c r="W147" s="803">
        <f t="shared" si="165"/>
        <v>99.999999999999986</v>
      </c>
      <c r="X147" s="803">
        <f t="shared" si="165"/>
        <v>100</v>
      </c>
      <c r="Y147" s="803">
        <f t="shared" si="165"/>
        <v>100</v>
      </c>
      <c r="Z147" s="803">
        <f t="shared" si="165"/>
        <v>100</v>
      </c>
      <c r="AA147" s="803">
        <f t="shared" si="165"/>
        <v>100.00000000000003</v>
      </c>
      <c r="AB147" s="803">
        <f t="shared" si="165"/>
        <v>99.999999999999986</v>
      </c>
      <c r="AC147" s="803">
        <f t="shared" si="165"/>
        <v>100.00000000000001</v>
      </c>
      <c r="AD147" s="813">
        <f t="shared" si="165"/>
        <v>100</v>
      </c>
    </row>
    <row r="148" spans="2:30">
      <c r="C148" s="95"/>
      <c r="D148" s="95"/>
      <c r="E148" s="95"/>
      <c r="F148" s="95"/>
      <c r="G148" s="153"/>
      <c r="H148" s="153"/>
      <c r="I148" s="95"/>
      <c r="J148" s="95"/>
      <c r="K148" s="95"/>
      <c r="L148" s="95"/>
      <c r="M148" s="95"/>
      <c r="N148" s="95"/>
      <c r="O148" s="95"/>
      <c r="P148" s="95"/>
      <c r="Q148" s="95"/>
    </row>
    <row r="149" spans="2:30">
      <c r="B149" s="148" t="s">
        <v>1868</v>
      </c>
      <c r="I149" s="807" t="s">
        <v>1732</v>
      </c>
    </row>
    <row r="175" spans="2:22">
      <c r="B175" s="804" t="s">
        <v>1745</v>
      </c>
      <c r="D175" s="809" t="s">
        <v>1746</v>
      </c>
      <c r="F175" s="135" t="s">
        <v>1742</v>
      </c>
      <c r="R175" s="804" t="str">
        <f>B175</f>
        <v>NEW AFB+ cases</v>
      </c>
      <c r="T175" s="809" t="str">
        <f>D175</f>
        <v>New classification</v>
      </c>
      <c r="V175" s="135" t="s">
        <v>18</v>
      </c>
    </row>
    <row r="176" spans="2:22" ht="13.5" thickBot="1"/>
    <row r="177" spans="2:32">
      <c r="B177" s="798" t="s">
        <v>32</v>
      </c>
      <c r="C177" s="799">
        <v>2002</v>
      </c>
      <c r="D177" s="799">
        <v>2003</v>
      </c>
      <c r="E177" s="799">
        <v>2004</v>
      </c>
      <c r="F177" s="799">
        <v>2005</v>
      </c>
      <c r="G177" s="799">
        <v>2006</v>
      </c>
      <c r="H177" s="799">
        <v>2007</v>
      </c>
      <c r="I177" s="799">
        <v>2008</v>
      </c>
      <c r="J177" s="799">
        <v>2009</v>
      </c>
      <c r="K177" s="799">
        <v>2010</v>
      </c>
      <c r="L177" s="799">
        <v>2011</v>
      </c>
      <c r="M177" s="799">
        <v>2012</v>
      </c>
      <c r="N177" s="811">
        <v>2013</v>
      </c>
      <c r="O177" s="1200">
        <v>2014</v>
      </c>
      <c r="P177" s="1200">
        <v>2015</v>
      </c>
      <c r="R177" s="798" t="s">
        <v>32</v>
      </c>
      <c r="S177" s="799">
        <v>2002</v>
      </c>
      <c r="T177" s="799">
        <v>2003</v>
      </c>
      <c r="U177" s="799">
        <v>2004</v>
      </c>
      <c r="V177" s="799">
        <v>2005</v>
      </c>
      <c r="W177" s="799">
        <v>2006</v>
      </c>
      <c r="X177" s="799">
        <v>2007</v>
      </c>
      <c r="Y177" s="799">
        <v>2008</v>
      </c>
      <c r="Z177" s="799">
        <v>2009</v>
      </c>
      <c r="AA177" s="799">
        <v>2010</v>
      </c>
      <c r="AB177" s="799">
        <v>2011</v>
      </c>
      <c r="AC177" s="799">
        <v>2012</v>
      </c>
      <c r="AD177" s="811">
        <v>2013</v>
      </c>
      <c r="AE177" s="1200">
        <v>2014</v>
      </c>
      <c r="AF177" s="1200">
        <v>2015</v>
      </c>
    </row>
    <row r="178" spans="2:32">
      <c r="B178" s="801" t="s">
        <v>1734</v>
      </c>
      <c r="C178" s="304"/>
      <c r="D178" s="304"/>
      <c r="E178" s="304">
        <f t="shared" ref="E178:M178" si="166">E120</f>
        <v>879</v>
      </c>
      <c r="F178" s="304">
        <f t="shared" si="166"/>
        <v>1079</v>
      </c>
      <c r="G178" s="304">
        <f t="shared" si="166"/>
        <v>1368</v>
      </c>
      <c r="H178" s="304">
        <f t="shared" si="166"/>
        <v>1435</v>
      </c>
      <c r="I178" s="304">
        <f t="shared" si="166"/>
        <v>1371</v>
      </c>
      <c r="J178" s="304">
        <f t="shared" si="166"/>
        <v>1549</v>
      </c>
      <c r="K178" s="304">
        <f t="shared" si="166"/>
        <v>1639</v>
      </c>
      <c r="L178" s="304">
        <f t="shared" si="166"/>
        <v>1542</v>
      </c>
      <c r="M178" s="304">
        <f t="shared" si="166"/>
        <v>1225</v>
      </c>
      <c r="N178" s="812">
        <f>N120</f>
        <v>950</v>
      </c>
      <c r="O178" s="1201"/>
      <c r="P178" s="1201"/>
      <c r="Q178" s="95"/>
      <c r="R178" s="801" t="s">
        <v>1734</v>
      </c>
      <c r="S178" s="805"/>
      <c r="T178" s="805"/>
      <c r="U178" s="805">
        <f>E178/E$184%</f>
        <v>67.56341275941584</v>
      </c>
      <c r="V178" s="805">
        <f t="shared" ref="V178:V183" si="167">F178/F$184%</f>
        <v>72.464741437206172</v>
      </c>
      <c r="W178" s="805">
        <f t="shared" ref="W178:W183" si="168">G178/G$184%</f>
        <v>75.455046883618323</v>
      </c>
      <c r="X178" s="805">
        <f t="shared" ref="X178:X183" si="169">H178/H$184%</f>
        <v>77.989130434782609</v>
      </c>
      <c r="Y178" s="805">
        <f t="shared" ref="Y178:Y183" si="170">I178/I$184%</f>
        <v>78.567335243553018</v>
      </c>
      <c r="Z178" s="805">
        <f t="shared" ref="Z178:Z183" si="171">J178/J$184%</f>
        <v>82.00105876124934</v>
      </c>
      <c r="AA178" s="805">
        <f t="shared" ref="AA178:AA183" si="172">K178/K$184%</f>
        <v>84.790481117434041</v>
      </c>
      <c r="AB178" s="805">
        <f t="shared" ref="AB178:AB183" si="173">L178/L$184%</f>
        <v>86.097152428810716</v>
      </c>
      <c r="AC178" s="805">
        <f t="shared" ref="AC178:AD183" si="174">M178/M$184%</f>
        <v>83.846680355920611</v>
      </c>
      <c r="AD178" s="814">
        <f t="shared" si="174"/>
        <v>81.545064377682408</v>
      </c>
      <c r="AE178" s="1201"/>
      <c r="AF178" s="1201"/>
    </row>
    <row r="179" spans="2:32">
      <c r="B179" s="801" t="s">
        <v>1866</v>
      </c>
      <c r="C179" s="304"/>
      <c r="D179" s="304"/>
      <c r="E179" s="304">
        <f t="shared" ref="E179:N182" si="175">E121</f>
        <v>165</v>
      </c>
      <c r="F179" s="304">
        <f t="shared" si="175"/>
        <v>190</v>
      </c>
      <c r="G179" s="304">
        <f t="shared" si="175"/>
        <v>181</v>
      </c>
      <c r="H179" s="304">
        <f t="shared" si="175"/>
        <v>163</v>
      </c>
      <c r="I179" s="304">
        <f t="shared" si="175"/>
        <v>164</v>
      </c>
      <c r="J179" s="304">
        <f t="shared" si="175"/>
        <v>151</v>
      </c>
      <c r="K179" s="304">
        <f t="shared" si="175"/>
        <v>143</v>
      </c>
      <c r="L179" s="304">
        <f t="shared" si="175"/>
        <v>104</v>
      </c>
      <c r="M179" s="304">
        <f t="shared" si="175"/>
        <v>89</v>
      </c>
      <c r="N179" s="812">
        <f t="shared" si="175"/>
        <v>87</v>
      </c>
      <c r="O179" s="1201"/>
      <c r="P179" s="1201"/>
      <c r="Q179" s="95"/>
      <c r="R179" s="801" t="s">
        <v>1866</v>
      </c>
      <c r="S179" s="805"/>
      <c r="T179" s="805"/>
      <c r="U179" s="805">
        <f t="shared" ref="U179:U183" si="176">E179/E$184%</f>
        <v>12.682551883166795</v>
      </c>
      <c r="V179" s="805">
        <f t="shared" si="167"/>
        <v>12.760241773002015</v>
      </c>
      <c r="W179" s="805">
        <f t="shared" si="168"/>
        <v>9.9834528405956977</v>
      </c>
      <c r="X179" s="805">
        <f t="shared" si="169"/>
        <v>8.858695652173914</v>
      </c>
      <c r="Y179" s="805">
        <f t="shared" si="170"/>
        <v>9.3982808022922644</v>
      </c>
      <c r="Z179" s="805">
        <f t="shared" si="171"/>
        <v>7.9936474325039697</v>
      </c>
      <c r="AA179" s="805">
        <f t="shared" si="172"/>
        <v>7.3978272115882051</v>
      </c>
      <c r="AB179" s="805">
        <f t="shared" si="173"/>
        <v>5.8068118369625905</v>
      </c>
      <c r="AC179" s="805">
        <f t="shared" si="174"/>
        <v>6.0917180013689256</v>
      </c>
      <c r="AD179" s="814">
        <f t="shared" si="174"/>
        <v>7.4678111587982832</v>
      </c>
      <c r="AE179" s="1201"/>
      <c r="AF179" s="1201"/>
    </row>
    <row r="180" spans="2:32">
      <c r="B180" s="801" t="s">
        <v>1735</v>
      </c>
      <c r="C180" s="304"/>
      <c r="D180" s="304"/>
      <c r="E180" s="304">
        <f t="shared" si="175"/>
        <v>60</v>
      </c>
      <c r="F180" s="304">
        <f t="shared" si="175"/>
        <v>77</v>
      </c>
      <c r="G180" s="304">
        <f t="shared" si="175"/>
        <v>105</v>
      </c>
      <c r="H180" s="304">
        <f t="shared" si="175"/>
        <v>115</v>
      </c>
      <c r="I180" s="304">
        <f t="shared" si="175"/>
        <v>83</v>
      </c>
      <c r="J180" s="304">
        <f t="shared" si="175"/>
        <v>72</v>
      </c>
      <c r="K180" s="304">
        <f t="shared" si="175"/>
        <v>41</v>
      </c>
      <c r="L180" s="304">
        <f t="shared" si="175"/>
        <v>63</v>
      </c>
      <c r="M180" s="304">
        <f t="shared" si="175"/>
        <v>71</v>
      </c>
      <c r="N180" s="812">
        <f t="shared" si="175"/>
        <v>43</v>
      </c>
      <c r="O180" s="1201"/>
      <c r="P180" s="1201"/>
      <c r="Q180" s="95"/>
      <c r="R180" s="801" t="s">
        <v>1735</v>
      </c>
      <c r="S180" s="805"/>
      <c r="T180" s="805"/>
      <c r="U180" s="805">
        <f t="shared" si="176"/>
        <v>4.611837048424289</v>
      </c>
      <c r="V180" s="805">
        <f t="shared" si="167"/>
        <v>5.1712558764271321</v>
      </c>
      <c r="W180" s="805">
        <f t="shared" si="168"/>
        <v>5.7915057915057915</v>
      </c>
      <c r="X180" s="805">
        <f t="shared" si="169"/>
        <v>6.2500000000000009</v>
      </c>
      <c r="Y180" s="805">
        <f t="shared" si="170"/>
        <v>4.7564469914040117</v>
      </c>
      <c r="Z180" s="805">
        <f t="shared" si="171"/>
        <v>3.8115404976177869</v>
      </c>
      <c r="AA180" s="805">
        <f t="shared" si="172"/>
        <v>2.1210553543714434</v>
      </c>
      <c r="AB180" s="805">
        <f t="shared" si="173"/>
        <v>3.5175879396984926</v>
      </c>
      <c r="AC180" s="805">
        <f t="shared" si="174"/>
        <v>4.85968514715948</v>
      </c>
      <c r="AD180" s="814">
        <f t="shared" si="174"/>
        <v>3.6909871244635193</v>
      </c>
      <c r="AE180" s="1201"/>
      <c r="AF180" s="1201"/>
    </row>
    <row r="181" spans="2:32">
      <c r="B181" s="801" t="s">
        <v>1736</v>
      </c>
      <c r="C181" s="304"/>
      <c r="D181" s="304"/>
      <c r="E181" s="304">
        <f t="shared" si="175"/>
        <v>37</v>
      </c>
      <c r="F181" s="304">
        <f t="shared" si="175"/>
        <v>38</v>
      </c>
      <c r="G181" s="304">
        <f t="shared" si="175"/>
        <v>50</v>
      </c>
      <c r="H181" s="304">
        <f t="shared" si="175"/>
        <v>46</v>
      </c>
      <c r="I181" s="304">
        <f t="shared" si="175"/>
        <v>52</v>
      </c>
      <c r="J181" s="304">
        <f t="shared" si="175"/>
        <v>63</v>
      </c>
      <c r="K181" s="304">
        <f t="shared" si="175"/>
        <v>63</v>
      </c>
      <c r="L181" s="304">
        <f t="shared" si="175"/>
        <v>47</v>
      </c>
      <c r="M181" s="304">
        <f t="shared" si="175"/>
        <v>33</v>
      </c>
      <c r="N181" s="812">
        <f t="shared" si="175"/>
        <v>41</v>
      </c>
      <c r="O181" s="1201"/>
      <c r="P181" s="1201"/>
      <c r="Q181" s="95"/>
      <c r="R181" s="801" t="s">
        <v>1736</v>
      </c>
      <c r="S181" s="805"/>
      <c r="T181" s="805"/>
      <c r="U181" s="805">
        <f t="shared" si="176"/>
        <v>2.8439661798616451</v>
      </c>
      <c r="V181" s="805">
        <f t="shared" si="167"/>
        <v>2.5520483546004029</v>
      </c>
      <c r="W181" s="805">
        <f t="shared" si="168"/>
        <v>2.7578599007170439</v>
      </c>
      <c r="X181" s="805">
        <f t="shared" si="169"/>
        <v>2.5</v>
      </c>
      <c r="Y181" s="805">
        <f t="shared" si="170"/>
        <v>2.9799426934097424</v>
      </c>
      <c r="Z181" s="805">
        <f t="shared" si="171"/>
        <v>3.3350979354155639</v>
      </c>
      <c r="AA181" s="805">
        <f t="shared" si="172"/>
        <v>3.2591826176927059</v>
      </c>
      <c r="AB181" s="805">
        <f t="shared" si="173"/>
        <v>2.6242322724734786</v>
      </c>
      <c r="AC181" s="805">
        <f t="shared" si="174"/>
        <v>2.2587268993839835</v>
      </c>
      <c r="AD181" s="814">
        <f t="shared" si="174"/>
        <v>3.5193133047210301</v>
      </c>
      <c r="AE181" s="1201"/>
      <c r="AF181" s="1201"/>
    </row>
    <row r="182" spans="2:32">
      <c r="B182" s="801" t="s">
        <v>1737</v>
      </c>
      <c r="C182" s="304"/>
      <c r="D182" s="304"/>
      <c r="E182" s="304">
        <f t="shared" si="175"/>
        <v>70</v>
      </c>
      <c r="F182" s="304">
        <f t="shared" si="175"/>
        <v>91</v>
      </c>
      <c r="G182" s="304">
        <f t="shared" si="175"/>
        <v>80</v>
      </c>
      <c r="H182" s="304">
        <f t="shared" si="175"/>
        <v>58</v>
      </c>
      <c r="I182" s="304">
        <f t="shared" si="175"/>
        <v>46</v>
      </c>
      <c r="J182" s="304">
        <f t="shared" si="175"/>
        <v>28</v>
      </c>
      <c r="K182" s="304">
        <f t="shared" si="175"/>
        <v>18</v>
      </c>
      <c r="L182" s="304">
        <f t="shared" si="175"/>
        <v>11</v>
      </c>
      <c r="M182" s="304">
        <f t="shared" si="175"/>
        <v>4</v>
      </c>
      <c r="N182" s="812">
        <f t="shared" si="175"/>
        <v>6</v>
      </c>
      <c r="O182" s="1201"/>
      <c r="P182" s="1201"/>
      <c r="Q182" s="95"/>
      <c r="R182" s="801" t="s">
        <v>1737</v>
      </c>
      <c r="S182" s="805"/>
      <c r="T182" s="805"/>
      <c r="U182" s="805">
        <f t="shared" si="176"/>
        <v>5.3804765564950037</v>
      </c>
      <c r="V182" s="805">
        <f t="shared" si="167"/>
        <v>6.1114842175957014</v>
      </c>
      <c r="W182" s="805">
        <f t="shared" si="168"/>
        <v>4.4125758411472695</v>
      </c>
      <c r="X182" s="805">
        <f t="shared" si="169"/>
        <v>3.1521739130434785</v>
      </c>
      <c r="Y182" s="805">
        <f t="shared" si="170"/>
        <v>2.6361031518624642</v>
      </c>
      <c r="Z182" s="805">
        <f t="shared" si="171"/>
        <v>1.4822657490735838</v>
      </c>
      <c r="AA182" s="805">
        <f t="shared" si="172"/>
        <v>0.93119503362648737</v>
      </c>
      <c r="AB182" s="805">
        <f t="shared" si="173"/>
        <v>0.61418202121719712</v>
      </c>
      <c r="AC182" s="805">
        <f t="shared" si="174"/>
        <v>0.27378507871321012</v>
      </c>
      <c r="AD182" s="814">
        <f t="shared" si="174"/>
        <v>0.51502145922746778</v>
      </c>
      <c r="AE182" s="1201"/>
      <c r="AF182" s="1201"/>
    </row>
    <row r="183" spans="2:32">
      <c r="B183" s="801" t="s">
        <v>1739</v>
      </c>
      <c r="C183" s="304"/>
      <c r="D183" s="304"/>
      <c r="E183" s="304">
        <f t="shared" ref="E183:M183" si="177">E126</f>
        <v>90</v>
      </c>
      <c r="F183" s="304">
        <f t="shared" si="177"/>
        <v>14</v>
      </c>
      <c r="G183" s="304">
        <f t="shared" si="177"/>
        <v>29</v>
      </c>
      <c r="H183" s="304">
        <f t="shared" si="177"/>
        <v>23</v>
      </c>
      <c r="I183" s="304">
        <f t="shared" si="177"/>
        <v>29</v>
      </c>
      <c r="J183" s="304">
        <f t="shared" si="177"/>
        <v>26</v>
      </c>
      <c r="K183" s="304">
        <f t="shared" si="177"/>
        <v>29</v>
      </c>
      <c r="L183" s="304">
        <f t="shared" si="177"/>
        <v>24</v>
      </c>
      <c r="M183" s="304">
        <f t="shared" si="177"/>
        <v>39</v>
      </c>
      <c r="N183" s="812">
        <f>N126</f>
        <v>38</v>
      </c>
      <c r="O183" s="1201"/>
      <c r="P183" s="1201"/>
      <c r="Q183" s="95"/>
      <c r="R183" s="801" t="s">
        <v>1739</v>
      </c>
      <c r="S183" s="805"/>
      <c r="T183" s="805"/>
      <c r="U183" s="805">
        <f t="shared" si="176"/>
        <v>6.9177555726364339</v>
      </c>
      <c r="V183" s="805">
        <f t="shared" si="167"/>
        <v>0.94022834116856946</v>
      </c>
      <c r="W183" s="805">
        <f t="shared" si="168"/>
        <v>1.5995587424158855</v>
      </c>
      <c r="X183" s="805">
        <f t="shared" si="169"/>
        <v>1.25</v>
      </c>
      <c r="Y183" s="805">
        <f t="shared" si="170"/>
        <v>1.66189111747851</v>
      </c>
      <c r="Z183" s="805">
        <f t="shared" si="171"/>
        <v>1.3763896241397564</v>
      </c>
      <c r="AA183" s="805">
        <f t="shared" si="172"/>
        <v>1.5002586652871186</v>
      </c>
      <c r="AB183" s="805">
        <f t="shared" si="173"/>
        <v>1.3400335008375208</v>
      </c>
      <c r="AC183" s="805">
        <f t="shared" si="174"/>
        <v>2.669404517453799</v>
      </c>
      <c r="AD183" s="814">
        <f t="shared" si="174"/>
        <v>3.2618025751072959</v>
      </c>
      <c r="AE183" s="1201"/>
      <c r="AF183" s="1201"/>
    </row>
    <row r="184" spans="2:32" ht="13.5" thickBot="1">
      <c r="B184" s="802" t="s">
        <v>4</v>
      </c>
      <c r="C184" s="803"/>
      <c r="D184" s="803"/>
      <c r="E184" s="803">
        <f t="shared" ref="E184:N184" si="178">SUM(E178:E183)</f>
        <v>1301</v>
      </c>
      <c r="F184" s="803">
        <f t="shared" si="178"/>
        <v>1489</v>
      </c>
      <c r="G184" s="803">
        <f t="shared" si="178"/>
        <v>1813</v>
      </c>
      <c r="H184" s="803">
        <f t="shared" si="178"/>
        <v>1840</v>
      </c>
      <c r="I184" s="803">
        <f t="shared" si="178"/>
        <v>1745</v>
      </c>
      <c r="J184" s="803">
        <f t="shared" si="178"/>
        <v>1889</v>
      </c>
      <c r="K184" s="803">
        <f t="shared" si="178"/>
        <v>1933</v>
      </c>
      <c r="L184" s="803">
        <f t="shared" si="178"/>
        <v>1791</v>
      </c>
      <c r="M184" s="803">
        <f t="shared" si="178"/>
        <v>1461</v>
      </c>
      <c r="N184" s="813">
        <f t="shared" si="178"/>
        <v>1165</v>
      </c>
      <c r="O184" s="1202"/>
      <c r="P184" s="1202"/>
      <c r="Q184" s="95"/>
      <c r="R184" s="802" t="s">
        <v>4</v>
      </c>
      <c r="S184" s="803"/>
      <c r="T184" s="803"/>
      <c r="U184" s="803">
        <f t="shared" ref="U184:AD184" si="179">SUM(U178:U183)</f>
        <v>100</v>
      </c>
      <c r="V184" s="803">
        <f t="shared" si="179"/>
        <v>99.999999999999986</v>
      </c>
      <c r="W184" s="803">
        <f t="shared" si="179"/>
        <v>100.00000000000003</v>
      </c>
      <c r="X184" s="803">
        <f t="shared" si="179"/>
        <v>100.00000000000001</v>
      </c>
      <c r="Y184" s="803">
        <f t="shared" si="179"/>
        <v>99.999999999999986</v>
      </c>
      <c r="Z184" s="803">
        <f t="shared" si="179"/>
        <v>100</v>
      </c>
      <c r="AA184" s="803">
        <f t="shared" si="179"/>
        <v>100.00000000000001</v>
      </c>
      <c r="AB184" s="803">
        <f t="shared" si="179"/>
        <v>100</v>
      </c>
      <c r="AC184" s="803">
        <f t="shared" si="179"/>
        <v>100.00000000000001</v>
      </c>
      <c r="AD184" s="813">
        <f t="shared" si="179"/>
        <v>100</v>
      </c>
      <c r="AE184" s="1201"/>
      <c r="AF184" s="1201"/>
    </row>
    <row r="185" spans="2:32" ht="13.5" thickBot="1"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</row>
    <row r="186" spans="2:32">
      <c r="B186" s="798" t="s">
        <v>1740</v>
      </c>
      <c r="C186" s="799">
        <v>2002</v>
      </c>
      <c r="D186" s="799">
        <v>2003</v>
      </c>
      <c r="E186" s="799">
        <v>2004</v>
      </c>
      <c r="F186" s="799">
        <v>2005</v>
      </c>
      <c r="G186" s="799">
        <v>2006</v>
      </c>
      <c r="H186" s="799">
        <v>2007</v>
      </c>
      <c r="I186" s="799">
        <v>2008</v>
      </c>
      <c r="J186" s="799">
        <v>2009</v>
      </c>
      <c r="K186" s="799">
        <v>2010</v>
      </c>
      <c r="L186" s="799">
        <v>2011</v>
      </c>
      <c r="M186" s="799">
        <v>2012</v>
      </c>
      <c r="N186" s="811">
        <v>2013</v>
      </c>
      <c r="O186" s="1200"/>
      <c r="P186" s="1200"/>
      <c r="Q186" s="95"/>
      <c r="R186" s="798" t="s">
        <v>1740</v>
      </c>
      <c r="S186" s="799">
        <v>2002</v>
      </c>
      <c r="T186" s="799">
        <v>2003</v>
      </c>
      <c r="U186" s="799">
        <v>2004</v>
      </c>
      <c r="V186" s="799">
        <v>2005</v>
      </c>
      <c r="W186" s="799">
        <v>2006</v>
      </c>
      <c r="X186" s="799">
        <v>2007</v>
      </c>
      <c r="Y186" s="799">
        <v>2008</v>
      </c>
      <c r="Z186" s="799">
        <v>2009</v>
      </c>
      <c r="AA186" s="799">
        <v>2010</v>
      </c>
      <c r="AB186" s="799">
        <v>2011</v>
      </c>
      <c r="AC186" s="799">
        <v>2012</v>
      </c>
      <c r="AD186" s="811">
        <v>2013</v>
      </c>
      <c r="AE186" s="1200">
        <v>2014</v>
      </c>
      <c r="AF186" s="1200">
        <v>2015</v>
      </c>
    </row>
    <row r="187" spans="2:32">
      <c r="B187" s="801" t="s">
        <v>1734</v>
      </c>
      <c r="C187" s="304"/>
      <c r="D187" s="304"/>
      <c r="E187" s="304">
        <f t="shared" ref="E187:M187" si="180">E130</f>
        <v>818</v>
      </c>
      <c r="F187" s="304">
        <f t="shared" si="180"/>
        <v>961</v>
      </c>
      <c r="G187" s="304">
        <f t="shared" si="180"/>
        <v>1157</v>
      </c>
      <c r="H187" s="304">
        <f t="shared" si="180"/>
        <v>1236</v>
      </c>
      <c r="I187" s="304">
        <f t="shared" si="180"/>
        <v>1162</v>
      </c>
      <c r="J187" s="304">
        <f t="shared" si="180"/>
        <v>1254</v>
      </c>
      <c r="K187" s="304">
        <f t="shared" si="180"/>
        <v>1197</v>
      </c>
      <c r="L187" s="304">
        <f t="shared" si="180"/>
        <v>1164</v>
      </c>
      <c r="M187" s="304">
        <f t="shared" si="180"/>
        <v>1090</v>
      </c>
      <c r="N187" s="812">
        <f>N130</f>
        <v>918</v>
      </c>
      <c r="O187" s="1201"/>
      <c r="P187" s="1201"/>
      <c r="Q187" s="95"/>
      <c r="R187" s="801" t="s">
        <v>1734</v>
      </c>
      <c r="S187" s="805"/>
      <c r="T187" s="805"/>
      <c r="U187" s="805">
        <f>E187/E$193%</f>
        <v>68.2804674457429</v>
      </c>
      <c r="V187" s="805">
        <f t="shared" ref="V187:V192" si="181">F187/F$193%</f>
        <v>72.968868640850417</v>
      </c>
      <c r="W187" s="805">
        <f t="shared" ref="W187:W192" si="182">G187/G$193%</f>
        <v>76.775049767750502</v>
      </c>
      <c r="X187" s="805">
        <f t="shared" ref="X187:X192" si="183">H187/H$193%</f>
        <v>79.028132992327357</v>
      </c>
      <c r="Y187" s="805">
        <f t="shared" ref="Y187:Y192" si="184">I187/I$193%</f>
        <v>78.619756427604869</v>
      </c>
      <c r="Z187" s="805">
        <f t="shared" ref="Z187:Z192" si="185">J187/J$193%</f>
        <v>81.693811074918571</v>
      </c>
      <c r="AA187" s="805">
        <f t="shared" ref="AA187:AA192" si="186">K187/K$193%</f>
        <v>82.608695652173907</v>
      </c>
      <c r="AB187" s="805">
        <f t="shared" ref="AB187:AB192" si="187">L187/L$193%</f>
        <v>84.654545454545456</v>
      </c>
      <c r="AC187" s="805">
        <f t="shared" ref="AC187:AD192" si="188">M187/M$193%</f>
        <v>83.588957055214735</v>
      </c>
      <c r="AD187" s="814">
        <f t="shared" si="188"/>
        <v>81.31089459698849</v>
      </c>
      <c r="AE187" s="1201"/>
      <c r="AF187" s="1201"/>
    </row>
    <row r="188" spans="2:32">
      <c r="B188" s="801" t="s">
        <v>1866</v>
      </c>
      <c r="C188" s="304"/>
      <c r="D188" s="304"/>
      <c r="E188" s="304">
        <f t="shared" ref="E188:N191" si="189">E131</f>
        <v>154</v>
      </c>
      <c r="F188" s="304">
        <f t="shared" si="189"/>
        <v>179</v>
      </c>
      <c r="G188" s="304">
        <f t="shared" si="189"/>
        <v>144</v>
      </c>
      <c r="H188" s="304">
        <f t="shared" si="189"/>
        <v>140</v>
      </c>
      <c r="I188" s="304">
        <f t="shared" si="189"/>
        <v>152</v>
      </c>
      <c r="J188" s="304">
        <f t="shared" si="189"/>
        <v>127</v>
      </c>
      <c r="K188" s="304">
        <f t="shared" si="189"/>
        <v>134</v>
      </c>
      <c r="L188" s="304">
        <f t="shared" si="189"/>
        <v>101</v>
      </c>
      <c r="M188" s="304">
        <f t="shared" si="189"/>
        <v>87</v>
      </c>
      <c r="N188" s="812">
        <f t="shared" si="189"/>
        <v>87</v>
      </c>
      <c r="O188" s="1201"/>
      <c r="P188" s="1201"/>
      <c r="Q188" s="95"/>
      <c r="R188" s="801" t="s">
        <v>1866</v>
      </c>
      <c r="S188" s="805"/>
      <c r="T188" s="805"/>
      <c r="U188" s="805">
        <f t="shared" ref="U188:U192" si="190">E188/E$193%</f>
        <v>12.854757929883139</v>
      </c>
      <c r="V188" s="805">
        <f t="shared" si="181"/>
        <v>13.591495823842065</v>
      </c>
      <c r="W188" s="805">
        <f t="shared" si="182"/>
        <v>9.5554080955540801</v>
      </c>
      <c r="X188" s="805">
        <f t="shared" si="183"/>
        <v>8.9514066496163682</v>
      </c>
      <c r="Y188" s="805">
        <f t="shared" si="184"/>
        <v>10.284167794316645</v>
      </c>
      <c r="Z188" s="805">
        <f t="shared" si="185"/>
        <v>8.2736156351791532</v>
      </c>
      <c r="AA188" s="805">
        <f t="shared" si="186"/>
        <v>9.2477570738440296</v>
      </c>
      <c r="AB188" s="805">
        <f t="shared" si="187"/>
        <v>7.3454545454545457</v>
      </c>
      <c r="AC188" s="805">
        <f t="shared" si="188"/>
        <v>6.6717791411042953</v>
      </c>
      <c r="AD188" s="814">
        <f t="shared" si="188"/>
        <v>7.7059344552701514</v>
      </c>
      <c r="AE188" s="1201"/>
      <c r="AF188" s="1201"/>
    </row>
    <row r="189" spans="2:32">
      <c r="B189" s="801" t="s">
        <v>1735</v>
      </c>
      <c r="C189" s="304"/>
      <c r="D189" s="304"/>
      <c r="E189" s="304">
        <f t="shared" si="189"/>
        <v>48</v>
      </c>
      <c r="F189" s="304">
        <f t="shared" si="189"/>
        <v>69</v>
      </c>
      <c r="G189" s="304">
        <f t="shared" si="189"/>
        <v>82</v>
      </c>
      <c r="H189" s="304">
        <f t="shared" si="189"/>
        <v>95</v>
      </c>
      <c r="I189" s="304">
        <f t="shared" si="189"/>
        <v>68</v>
      </c>
      <c r="J189" s="304">
        <f t="shared" si="189"/>
        <v>63</v>
      </c>
      <c r="K189" s="304">
        <f t="shared" si="189"/>
        <v>32</v>
      </c>
      <c r="L189" s="304">
        <f t="shared" si="189"/>
        <v>52</v>
      </c>
      <c r="M189" s="304">
        <f t="shared" si="189"/>
        <v>66</v>
      </c>
      <c r="N189" s="812">
        <f t="shared" si="189"/>
        <v>43</v>
      </c>
      <c r="O189" s="1201"/>
      <c r="P189" s="1201"/>
      <c r="Q189" s="95"/>
      <c r="R189" s="801" t="s">
        <v>1735</v>
      </c>
      <c r="S189" s="805"/>
      <c r="T189" s="805"/>
      <c r="U189" s="805">
        <f t="shared" si="190"/>
        <v>4.006677796327212</v>
      </c>
      <c r="V189" s="805">
        <f t="shared" si="181"/>
        <v>5.2391799544419131</v>
      </c>
      <c r="W189" s="805">
        <f t="shared" si="182"/>
        <v>5.44127405441274</v>
      </c>
      <c r="X189" s="805">
        <f t="shared" si="183"/>
        <v>6.0741687979539636</v>
      </c>
      <c r="Y189" s="805">
        <f t="shared" si="184"/>
        <v>4.6008119079837622</v>
      </c>
      <c r="Z189" s="805">
        <f t="shared" si="185"/>
        <v>4.1042345276872965</v>
      </c>
      <c r="AA189" s="805">
        <f t="shared" si="186"/>
        <v>2.2084195997239475</v>
      </c>
      <c r="AB189" s="805">
        <f t="shared" si="187"/>
        <v>3.7818181818181817</v>
      </c>
      <c r="AC189" s="805">
        <f t="shared" si="188"/>
        <v>5.0613496932515343</v>
      </c>
      <c r="AD189" s="814">
        <f t="shared" si="188"/>
        <v>3.8086802480070863</v>
      </c>
      <c r="AE189" s="1201"/>
      <c r="AF189" s="1201"/>
    </row>
    <row r="190" spans="2:32">
      <c r="B190" s="801" t="s">
        <v>1736</v>
      </c>
      <c r="C190" s="304"/>
      <c r="D190" s="304"/>
      <c r="E190" s="304">
        <f t="shared" si="189"/>
        <v>35</v>
      </c>
      <c r="F190" s="304">
        <f t="shared" si="189"/>
        <v>35</v>
      </c>
      <c r="G190" s="304">
        <f t="shared" si="189"/>
        <v>43</v>
      </c>
      <c r="H190" s="304">
        <f t="shared" si="189"/>
        <v>43</v>
      </c>
      <c r="I190" s="304">
        <f t="shared" si="189"/>
        <v>41</v>
      </c>
      <c r="J190" s="304">
        <f t="shared" si="189"/>
        <v>54</v>
      </c>
      <c r="K190" s="304">
        <f t="shared" si="189"/>
        <v>52</v>
      </c>
      <c r="L190" s="304">
        <f t="shared" si="189"/>
        <v>35</v>
      </c>
      <c r="M190" s="304">
        <f t="shared" si="189"/>
        <v>33</v>
      </c>
      <c r="N190" s="812">
        <f t="shared" si="189"/>
        <v>41</v>
      </c>
      <c r="O190" s="1201"/>
      <c r="P190" s="1201"/>
      <c r="Q190" s="95"/>
      <c r="R190" s="801" t="s">
        <v>1736</v>
      </c>
      <c r="S190" s="805"/>
      <c r="T190" s="805"/>
      <c r="U190" s="805">
        <f t="shared" si="190"/>
        <v>2.9215358931552586</v>
      </c>
      <c r="V190" s="805">
        <f t="shared" si="181"/>
        <v>2.6575550493545936</v>
      </c>
      <c r="W190" s="805">
        <f t="shared" si="182"/>
        <v>2.8533510285335102</v>
      </c>
      <c r="X190" s="805">
        <f t="shared" si="183"/>
        <v>2.7493606138107416</v>
      </c>
      <c r="Y190" s="805">
        <f t="shared" si="184"/>
        <v>2.7740189445196211</v>
      </c>
      <c r="Z190" s="805">
        <f t="shared" si="185"/>
        <v>3.5179153094462543</v>
      </c>
      <c r="AA190" s="805">
        <f t="shared" si="186"/>
        <v>3.5886818495514148</v>
      </c>
      <c r="AB190" s="805">
        <f t="shared" si="187"/>
        <v>2.5454545454545454</v>
      </c>
      <c r="AC190" s="805">
        <f t="shared" si="188"/>
        <v>2.5306748466257671</v>
      </c>
      <c r="AD190" s="814">
        <f t="shared" si="188"/>
        <v>3.6315323294951285</v>
      </c>
      <c r="AE190" s="1201"/>
      <c r="AF190" s="1201"/>
    </row>
    <row r="191" spans="2:32">
      <c r="B191" s="801" t="s">
        <v>1737</v>
      </c>
      <c r="C191" s="304"/>
      <c r="D191" s="304"/>
      <c r="E191" s="304">
        <f t="shared" si="189"/>
        <v>53</v>
      </c>
      <c r="F191" s="304">
        <f t="shared" si="189"/>
        <v>59</v>
      </c>
      <c r="G191" s="304">
        <f t="shared" si="189"/>
        <v>54</v>
      </c>
      <c r="H191" s="304">
        <f t="shared" si="189"/>
        <v>32</v>
      </c>
      <c r="I191" s="304">
        <f t="shared" si="189"/>
        <v>34</v>
      </c>
      <c r="J191" s="304">
        <f t="shared" si="189"/>
        <v>18</v>
      </c>
      <c r="K191" s="304">
        <f t="shared" si="189"/>
        <v>18</v>
      </c>
      <c r="L191" s="304">
        <f t="shared" si="189"/>
        <v>11</v>
      </c>
      <c r="M191" s="304">
        <f t="shared" si="189"/>
        <v>4</v>
      </c>
      <c r="N191" s="812">
        <f t="shared" si="189"/>
        <v>6</v>
      </c>
      <c r="O191" s="1201"/>
      <c r="P191" s="1201"/>
      <c r="Q191" s="95"/>
      <c r="R191" s="801" t="s">
        <v>1737</v>
      </c>
      <c r="S191" s="805"/>
      <c r="T191" s="805"/>
      <c r="U191" s="805">
        <f t="shared" si="190"/>
        <v>4.4240400667779634</v>
      </c>
      <c r="V191" s="805">
        <f t="shared" si="181"/>
        <v>4.4798785117691722</v>
      </c>
      <c r="W191" s="805">
        <f t="shared" si="182"/>
        <v>3.5832780358327803</v>
      </c>
      <c r="X191" s="805">
        <f t="shared" si="183"/>
        <v>2.0460358056265986</v>
      </c>
      <c r="Y191" s="805">
        <f t="shared" si="184"/>
        <v>2.3004059539918811</v>
      </c>
      <c r="Z191" s="805">
        <f t="shared" si="185"/>
        <v>1.1726384364820848</v>
      </c>
      <c r="AA191" s="805">
        <f t="shared" si="186"/>
        <v>1.2422360248447204</v>
      </c>
      <c r="AB191" s="805">
        <f t="shared" si="187"/>
        <v>0.8</v>
      </c>
      <c r="AC191" s="805">
        <f t="shared" si="188"/>
        <v>0.30674846625766872</v>
      </c>
      <c r="AD191" s="814">
        <f t="shared" si="188"/>
        <v>0.53144375553587253</v>
      </c>
      <c r="AE191" s="1201"/>
      <c r="AF191" s="1201"/>
    </row>
    <row r="192" spans="2:32">
      <c r="B192" s="801" t="s">
        <v>1739</v>
      </c>
      <c r="C192" s="304"/>
      <c r="D192" s="304"/>
      <c r="E192" s="304">
        <f t="shared" ref="E192:M192" si="191">E136</f>
        <v>90</v>
      </c>
      <c r="F192" s="304">
        <f t="shared" si="191"/>
        <v>14</v>
      </c>
      <c r="G192" s="304">
        <f t="shared" si="191"/>
        <v>27</v>
      </c>
      <c r="H192" s="304">
        <f t="shared" si="191"/>
        <v>18</v>
      </c>
      <c r="I192" s="304">
        <f t="shared" si="191"/>
        <v>21</v>
      </c>
      <c r="J192" s="304">
        <f t="shared" si="191"/>
        <v>19</v>
      </c>
      <c r="K192" s="304">
        <f t="shared" si="191"/>
        <v>16</v>
      </c>
      <c r="L192" s="304">
        <f t="shared" si="191"/>
        <v>12</v>
      </c>
      <c r="M192" s="304">
        <f t="shared" si="191"/>
        <v>24</v>
      </c>
      <c r="N192" s="812">
        <f>N136</f>
        <v>34</v>
      </c>
      <c r="O192" s="1201"/>
      <c r="P192" s="1201"/>
      <c r="Q192" s="95"/>
      <c r="R192" s="801" t="s">
        <v>1739</v>
      </c>
      <c r="S192" s="805"/>
      <c r="T192" s="805"/>
      <c r="U192" s="805">
        <f t="shared" si="190"/>
        <v>7.5125208681135227</v>
      </c>
      <c r="V192" s="805">
        <f t="shared" si="181"/>
        <v>1.0630220197418374</v>
      </c>
      <c r="W192" s="805">
        <f t="shared" si="182"/>
        <v>1.7916390179163901</v>
      </c>
      <c r="X192" s="805">
        <f t="shared" si="183"/>
        <v>1.1508951406649617</v>
      </c>
      <c r="Y192" s="805">
        <f t="shared" si="184"/>
        <v>1.4208389715832206</v>
      </c>
      <c r="Z192" s="805">
        <f t="shared" si="185"/>
        <v>1.2377850162866451</v>
      </c>
      <c r="AA192" s="805">
        <f t="shared" si="186"/>
        <v>1.1042097998619738</v>
      </c>
      <c r="AB192" s="805">
        <f t="shared" si="187"/>
        <v>0.87272727272727268</v>
      </c>
      <c r="AC192" s="805">
        <f t="shared" si="188"/>
        <v>1.8404907975460123</v>
      </c>
      <c r="AD192" s="814">
        <f t="shared" si="188"/>
        <v>3.0115146147032776</v>
      </c>
      <c r="AE192" s="1201"/>
      <c r="AF192" s="1201"/>
    </row>
    <row r="193" spans="2:32" ht="13.5" thickBot="1">
      <c r="B193" s="802" t="s">
        <v>4</v>
      </c>
      <c r="C193" s="803"/>
      <c r="D193" s="803"/>
      <c r="E193" s="803">
        <f t="shared" ref="E193:N193" si="192">SUM(E187:E192)</f>
        <v>1198</v>
      </c>
      <c r="F193" s="803">
        <f t="shared" si="192"/>
        <v>1317</v>
      </c>
      <c r="G193" s="803">
        <f t="shared" si="192"/>
        <v>1507</v>
      </c>
      <c r="H193" s="803">
        <f t="shared" si="192"/>
        <v>1564</v>
      </c>
      <c r="I193" s="803">
        <f t="shared" si="192"/>
        <v>1478</v>
      </c>
      <c r="J193" s="803">
        <f t="shared" si="192"/>
        <v>1535</v>
      </c>
      <c r="K193" s="803">
        <f t="shared" si="192"/>
        <v>1449</v>
      </c>
      <c r="L193" s="803">
        <f t="shared" si="192"/>
        <v>1375</v>
      </c>
      <c r="M193" s="803">
        <f t="shared" si="192"/>
        <v>1304</v>
      </c>
      <c r="N193" s="813">
        <f t="shared" si="192"/>
        <v>1129</v>
      </c>
      <c r="O193" s="1202"/>
      <c r="P193" s="1202"/>
      <c r="Q193" s="95"/>
      <c r="R193" s="802" t="s">
        <v>4</v>
      </c>
      <c r="S193" s="803"/>
      <c r="T193" s="803"/>
      <c r="U193" s="803">
        <f t="shared" ref="U193:AD193" si="193">SUM(U187:U192)</f>
        <v>99.999999999999986</v>
      </c>
      <c r="V193" s="803">
        <f t="shared" si="193"/>
        <v>100</v>
      </c>
      <c r="W193" s="803">
        <f t="shared" si="193"/>
        <v>100.00000000000001</v>
      </c>
      <c r="X193" s="803">
        <f t="shared" si="193"/>
        <v>99.999999999999986</v>
      </c>
      <c r="Y193" s="803">
        <f t="shared" si="193"/>
        <v>100.00000000000001</v>
      </c>
      <c r="Z193" s="803">
        <f t="shared" si="193"/>
        <v>100.00000000000001</v>
      </c>
      <c r="AA193" s="803">
        <f t="shared" si="193"/>
        <v>100</v>
      </c>
      <c r="AB193" s="803">
        <f t="shared" si="193"/>
        <v>100</v>
      </c>
      <c r="AC193" s="803">
        <f t="shared" si="193"/>
        <v>100.00000000000001</v>
      </c>
      <c r="AD193" s="813">
        <f t="shared" si="193"/>
        <v>100.00000000000001</v>
      </c>
      <c r="AE193" s="1201"/>
      <c r="AF193" s="1201"/>
    </row>
    <row r="194" spans="2:32" ht="13.5" thickBot="1"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</row>
    <row r="195" spans="2:32">
      <c r="B195" s="798" t="s">
        <v>1741</v>
      </c>
      <c r="C195" s="799">
        <v>2002</v>
      </c>
      <c r="D195" s="799">
        <v>2003</v>
      </c>
      <c r="E195" s="799">
        <v>2004</v>
      </c>
      <c r="F195" s="799">
        <v>2005</v>
      </c>
      <c r="G195" s="799">
        <v>2006</v>
      </c>
      <c r="H195" s="799">
        <v>2007</v>
      </c>
      <c r="I195" s="799">
        <v>2008</v>
      </c>
      <c r="J195" s="799">
        <v>2009</v>
      </c>
      <c r="K195" s="799">
        <v>2010</v>
      </c>
      <c r="L195" s="799">
        <v>2011</v>
      </c>
      <c r="M195" s="799">
        <v>2012</v>
      </c>
      <c r="N195" s="811">
        <v>2013</v>
      </c>
      <c r="O195" s="1200"/>
      <c r="P195" s="1200"/>
      <c r="Q195" s="95"/>
      <c r="R195" s="798" t="s">
        <v>1741</v>
      </c>
      <c r="S195" s="799">
        <v>2002</v>
      </c>
      <c r="T195" s="799">
        <v>2003</v>
      </c>
      <c r="U195" s="799">
        <v>2004</v>
      </c>
      <c r="V195" s="799">
        <v>2005</v>
      </c>
      <c r="W195" s="799">
        <v>2006</v>
      </c>
      <c r="X195" s="799">
        <v>2007</v>
      </c>
      <c r="Y195" s="799">
        <v>2008</v>
      </c>
      <c r="Z195" s="799">
        <v>2009</v>
      </c>
      <c r="AA195" s="799">
        <v>2010</v>
      </c>
      <c r="AB195" s="799">
        <v>2011</v>
      </c>
      <c r="AC195" s="799">
        <v>2012</v>
      </c>
      <c r="AD195" s="811">
        <v>2013</v>
      </c>
      <c r="AE195" s="1200">
        <v>2014</v>
      </c>
      <c r="AF195" s="1200">
        <v>2015</v>
      </c>
    </row>
    <row r="196" spans="2:32">
      <c r="B196" s="801" t="s">
        <v>1734</v>
      </c>
      <c r="C196" s="304"/>
      <c r="D196" s="304"/>
      <c r="E196" s="304">
        <f t="shared" ref="E196:M196" si="194">E140</f>
        <v>61</v>
      </c>
      <c r="F196" s="304">
        <f t="shared" si="194"/>
        <v>118</v>
      </c>
      <c r="G196" s="304">
        <f t="shared" si="194"/>
        <v>211</v>
      </c>
      <c r="H196" s="304">
        <f t="shared" si="194"/>
        <v>199</v>
      </c>
      <c r="I196" s="304">
        <f t="shared" si="194"/>
        <v>209</v>
      </c>
      <c r="J196" s="304">
        <f t="shared" si="194"/>
        <v>295</v>
      </c>
      <c r="K196" s="304">
        <f t="shared" si="194"/>
        <v>442</v>
      </c>
      <c r="L196" s="304">
        <f t="shared" si="194"/>
        <v>378</v>
      </c>
      <c r="M196" s="304">
        <f t="shared" si="194"/>
        <v>135</v>
      </c>
      <c r="N196" s="812">
        <f>N140</f>
        <v>32</v>
      </c>
      <c r="O196" s="1201"/>
      <c r="P196" s="1201"/>
      <c r="Q196" s="95"/>
      <c r="R196" s="801" t="s">
        <v>1734</v>
      </c>
      <c r="S196" s="805"/>
      <c r="T196" s="805"/>
      <c r="U196" s="805">
        <f>E196/E$202%</f>
        <v>59.223300970873787</v>
      </c>
      <c r="V196" s="805">
        <f t="shared" ref="V196:V201" si="195">F196/F$202%</f>
        <v>68.604651162790702</v>
      </c>
      <c r="W196" s="805">
        <f t="shared" ref="W196:W201" si="196">G196/G$202%</f>
        <v>68.954248366013076</v>
      </c>
      <c r="X196" s="805">
        <f t="shared" ref="X196:X201" si="197">H196/H$202%</f>
        <v>72.101449275362327</v>
      </c>
      <c r="Y196" s="805">
        <f t="shared" ref="Y196:Y201" si="198">I196/I$202%</f>
        <v>78.277153558052433</v>
      </c>
      <c r="Z196" s="805">
        <f t="shared" ref="Z196:Z201" si="199">J196/J$202%</f>
        <v>83.333333333333329</v>
      </c>
      <c r="AA196" s="805">
        <f t="shared" ref="AA196:AA201" si="200">K196/K$202%</f>
        <v>91.32231404958678</v>
      </c>
      <c r="AB196" s="805">
        <f t="shared" ref="AB196:AB201" si="201">L196/L$202%</f>
        <v>90.865384615384613</v>
      </c>
      <c r="AC196" s="805">
        <f t="shared" ref="AC196:AD201" si="202">M196/M$202%</f>
        <v>85.987261146496806</v>
      </c>
      <c r="AD196" s="814">
        <f t="shared" si="202"/>
        <v>88.888888888888886</v>
      </c>
      <c r="AE196" s="1201"/>
      <c r="AF196" s="1201"/>
    </row>
    <row r="197" spans="2:32">
      <c r="B197" s="801" t="s">
        <v>1866</v>
      </c>
      <c r="C197" s="304"/>
      <c r="D197" s="304"/>
      <c r="E197" s="304">
        <f t="shared" ref="E197:N200" si="203">E141</f>
        <v>11</v>
      </c>
      <c r="F197" s="304">
        <f t="shared" si="203"/>
        <v>11</v>
      </c>
      <c r="G197" s="304">
        <f t="shared" si="203"/>
        <v>37</v>
      </c>
      <c r="H197" s="304">
        <f t="shared" si="203"/>
        <v>23</v>
      </c>
      <c r="I197" s="304">
        <f t="shared" si="203"/>
        <v>12</v>
      </c>
      <c r="J197" s="304">
        <f t="shared" si="203"/>
        <v>24</v>
      </c>
      <c r="K197" s="304">
        <f t="shared" si="203"/>
        <v>9</v>
      </c>
      <c r="L197" s="304">
        <f t="shared" si="203"/>
        <v>3</v>
      </c>
      <c r="M197" s="304">
        <f t="shared" si="203"/>
        <v>2</v>
      </c>
      <c r="N197" s="812">
        <f t="shared" si="203"/>
        <v>0</v>
      </c>
      <c r="O197" s="1201"/>
      <c r="P197" s="1201"/>
      <c r="Q197" s="95"/>
      <c r="R197" s="801" t="s">
        <v>1866</v>
      </c>
      <c r="S197" s="805"/>
      <c r="T197" s="805"/>
      <c r="U197" s="805">
        <f t="shared" ref="U197:U201" si="204">E197/E$202%</f>
        <v>10.679611650485437</v>
      </c>
      <c r="V197" s="805">
        <f t="shared" si="195"/>
        <v>6.3953488372093021</v>
      </c>
      <c r="W197" s="805">
        <f t="shared" si="196"/>
        <v>12.091503267973856</v>
      </c>
      <c r="X197" s="805">
        <f t="shared" si="197"/>
        <v>8.3333333333333339</v>
      </c>
      <c r="Y197" s="805">
        <f t="shared" si="198"/>
        <v>4.4943820224719104</v>
      </c>
      <c r="Z197" s="805">
        <f t="shared" si="199"/>
        <v>6.7796610169491522</v>
      </c>
      <c r="AA197" s="805">
        <f t="shared" si="200"/>
        <v>1.859504132231405</v>
      </c>
      <c r="AB197" s="805">
        <f t="shared" si="201"/>
        <v>0.72115384615384615</v>
      </c>
      <c r="AC197" s="805">
        <f t="shared" si="202"/>
        <v>1.2738853503184713</v>
      </c>
      <c r="AD197" s="814">
        <f t="shared" si="202"/>
        <v>0</v>
      </c>
      <c r="AE197" s="1201"/>
      <c r="AF197" s="1201"/>
    </row>
    <row r="198" spans="2:32">
      <c r="B198" s="801" t="s">
        <v>1735</v>
      </c>
      <c r="C198" s="304"/>
      <c r="D198" s="304"/>
      <c r="E198" s="304">
        <f t="shared" si="203"/>
        <v>12</v>
      </c>
      <c r="F198" s="304">
        <f t="shared" si="203"/>
        <v>8</v>
      </c>
      <c r="G198" s="304">
        <f t="shared" si="203"/>
        <v>23</v>
      </c>
      <c r="H198" s="304">
        <f t="shared" si="203"/>
        <v>20</v>
      </c>
      <c r="I198" s="304">
        <f t="shared" si="203"/>
        <v>15</v>
      </c>
      <c r="J198" s="304">
        <f t="shared" si="203"/>
        <v>9</v>
      </c>
      <c r="K198" s="304">
        <f t="shared" si="203"/>
        <v>9</v>
      </c>
      <c r="L198" s="304">
        <f t="shared" si="203"/>
        <v>11</v>
      </c>
      <c r="M198" s="304">
        <f t="shared" si="203"/>
        <v>5</v>
      </c>
      <c r="N198" s="812">
        <f t="shared" si="203"/>
        <v>0</v>
      </c>
      <c r="O198" s="1201"/>
      <c r="P198" s="1201"/>
      <c r="Q198" s="95"/>
      <c r="R198" s="801" t="s">
        <v>1735</v>
      </c>
      <c r="S198" s="805"/>
      <c r="T198" s="805"/>
      <c r="U198" s="805">
        <f t="shared" si="204"/>
        <v>11.650485436893204</v>
      </c>
      <c r="V198" s="805">
        <f t="shared" si="195"/>
        <v>4.6511627906976747</v>
      </c>
      <c r="W198" s="805">
        <f t="shared" si="196"/>
        <v>7.5163398692810457</v>
      </c>
      <c r="X198" s="805">
        <f t="shared" si="197"/>
        <v>7.2463768115942031</v>
      </c>
      <c r="Y198" s="805">
        <f t="shared" si="198"/>
        <v>5.617977528089888</v>
      </c>
      <c r="Z198" s="805">
        <f t="shared" si="199"/>
        <v>2.5423728813559321</v>
      </c>
      <c r="AA198" s="805">
        <f t="shared" si="200"/>
        <v>1.859504132231405</v>
      </c>
      <c r="AB198" s="805">
        <f t="shared" si="201"/>
        <v>2.6442307692307692</v>
      </c>
      <c r="AC198" s="805">
        <f t="shared" si="202"/>
        <v>3.1847133757961781</v>
      </c>
      <c r="AD198" s="814">
        <f t="shared" si="202"/>
        <v>0</v>
      </c>
      <c r="AE198" s="1201"/>
      <c r="AF198" s="1201"/>
    </row>
    <row r="199" spans="2:32">
      <c r="B199" s="801" t="s">
        <v>1736</v>
      </c>
      <c r="C199" s="304"/>
      <c r="D199" s="304"/>
      <c r="E199" s="304">
        <f t="shared" si="203"/>
        <v>2</v>
      </c>
      <c r="F199" s="304">
        <f t="shared" si="203"/>
        <v>3</v>
      </c>
      <c r="G199" s="304">
        <f t="shared" si="203"/>
        <v>7</v>
      </c>
      <c r="H199" s="304">
        <f t="shared" si="203"/>
        <v>3</v>
      </c>
      <c r="I199" s="304">
        <f t="shared" si="203"/>
        <v>11</v>
      </c>
      <c r="J199" s="304">
        <f t="shared" si="203"/>
        <v>9</v>
      </c>
      <c r="K199" s="304">
        <f t="shared" si="203"/>
        <v>11</v>
      </c>
      <c r="L199" s="304">
        <f t="shared" si="203"/>
        <v>12</v>
      </c>
      <c r="M199" s="304">
        <f t="shared" si="203"/>
        <v>0</v>
      </c>
      <c r="N199" s="812">
        <f t="shared" si="203"/>
        <v>0</v>
      </c>
      <c r="O199" s="1201"/>
      <c r="P199" s="1201"/>
      <c r="Q199" s="95"/>
      <c r="R199" s="801" t="s">
        <v>1736</v>
      </c>
      <c r="S199" s="805"/>
      <c r="T199" s="805"/>
      <c r="U199" s="805">
        <f t="shared" si="204"/>
        <v>1.941747572815534</v>
      </c>
      <c r="V199" s="805">
        <f t="shared" si="195"/>
        <v>1.7441860465116279</v>
      </c>
      <c r="W199" s="805">
        <f t="shared" si="196"/>
        <v>2.2875816993464051</v>
      </c>
      <c r="X199" s="805">
        <f t="shared" si="197"/>
        <v>1.0869565217391306</v>
      </c>
      <c r="Y199" s="805">
        <f t="shared" si="198"/>
        <v>4.1198501872659179</v>
      </c>
      <c r="Z199" s="805">
        <f t="shared" si="199"/>
        <v>2.5423728813559321</v>
      </c>
      <c r="AA199" s="805">
        <f t="shared" si="200"/>
        <v>2.2727272727272729</v>
      </c>
      <c r="AB199" s="805">
        <f t="shared" si="201"/>
        <v>2.8846153846153846</v>
      </c>
      <c r="AC199" s="805">
        <f t="shared" si="202"/>
        <v>0</v>
      </c>
      <c r="AD199" s="814">
        <f t="shared" si="202"/>
        <v>0</v>
      </c>
      <c r="AE199" s="1201"/>
      <c r="AF199" s="1201"/>
    </row>
    <row r="200" spans="2:32">
      <c r="B200" s="801" t="s">
        <v>1737</v>
      </c>
      <c r="C200" s="304"/>
      <c r="D200" s="304"/>
      <c r="E200" s="304">
        <f t="shared" si="203"/>
        <v>17</v>
      </c>
      <c r="F200" s="304">
        <f t="shared" si="203"/>
        <v>32</v>
      </c>
      <c r="G200" s="304">
        <f t="shared" si="203"/>
        <v>26</v>
      </c>
      <c r="H200" s="304">
        <f t="shared" si="203"/>
        <v>26</v>
      </c>
      <c r="I200" s="304">
        <f t="shared" si="203"/>
        <v>12</v>
      </c>
      <c r="J200" s="304">
        <f t="shared" si="203"/>
        <v>10</v>
      </c>
      <c r="K200" s="304">
        <f t="shared" si="203"/>
        <v>0</v>
      </c>
      <c r="L200" s="304">
        <f t="shared" si="203"/>
        <v>0</v>
      </c>
      <c r="M200" s="304">
        <f t="shared" si="203"/>
        <v>0</v>
      </c>
      <c r="N200" s="812">
        <f t="shared" si="203"/>
        <v>0</v>
      </c>
      <c r="O200" s="1201"/>
      <c r="P200" s="1201"/>
      <c r="Q200" s="95"/>
      <c r="R200" s="801" t="s">
        <v>1737</v>
      </c>
      <c r="S200" s="805"/>
      <c r="T200" s="805"/>
      <c r="U200" s="805">
        <f t="shared" si="204"/>
        <v>16.504854368932037</v>
      </c>
      <c r="V200" s="805">
        <f t="shared" si="195"/>
        <v>18.604651162790699</v>
      </c>
      <c r="W200" s="805">
        <f t="shared" si="196"/>
        <v>8.4967320261437909</v>
      </c>
      <c r="X200" s="805">
        <f t="shared" si="197"/>
        <v>9.4202898550724647</v>
      </c>
      <c r="Y200" s="805">
        <f t="shared" si="198"/>
        <v>4.4943820224719104</v>
      </c>
      <c r="Z200" s="805">
        <f t="shared" si="199"/>
        <v>2.8248587570621471</v>
      </c>
      <c r="AA200" s="805">
        <f t="shared" si="200"/>
        <v>0</v>
      </c>
      <c r="AB200" s="805">
        <f t="shared" si="201"/>
        <v>0</v>
      </c>
      <c r="AC200" s="805">
        <f t="shared" si="202"/>
        <v>0</v>
      </c>
      <c r="AD200" s="814">
        <f t="shared" si="202"/>
        <v>0</v>
      </c>
      <c r="AE200" s="1201"/>
      <c r="AF200" s="1201"/>
    </row>
    <row r="201" spans="2:32">
      <c r="B201" s="801" t="s">
        <v>1739</v>
      </c>
      <c r="C201" s="304"/>
      <c r="D201" s="304"/>
      <c r="E201" s="304">
        <f t="shared" ref="E201:M201" si="205">E146</f>
        <v>0</v>
      </c>
      <c r="F201" s="304">
        <f t="shared" si="205"/>
        <v>0</v>
      </c>
      <c r="G201" s="304">
        <f t="shared" si="205"/>
        <v>2</v>
      </c>
      <c r="H201" s="304">
        <f t="shared" si="205"/>
        <v>5</v>
      </c>
      <c r="I201" s="304">
        <f t="shared" si="205"/>
        <v>8</v>
      </c>
      <c r="J201" s="304">
        <f t="shared" si="205"/>
        <v>7</v>
      </c>
      <c r="K201" s="304">
        <f t="shared" si="205"/>
        <v>13</v>
      </c>
      <c r="L201" s="304">
        <f t="shared" si="205"/>
        <v>12</v>
      </c>
      <c r="M201" s="304">
        <f t="shared" si="205"/>
        <v>15</v>
      </c>
      <c r="N201" s="812">
        <f>N146</f>
        <v>4</v>
      </c>
      <c r="O201" s="1201"/>
      <c r="P201" s="1201"/>
      <c r="Q201" s="95"/>
      <c r="R201" s="801" t="s">
        <v>1739</v>
      </c>
      <c r="S201" s="805"/>
      <c r="T201" s="805"/>
      <c r="U201" s="805">
        <f t="shared" si="204"/>
        <v>0</v>
      </c>
      <c r="V201" s="805">
        <f t="shared" si="195"/>
        <v>0</v>
      </c>
      <c r="W201" s="805">
        <f t="shared" si="196"/>
        <v>0.65359477124183007</v>
      </c>
      <c r="X201" s="805">
        <f t="shared" si="197"/>
        <v>1.8115942028985508</v>
      </c>
      <c r="Y201" s="805">
        <f t="shared" si="198"/>
        <v>2.9962546816479403</v>
      </c>
      <c r="Z201" s="805">
        <f t="shared" si="199"/>
        <v>1.9774011299435028</v>
      </c>
      <c r="AA201" s="805">
        <f t="shared" si="200"/>
        <v>2.6859504132231407</v>
      </c>
      <c r="AB201" s="805">
        <f t="shared" si="201"/>
        <v>2.8846153846153846</v>
      </c>
      <c r="AC201" s="805">
        <f t="shared" si="202"/>
        <v>9.5541401273885338</v>
      </c>
      <c r="AD201" s="814">
        <f t="shared" si="202"/>
        <v>11.111111111111111</v>
      </c>
      <c r="AE201" s="1201"/>
      <c r="AF201" s="1201"/>
    </row>
    <row r="202" spans="2:32" ht="13.5" thickBot="1">
      <c r="B202" s="802" t="s">
        <v>4</v>
      </c>
      <c r="C202" s="803"/>
      <c r="D202" s="803"/>
      <c r="E202" s="803">
        <f t="shared" ref="E202:N202" si="206">SUM(E196:E201)</f>
        <v>103</v>
      </c>
      <c r="F202" s="803">
        <f t="shared" si="206"/>
        <v>172</v>
      </c>
      <c r="G202" s="803">
        <f t="shared" si="206"/>
        <v>306</v>
      </c>
      <c r="H202" s="803">
        <f t="shared" si="206"/>
        <v>276</v>
      </c>
      <c r="I202" s="803">
        <f t="shared" si="206"/>
        <v>267</v>
      </c>
      <c r="J202" s="803">
        <f t="shared" si="206"/>
        <v>354</v>
      </c>
      <c r="K202" s="803">
        <f t="shared" si="206"/>
        <v>484</v>
      </c>
      <c r="L202" s="803">
        <f t="shared" si="206"/>
        <v>416</v>
      </c>
      <c r="M202" s="803">
        <f t="shared" si="206"/>
        <v>157</v>
      </c>
      <c r="N202" s="813">
        <f t="shared" si="206"/>
        <v>36</v>
      </c>
      <c r="O202" s="1202"/>
      <c r="P202" s="1202"/>
      <c r="Q202" s="153"/>
      <c r="R202" s="802" t="s">
        <v>4</v>
      </c>
      <c r="S202" s="803"/>
      <c r="T202" s="803"/>
      <c r="U202" s="803">
        <f t="shared" ref="U202:AD202" si="207">SUM(U196:U201)</f>
        <v>100</v>
      </c>
      <c r="V202" s="803">
        <f t="shared" si="207"/>
        <v>100</v>
      </c>
      <c r="W202" s="803">
        <f t="shared" si="207"/>
        <v>99.999999999999986</v>
      </c>
      <c r="X202" s="803">
        <f t="shared" si="207"/>
        <v>100</v>
      </c>
      <c r="Y202" s="803">
        <f t="shared" si="207"/>
        <v>100</v>
      </c>
      <c r="Z202" s="803">
        <f t="shared" si="207"/>
        <v>99.999999999999986</v>
      </c>
      <c r="AA202" s="803">
        <f t="shared" si="207"/>
        <v>100</v>
      </c>
      <c r="AB202" s="803">
        <f t="shared" si="207"/>
        <v>100</v>
      </c>
      <c r="AC202" s="803">
        <f t="shared" si="207"/>
        <v>99.999999999999986</v>
      </c>
      <c r="AD202" s="813">
        <f t="shared" si="207"/>
        <v>100</v>
      </c>
      <c r="AE202" s="1201"/>
      <c r="AF202" s="1201"/>
    </row>
    <row r="203" spans="2:32">
      <c r="C203" s="95"/>
      <c r="D203" s="95"/>
      <c r="E203" s="95"/>
      <c r="F203" s="95"/>
      <c r="G203" s="153"/>
      <c r="H203" s="153"/>
      <c r="I203" s="95"/>
      <c r="J203" s="95"/>
      <c r="K203" s="95"/>
      <c r="L203" s="95"/>
      <c r="M203" s="95"/>
      <c r="N203" s="95"/>
      <c r="O203" s="95"/>
      <c r="P203" s="95"/>
      <c r="Q203" s="95"/>
    </row>
    <row r="204" spans="2:32">
      <c r="B204" s="148" t="s">
        <v>1868</v>
      </c>
      <c r="I204" s="810" t="s">
        <v>797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A1172"/>
  <sheetViews>
    <sheetView topLeftCell="A120" zoomScale="80" zoomScaleNormal="80" workbookViewId="0">
      <selection activeCell="G308" sqref="G308"/>
    </sheetView>
  </sheetViews>
  <sheetFormatPr defaultColWidth="9.42578125" defaultRowHeight="15"/>
  <cols>
    <col min="1" max="1" width="7.7109375" style="604" customWidth="1"/>
    <col min="2" max="2" width="51.28515625" style="601" customWidth="1"/>
    <col min="3" max="3" width="11.7109375" style="606" customWidth="1"/>
    <col min="4" max="4" width="9.42578125" style="606"/>
    <col min="5" max="6" width="9.42578125" style="606" customWidth="1"/>
    <col min="7" max="7" width="16.5703125" style="606" customWidth="1"/>
    <col min="8" max="10" width="9.42578125" style="606" customWidth="1"/>
    <col min="11" max="11" width="13" style="606" customWidth="1"/>
    <col min="12" max="12" width="17.7109375" style="606" bestFit="1" customWidth="1"/>
    <col min="13" max="14" width="10.85546875" style="606" customWidth="1"/>
    <col min="15" max="15" width="24.140625" style="606" customWidth="1"/>
    <col min="16" max="16" width="17.140625" style="606" customWidth="1"/>
    <col min="17" max="17" width="18.5703125" style="606" customWidth="1"/>
    <col min="18" max="18" width="18.140625" style="606" customWidth="1"/>
    <col min="19" max="19" width="20.85546875" style="606" customWidth="1"/>
    <col min="20" max="20" width="18.7109375" style="606" customWidth="1"/>
    <col min="21" max="21" width="16.5703125" style="606" bestFit="1" customWidth="1"/>
    <col min="22" max="16384" width="9.42578125" style="606"/>
  </cols>
  <sheetData>
    <row r="1" spans="1:27" ht="15" customHeight="1">
      <c r="C1" s="605"/>
      <c r="D1" s="605"/>
      <c r="E1" s="605"/>
      <c r="F1" s="605"/>
      <c r="G1" s="605"/>
      <c r="H1" s="605"/>
      <c r="I1" s="605"/>
      <c r="J1" s="605"/>
      <c r="K1" s="605"/>
    </row>
    <row r="2" spans="1:27" s="602" customFormat="1">
      <c r="A2" s="607"/>
      <c r="B2" s="543" t="str">
        <f>'NSP Summary Budget (16-18)'!B2</f>
        <v>GEORGIA</v>
      </c>
      <c r="C2" s="608"/>
      <c r="D2" s="608"/>
      <c r="E2" s="608"/>
      <c r="F2" s="542"/>
      <c r="G2" s="542"/>
      <c r="H2" s="542"/>
      <c r="I2" s="542"/>
      <c r="J2" s="542"/>
      <c r="K2" s="608"/>
      <c r="L2" s="609"/>
      <c r="M2" s="609"/>
      <c r="N2" s="609"/>
      <c r="O2" s="543"/>
      <c r="P2" s="609"/>
      <c r="Q2" s="609"/>
      <c r="R2" s="609"/>
      <c r="S2" s="609"/>
      <c r="T2" s="609"/>
      <c r="U2" s="609"/>
      <c r="V2" s="609"/>
      <c r="W2" s="543"/>
      <c r="X2" s="609"/>
      <c r="Y2" s="609"/>
      <c r="Z2" s="609"/>
      <c r="AA2" s="543"/>
    </row>
    <row r="3" spans="1:27" s="602" customFormat="1">
      <c r="A3" s="607"/>
      <c r="B3" s="543" t="str">
        <f>'NSP Summary Budget (16-18)'!B3</f>
        <v>National Strategic Plan for TB control 2016-2020</v>
      </c>
      <c r="C3" s="608"/>
      <c r="D3" s="608"/>
      <c r="E3" s="608"/>
      <c r="F3" s="542"/>
      <c r="G3" s="542"/>
      <c r="H3" s="542"/>
      <c r="I3" s="542"/>
      <c r="J3" s="542"/>
      <c r="K3" s="608"/>
      <c r="L3" s="609"/>
      <c r="M3" s="609"/>
      <c r="N3" s="609"/>
      <c r="O3" s="543"/>
      <c r="P3" s="609"/>
      <c r="Q3" s="609"/>
      <c r="R3" s="609"/>
      <c r="S3" s="609"/>
      <c r="T3" s="609"/>
      <c r="U3" s="609"/>
      <c r="V3" s="609"/>
      <c r="W3" s="543"/>
      <c r="X3" s="609"/>
      <c r="Y3" s="609"/>
      <c r="Z3" s="609"/>
      <c r="AA3" s="543"/>
    </row>
    <row r="4" spans="1:27" s="602" customFormat="1">
      <c r="A4" s="607"/>
      <c r="B4" s="543" t="s">
        <v>1261</v>
      </c>
      <c r="C4" s="608"/>
      <c r="D4" s="608"/>
      <c r="E4" s="608"/>
      <c r="F4" s="542"/>
      <c r="G4" s="542"/>
      <c r="H4" s="542"/>
      <c r="I4" s="542"/>
      <c r="J4" s="542"/>
      <c r="K4" s="608"/>
      <c r="L4" s="609"/>
      <c r="M4" s="609"/>
      <c r="N4" s="609"/>
      <c r="O4" s="544"/>
      <c r="P4" s="609"/>
      <c r="Q4" s="609"/>
      <c r="R4" s="609"/>
      <c r="S4" s="609"/>
      <c r="T4" s="609"/>
      <c r="U4" s="609"/>
      <c r="V4" s="609"/>
      <c r="W4" s="543"/>
      <c r="X4" s="609"/>
      <c r="Y4" s="609"/>
      <c r="Z4" s="609"/>
      <c r="AA4" s="543"/>
    </row>
    <row r="5" spans="1:27" s="602" customFormat="1">
      <c r="A5" s="607"/>
      <c r="B5" s="543"/>
      <c r="C5" s="608"/>
      <c r="D5" s="608"/>
      <c r="E5" s="608"/>
      <c r="F5" s="542"/>
      <c r="G5" s="542"/>
      <c r="H5" s="542"/>
      <c r="I5" s="542"/>
      <c r="J5" s="542"/>
      <c r="K5" s="608"/>
      <c r="L5" s="609"/>
      <c r="M5" s="609"/>
      <c r="N5" s="609"/>
      <c r="O5" s="544"/>
      <c r="P5" s="609"/>
      <c r="Q5" s="609"/>
      <c r="R5" s="609"/>
      <c r="S5" s="609"/>
      <c r="T5" s="609"/>
      <c r="U5" s="609"/>
      <c r="V5" s="609"/>
      <c r="W5" s="543"/>
      <c r="X5" s="609"/>
      <c r="Y5" s="609"/>
      <c r="Z5" s="609"/>
      <c r="AA5" s="543"/>
    </row>
    <row r="6" spans="1:27" s="602" customFormat="1">
      <c r="A6" s="607"/>
      <c r="B6" s="543" t="s">
        <v>1037</v>
      </c>
      <c r="C6" s="543" t="s">
        <v>987</v>
      </c>
      <c r="D6" s="608"/>
      <c r="F6" s="542"/>
      <c r="G6" s="542"/>
      <c r="H6" s="542"/>
      <c r="I6" s="542"/>
      <c r="J6" s="542"/>
      <c r="L6" s="609"/>
      <c r="M6" s="609"/>
      <c r="N6" s="609"/>
      <c r="P6" s="609"/>
      <c r="Q6" s="609"/>
      <c r="R6" s="609"/>
      <c r="S6" s="609"/>
      <c r="T6" s="609"/>
      <c r="U6" s="609"/>
      <c r="V6" s="609"/>
      <c r="W6" s="543"/>
      <c r="X6" s="609"/>
      <c r="Y6" s="609"/>
      <c r="Z6" s="609"/>
      <c r="AA6" s="543"/>
    </row>
    <row r="7" spans="1:27">
      <c r="C7" s="605"/>
      <c r="D7" s="605"/>
      <c r="E7" s="605"/>
      <c r="F7" s="605"/>
      <c r="G7" s="605"/>
      <c r="H7" s="605"/>
      <c r="I7" s="605"/>
      <c r="J7" s="605"/>
      <c r="K7" s="605"/>
    </row>
    <row r="8" spans="1:27">
      <c r="B8" s="545" t="s">
        <v>1038</v>
      </c>
      <c r="C8" s="546"/>
      <c r="D8" s="605"/>
      <c r="E8" s="605"/>
      <c r="F8" s="605"/>
      <c r="G8" s="605"/>
      <c r="H8" s="605"/>
      <c r="I8" s="605"/>
      <c r="J8" s="605"/>
      <c r="K8" s="605"/>
    </row>
    <row r="9" spans="1:27">
      <c r="B9" s="622" t="s">
        <v>1679</v>
      </c>
      <c r="C9" s="759">
        <f>'Unit costs'!F62</f>
        <v>10000</v>
      </c>
      <c r="D9" s="605"/>
      <c r="E9" s="787" t="s">
        <v>1687</v>
      </c>
      <c r="F9" s="605"/>
      <c r="G9" s="605"/>
      <c r="H9" s="605"/>
      <c r="I9" s="605"/>
      <c r="J9" s="605"/>
      <c r="K9" s="605"/>
    </row>
    <row r="10" spans="1:27">
      <c r="B10" s="624" t="s">
        <v>1039</v>
      </c>
      <c r="C10" s="625">
        <f>'Unit costs'!D5</f>
        <v>600</v>
      </c>
      <c r="D10" s="605"/>
      <c r="E10" s="605"/>
      <c r="F10" s="605"/>
      <c r="G10" s="605"/>
      <c r="H10" s="605"/>
      <c r="I10" s="605"/>
      <c r="J10" s="605"/>
      <c r="K10" s="605"/>
    </row>
    <row r="11" spans="1:27">
      <c r="B11" s="622" t="s">
        <v>1495</v>
      </c>
      <c r="C11" s="623">
        <f>12*1000</f>
        <v>12000</v>
      </c>
      <c r="D11" s="605"/>
      <c r="E11" s="605"/>
      <c r="F11" s="605"/>
      <c r="G11" s="605"/>
      <c r="H11" s="605"/>
      <c r="I11" s="605"/>
      <c r="J11" s="605"/>
      <c r="K11" s="605"/>
    </row>
    <row r="12" spans="1:27">
      <c r="B12" s="624" t="s">
        <v>1040</v>
      </c>
      <c r="C12" s="759">
        <f>'Unit costs'!G79</f>
        <v>4600</v>
      </c>
      <c r="D12" s="605"/>
      <c r="E12" s="787" t="s">
        <v>1687</v>
      </c>
      <c r="F12" s="605"/>
      <c r="G12" s="605"/>
      <c r="H12" s="605"/>
      <c r="I12" s="605"/>
      <c r="J12" s="605"/>
      <c r="K12" s="605"/>
    </row>
    <row r="13" spans="1:27">
      <c r="B13" s="624" t="s">
        <v>1041</v>
      </c>
      <c r="C13" s="759">
        <f>'Unit costs'!G96</f>
        <v>2900</v>
      </c>
      <c r="D13" s="605"/>
      <c r="E13" s="787" t="s">
        <v>1687</v>
      </c>
      <c r="F13" s="605"/>
      <c r="G13" s="605"/>
      <c r="H13" s="605"/>
      <c r="I13" s="605"/>
      <c r="J13" s="605"/>
      <c r="K13" s="605"/>
    </row>
    <row r="14" spans="1:27" ht="30">
      <c r="B14" s="624" t="s">
        <v>1617</v>
      </c>
      <c r="C14" s="759">
        <f>'Unit costs'!G149</f>
        <v>10600</v>
      </c>
      <c r="D14" s="605"/>
      <c r="E14" s="787" t="s">
        <v>1687</v>
      </c>
      <c r="F14" s="605"/>
      <c r="G14" s="605"/>
      <c r="H14" s="605"/>
      <c r="I14" s="605"/>
      <c r="J14" s="605"/>
      <c r="K14" s="605"/>
    </row>
    <row r="15" spans="1:27">
      <c r="B15" s="624" t="s">
        <v>1042</v>
      </c>
      <c r="C15" s="759">
        <v>8000</v>
      </c>
      <c r="D15" s="605"/>
      <c r="E15" s="787" t="s">
        <v>1687</v>
      </c>
      <c r="F15" s="605"/>
      <c r="G15" s="605"/>
      <c r="H15" s="605"/>
      <c r="I15" s="605"/>
      <c r="J15" s="605"/>
      <c r="K15" s="605"/>
    </row>
    <row r="16" spans="1:27" ht="30">
      <c r="B16" s="624" t="s">
        <v>1043</v>
      </c>
      <c r="C16" s="759">
        <f>'Unit costs'!F108</f>
        <v>4100</v>
      </c>
      <c r="D16" s="605"/>
      <c r="E16" s="787" t="s">
        <v>1687</v>
      </c>
      <c r="F16" s="605"/>
      <c r="G16" s="605"/>
      <c r="H16" s="605"/>
      <c r="I16" s="605"/>
      <c r="J16" s="605"/>
      <c r="K16" s="605"/>
    </row>
    <row r="17" spans="1:14" ht="30">
      <c r="B17" s="624" t="s">
        <v>1044</v>
      </c>
      <c r="C17" s="759">
        <f>'Unit costs'!F120</f>
        <v>2000</v>
      </c>
      <c r="D17" s="605"/>
      <c r="E17" s="787" t="s">
        <v>1687</v>
      </c>
      <c r="F17" s="605"/>
      <c r="G17" s="605"/>
      <c r="H17" s="605"/>
      <c r="I17" s="605"/>
      <c r="J17" s="605"/>
      <c r="K17" s="605"/>
    </row>
    <row r="18" spans="1:14">
      <c r="B18" s="624" t="s">
        <v>1052</v>
      </c>
      <c r="C18" s="623">
        <f>17000+600</f>
        <v>17600</v>
      </c>
      <c r="D18" s="605"/>
      <c r="E18" s="605"/>
      <c r="F18" s="605"/>
      <c r="G18" s="605"/>
      <c r="H18" s="605"/>
      <c r="I18" s="605"/>
      <c r="J18" s="605"/>
      <c r="K18" s="605"/>
    </row>
    <row r="19" spans="1:14">
      <c r="B19" s="624" t="s">
        <v>1053</v>
      </c>
      <c r="C19" s="623">
        <f>11780+600</f>
        <v>12380</v>
      </c>
      <c r="D19" s="605"/>
      <c r="E19" s="605"/>
      <c r="F19" s="605"/>
      <c r="G19" s="605"/>
      <c r="H19" s="605"/>
      <c r="I19" s="605"/>
      <c r="J19" s="605"/>
      <c r="K19" s="605"/>
    </row>
    <row r="20" spans="1:14">
      <c r="B20" s="624" t="s">
        <v>1054</v>
      </c>
      <c r="C20" s="626">
        <f>9.98+1.28</f>
        <v>11.26</v>
      </c>
      <c r="D20" s="605"/>
      <c r="E20" s="605"/>
      <c r="F20" s="605"/>
      <c r="G20" s="605"/>
      <c r="H20" s="605"/>
      <c r="I20" s="605"/>
      <c r="J20" s="605"/>
      <c r="K20" s="605"/>
    </row>
    <row r="21" spans="1:14">
      <c r="B21" s="624" t="s">
        <v>1055</v>
      </c>
      <c r="C21" s="623">
        <f>800+400</f>
        <v>1200</v>
      </c>
      <c r="D21" s="605"/>
      <c r="E21" s="605"/>
      <c r="F21" s="605"/>
      <c r="G21" s="605"/>
      <c r="H21" s="605"/>
      <c r="I21" s="605"/>
      <c r="J21" s="605"/>
      <c r="K21" s="605"/>
    </row>
    <row r="22" spans="1:14" ht="30">
      <c r="B22" s="624" t="s">
        <v>1056</v>
      </c>
      <c r="C22" s="623">
        <f>240+510</f>
        <v>750</v>
      </c>
      <c r="D22" s="605"/>
      <c r="E22" s="605"/>
      <c r="F22" s="605"/>
      <c r="G22" s="605"/>
      <c r="H22" s="605"/>
      <c r="I22" s="605"/>
      <c r="J22" s="605"/>
      <c r="K22" s="605"/>
    </row>
    <row r="23" spans="1:14" ht="30">
      <c r="B23" s="624" t="s">
        <v>1364</v>
      </c>
      <c r="C23" s="623">
        <v>7900</v>
      </c>
      <c r="D23" s="605"/>
      <c r="E23" s="605"/>
      <c r="F23" s="605"/>
      <c r="G23" s="605"/>
      <c r="H23" s="605"/>
      <c r="I23" s="605"/>
      <c r="J23" s="605"/>
      <c r="K23" s="605"/>
    </row>
    <row r="24" spans="1:14">
      <c r="A24" s="611"/>
      <c r="B24" s="629" t="s">
        <v>1618</v>
      </c>
      <c r="C24" s="623">
        <f>1*4*100</f>
        <v>400</v>
      </c>
      <c r="D24" s="612"/>
      <c r="E24" s="612"/>
      <c r="F24" s="612"/>
      <c r="G24" s="612"/>
      <c r="H24" s="612"/>
      <c r="I24" s="612"/>
      <c r="J24" s="612"/>
      <c r="K24" s="605"/>
    </row>
    <row r="25" spans="1:14">
      <c r="B25" s="624" t="s">
        <v>1065</v>
      </c>
      <c r="C25" s="623">
        <v>2540</v>
      </c>
      <c r="D25" s="605"/>
      <c r="E25" s="605"/>
      <c r="F25" s="605"/>
      <c r="G25" s="605"/>
      <c r="H25" s="605"/>
      <c r="I25" s="605"/>
      <c r="J25" s="605"/>
      <c r="K25" s="605"/>
    </row>
    <row r="26" spans="1:14" ht="30">
      <c r="B26" s="624" t="s">
        <v>1066</v>
      </c>
      <c r="C26" s="625">
        <v>2000</v>
      </c>
      <c r="D26" s="605"/>
      <c r="E26" s="942"/>
      <c r="F26" s="942"/>
      <c r="G26" s="942"/>
      <c r="H26" s="942"/>
      <c r="I26" s="942"/>
      <c r="J26" s="942"/>
      <c r="K26" s="605"/>
    </row>
    <row r="27" spans="1:14">
      <c r="B27" s="624" t="s">
        <v>1063</v>
      </c>
      <c r="C27" s="626">
        <f>ROUND(205/1000*1.2,2)</f>
        <v>0.25</v>
      </c>
      <c r="D27" s="605"/>
      <c r="E27" s="943"/>
      <c r="F27" s="942"/>
      <c r="G27" s="942"/>
      <c r="H27" s="942"/>
      <c r="I27" s="942"/>
      <c r="J27" s="942"/>
      <c r="K27" s="605"/>
    </row>
    <row r="28" spans="1:14">
      <c r="B28" s="624" t="s">
        <v>1064</v>
      </c>
      <c r="C28" s="626">
        <f>ROUND((205/1000+150/1000)*1.3,1)</f>
        <v>0.5</v>
      </c>
      <c r="D28" s="605"/>
      <c r="E28" s="943"/>
      <c r="F28" s="943"/>
      <c r="G28" s="943"/>
      <c r="H28" s="943"/>
      <c r="I28" s="943"/>
      <c r="J28" s="943"/>
    </row>
    <row r="29" spans="1:14">
      <c r="B29" s="624" t="s">
        <v>1045</v>
      </c>
      <c r="C29" s="625">
        <v>50000</v>
      </c>
      <c r="D29" s="605"/>
      <c r="E29" s="944"/>
      <c r="F29" s="943"/>
      <c r="G29" s="943"/>
      <c r="H29" s="943"/>
      <c r="I29" s="943"/>
      <c r="J29" s="943"/>
      <c r="K29" s="793"/>
    </row>
    <row r="30" spans="1:14">
      <c r="B30" s="624" t="s">
        <v>1069</v>
      </c>
      <c r="C30" s="625">
        <v>60000</v>
      </c>
      <c r="D30" s="605"/>
      <c r="E30" s="944"/>
      <c r="F30" s="942"/>
      <c r="G30" s="942"/>
      <c r="H30" s="942"/>
      <c r="I30" s="942"/>
      <c r="J30" s="942"/>
      <c r="K30" s="793"/>
      <c r="L30" s="794"/>
      <c r="M30" s="794"/>
      <c r="N30" s="794"/>
    </row>
    <row r="31" spans="1:14">
      <c r="B31" s="624" t="s">
        <v>1070</v>
      </c>
      <c r="C31" s="625">
        <v>53000</v>
      </c>
      <c r="D31" s="605"/>
      <c r="E31" s="942"/>
      <c r="F31" s="942"/>
      <c r="G31" s="942"/>
      <c r="H31" s="942"/>
      <c r="I31" s="942"/>
      <c r="J31" s="942"/>
      <c r="K31" s="605"/>
    </row>
    <row r="32" spans="1:14">
      <c r="B32" s="624" t="s">
        <v>1782</v>
      </c>
      <c r="C32" s="625">
        <v>214000</v>
      </c>
      <c r="D32" s="605"/>
      <c r="E32" s="944"/>
      <c r="F32" s="942"/>
      <c r="G32" s="942"/>
      <c r="H32" s="942"/>
      <c r="I32" s="942"/>
      <c r="J32" s="942"/>
      <c r="K32" s="605"/>
    </row>
    <row r="33" spans="1:14" ht="30">
      <c r="B33" s="624" t="s">
        <v>1781</v>
      </c>
      <c r="C33" s="625">
        <v>88400</v>
      </c>
      <c r="D33" s="605"/>
      <c r="E33" s="944"/>
      <c r="F33" s="942"/>
      <c r="G33" s="942"/>
      <c r="H33" s="942"/>
      <c r="I33" s="942"/>
      <c r="J33" s="942"/>
      <c r="K33" s="605"/>
    </row>
    <row r="34" spans="1:14">
      <c r="B34" s="624" t="s">
        <v>1071</v>
      </c>
      <c r="C34" s="628">
        <v>1.3</v>
      </c>
      <c r="D34" s="605"/>
      <c r="E34" s="944"/>
      <c r="F34" s="945"/>
      <c r="G34" s="945"/>
      <c r="H34" s="945"/>
      <c r="I34" s="945"/>
      <c r="J34" s="945"/>
      <c r="K34" s="610"/>
    </row>
    <row r="35" spans="1:14">
      <c r="B35" s="624" t="s">
        <v>1072</v>
      </c>
      <c r="C35" s="628">
        <v>3.3</v>
      </c>
      <c r="D35" s="605"/>
      <c r="E35" s="942"/>
      <c r="F35" s="944"/>
      <c r="G35" s="944"/>
      <c r="H35" s="944"/>
      <c r="I35" s="944"/>
      <c r="J35" s="944"/>
      <c r="K35" s="610"/>
    </row>
    <row r="36" spans="1:14">
      <c r="B36" s="624" t="s">
        <v>1073</v>
      </c>
      <c r="C36" s="628">
        <v>16.5</v>
      </c>
      <c r="D36" s="605"/>
      <c r="E36" s="942"/>
      <c r="F36" s="942"/>
      <c r="G36" s="942"/>
      <c r="H36" s="942"/>
      <c r="I36" s="942"/>
      <c r="J36" s="942"/>
      <c r="K36" s="610"/>
    </row>
    <row r="37" spans="1:14">
      <c r="B37" s="624" t="s">
        <v>1489</v>
      </c>
      <c r="C37" s="628">
        <v>19.100000000000001</v>
      </c>
      <c r="D37" s="605"/>
      <c r="E37" s="942"/>
      <c r="F37" s="943"/>
      <c r="G37" s="943"/>
      <c r="H37" s="943"/>
      <c r="I37" s="943"/>
      <c r="J37" s="943"/>
      <c r="K37" s="610"/>
    </row>
    <row r="38" spans="1:14">
      <c r="B38" s="629" t="s">
        <v>1074</v>
      </c>
      <c r="C38" s="628">
        <v>10</v>
      </c>
      <c r="D38" s="605"/>
      <c r="E38" s="942"/>
      <c r="F38" s="942"/>
      <c r="G38" s="942"/>
      <c r="H38" s="942"/>
      <c r="I38" s="942"/>
      <c r="J38" s="942"/>
      <c r="K38" s="610"/>
    </row>
    <row r="39" spans="1:14">
      <c r="B39" s="629" t="s">
        <v>1075</v>
      </c>
      <c r="C39" s="628">
        <v>13.6</v>
      </c>
      <c r="D39" s="605"/>
      <c r="E39" s="605"/>
      <c r="F39" s="605"/>
      <c r="G39" s="605"/>
      <c r="H39" s="605"/>
      <c r="I39" s="605"/>
      <c r="J39" s="605"/>
      <c r="K39" s="610"/>
    </row>
    <row r="40" spans="1:14" ht="45">
      <c r="B40" s="624" t="s">
        <v>1068</v>
      </c>
      <c r="C40" s="625">
        <v>40000</v>
      </c>
      <c r="D40" s="605"/>
      <c r="E40" s="605"/>
      <c r="F40" s="605"/>
      <c r="G40" s="605"/>
      <c r="H40" s="605"/>
      <c r="I40" s="605"/>
      <c r="J40" s="605"/>
      <c r="K40" s="605"/>
    </row>
    <row r="41" spans="1:14">
      <c r="B41" s="948" t="s">
        <v>1619</v>
      </c>
      <c r="C41" s="625">
        <v>650000</v>
      </c>
      <c r="D41" s="605"/>
      <c r="E41" s="605"/>
      <c r="F41" s="605"/>
      <c r="G41" s="605"/>
      <c r="H41" s="605"/>
      <c r="I41" s="605"/>
      <c r="J41" s="605"/>
      <c r="K41" s="605"/>
    </row>
    <row r="42" spans="1:14" ht="30">
      <c r="B42" s="961" t="s">
        <v>1785</v>
      </c>
      <c r="C42" s="947">
        <f>100+100</f>
        <v>200</v>
      </c>
      <c r="D42" s="605"/>
      <c r="E42" s="605"/>
      <c r="F42" s="605"/>
      <c r="G42" s="605"/>
      <c r="H42" s="605"/>
      <c r="I42" s="605"/>
      <c r="J42" s="605"/>
      <c r="K42" s="605"/>
    </row>
    <row r="43" spans="1:14" s="1008" customFormat="1">
      <c r="A43" s="1002"/>
      <c r="B43" s="1003" t="s">
        <v>1811</v>
      </c>
      <c r="C43" s="1001">
        <v>270000</v>
      </c>
      <c r="D43" s="1004"/>
      <c r="E43" s="1005"/>
      <c r="F43" s="1005"/>
      <c r="G43" s="1005"/>
      <c r="H43" s="1005"/>
      <c r="I43" s="1005"/>
      <c r="J43" s="1005"/>
      <c r="K43" s="1006"/>
      <c r="L43" s="1007"/>
      <c r="M43" s="1007"/>
      <c r="N43" s="1007"/>
    </row>
    <row r="44" spans="1:14" s="1008" customFormat="1">
      <c r="A44" s="1002"/>
      <c r="B44" s="1003" t="s">
        <v>1812</v>
      </c>
      <c r="C44" s="1001">
        <v>120000</v>
      </c>
      <c r="D44" s="1004"/>
      <c r="E44" s="1005"/>
      <c r="F44" s="1009"/>
      <c r="G44" s="1009"/>
      <c r="H44" s="1009"/>
      <c r="I44" s="1009"/>
      <c r="J44" s="1009"/>
      <c r="K44" s="1006"/>
      <c r="L44" s="1007"/>
      <c r="M44" s="1007"/>
      <c r="N44" s="1007"/>
    </row>
    <row r="45" spans="1:14" s="1008" customFormat="1">
      <c r="A45" s="1002"/>
      <c r="B45" s="1010" t="s">
        <v>1813</v>
      </c>
      <c r="C45" s="1001">
        <v>200000</v>
      </c>
      <c r="D45" s="1004"/>
      <c r="E45" s="1005"/>
      <c r="F45" s="1005"/>
      <c r="G45" s="1005"/>
      <c r="H45" s="1005"/>
      <c r="I45" s="1005"/>
      <c r="J45" s="1005"/>
      <c r="K45" s="1006"/>
      <c r="L45" s="1007"/>
      <c r="M45" s="1007"/>
      <c r="N45" s="1007"/>
    </row>
    <row r="46" spans="1:14" s="1008" customFormat="1">
      <c r="A46" s="1002"/>
      <c r="B46" s="1010" t="s">
        <v>1814</v>
      </c>
      <c r="C46" s="1001">
        <v>60000</v>
      </c>
      <c r="D46" s="1004"/>
      <c r="E46" s="1005"/>
      <c r="F46" s="1005"/>
      <c r="G46" s="1005"/>
      <c r="H46" s="1005"/>
      <c r="I46" s="1005"/>
      <c r="J46" s="1005"/>
      <c r="K46" s="1006"/>
      <c r="L46" s="1007"/>
      <c r="M46" s="1007"/>
      <c r="N46" s="1007"/>
    </row>
    <row r="47" spans="1:14" s="1008" customFormat="1">
      <c r="A47" s="1002"/>
      <c r="B47" s="1010" t="s">
        <v>1815</v>
      </c>
      <c r="C47" s="1001">
        <v>25000</v>
      </c>
      <c r="D47" s="1004"/>
      <c r="E47" s="1005"/>
      <c r="F47" s="1005"/>
      <c r="G47" s="1005"/>
      <c r="H47" s="1005"/>
      <c r="I47" s="1005"/>
      <c r="J47" s="1005"/>
      <c r="K47" s="1006"/>
      <c r="L47" s="1007"/>
      <c r="M47" s="1007"/>
      <c r="N47" s="1007"/>
    </row>
    <row r="48" spans="1:14" s="1008" customFormat="1" ht="30">
      <c r="A48" s="1002"/>
      <c r="B48" s="1010" t="s">
        <v>1816</v>
      </c>
      <c r="C48" s="1001">
        <v>20000</v>
      </c>
      <c r="D48" s="1004"/>
      <c r="E48" s="1005"/>
      <c r="F48" s="1005"/>
      <c r="G48" s="1005"/>
      <c r="H48" s="1005"/>
      <c r="I48" s="1005"/>
      <c r="J48" s="1005"/>
      <c r="K48" s="1006"/>
      <c r="L48" s="1007"/>
      <c r="M48" s="1007"/>
      <c r="N48" s="1007"/>
    </row>
    <row r="49" spans="2:11" ht="30">
      <c r="B49" s="629" t="s">
        <v>1496</v>
      </c>
      <c r="C49" s="625">
        <v>60000</v>
      </c>
      <c r="D49" s="605"/>
      <c r="E49" s="605"/>
      <c r="F49" s="605"/>
      <c r="G49" s="605"/>
      <c r="H49" s="605"/>
      <c r="I49" s="605"/>
      <c r="J49" s="605"/>
      <c r="K49" s="610"/>
    </row>
    <row r="50" spans="2:11" ht="30">
      <c r="B50" s="629" t="s">
        <v>1497</v>
      </c>
      <c r="C50" s="625">
        <v>40000</v>
      </c>
      <c r="D50" s="605"/>
      <c r="E50" s="605"/>
      <c r="F50" s="605"/>
      <c r="G50" s="605"/>
      <c r="H50" s="605"/>
      <c r="I50" s="605"/>
      <c r="J50" s="605"/>
      <c r="K50" s="610"/>
    </row>
    <row r="51" spans="2:11">
      <c r="B51" s="624" t="s">
        <v>1374</v>
      </c>
      <c r="C51" s="628">
        <f>'TB drugs cost'!I58</f>
        <v>35.6</v>
      </c>
      <c r="D51" s="605"/>
      <c r="E51" s="605"/>
      <c r="F51" s="605"/>
      <c r="G51" s="605"/>
      <c r="H51" s="605"/>
      <c r="I51" s="605"/>
      <c r="J51" s="605"/>
      <c r="K51" s="605"/>
    </row>
    <row r="52" spans="2:11">
      <c r="B52" s="624" t="s">
        <v>1061</v>
      </c>
      <c r="C52" s="623">
        <f>'TB drugs cost'!I93</f>
        <v>289</v>
      </c>
      <c r="D52" s="605"/>
      <c r="E52" s="605"/>
      <c r="F52" s="605"/>
      <c r="G52" s="605"/>
      <c r="H52" s="605"/>
      <c r="I52" s="605"/>
      <c r="J52" s="605"/>
      <c r="K52" s="605"/>
    </row>
    <row r="53" spans="2:11">
      <c r="B53" s="624" t="s">
        <v>1376</v>
      </c>
      <c r="C53" s="623">
        <f>'TB drugs cost'!I135</f>
        <v>1910</v>
      </c>
      <c r="D53" s="605"/>
      <c r="E53" s="605"/>
      <c r="F53" s="605"/>
      <c r="G53" s="605"/>
      <c r="H53" s="605"/>
      <c r="I53" s="605"/>
      <c r="J53" s="605"/>
      <c r="K53" s="605"/>
    </row>
    <row r="54" spans="2:11">
      <c r="B54" s="624" t="s">
        <v>1377</v>
      </c>
      <c r="C54" s="623">
        <f>'TB drugs cost'!I167</f>
        <v>1210</v>
      </c>
      <c r="D54" s="605"/>
      <c r="E54" s="605"/>
      <c r="F54" s="605"/>
      <c r="G54" s="605"/>
      <c r="H54" s="605"/>
      <c r="I54" s="605"/>
      <c r="J54" s="605"/>
      <c r="K54" s="605"/>
    </row>
    <row r="55" spans="2:11">
      <c r="B55" s="624" t="s">
        <v>1378</v>
      </c>
      <c r="C55" s="623">
        <f>'TB drugs cost'!I205</f>
        <v>3890</v>
      </c>
      <c r="D55" s="605"/>
      <c r="E55" s="605"/>
      <c r="F55" s="605"/>
      <c r="G55" s="605"/>
      <c r="H55" s="605"/>
      <c r="I55" s="605"/>
      <c r="J55" s="605"/>
      <c r="K55" s="605"/>
    </row>
    <row r="56" spans="2:11">
      <c r="B56" s="624" t="s">
        <v>1786</v>
      </c>
      <c r="C56" s="963">
        <v>6000</v>
      </c>
      <c r="D56" s="605"/>
      <c r="E56" s="605"/>
      <c r="F56" s="605"/>
      <c r="G56" s="605"/>
      <c r="H56" s="605"/>
      <c r="I56" s="605"/>
      <c r="J56" s="605"/>
      <c r="K56" s="605"/>
    </row>
    <row r="57" spans="2:11">
      <c r="B57" s="624" t="s">
        <v>1046</v>
      </c>
      <c r="C57" s="625">
        <v>20000</v>
      </c>
      <c r="D57" s="605"/>
      <c r="E57" s="793"/>
      <c r="F57" s="605"/>
      <c r="G57" s="605"/>
      <c r="H57" s="605"/>
      <c r="I57" s="605"/>
      <c r="J57" s="605"/>
      <c r="K57" s="605"/>
    </row>
    <row r="58" spans="2:11">
      <c r="B58" s="624" t="s">
        <v>1807</v>
      </c>
      <c r="C58" s="625">
        <v>15600</v>
      </c>
      <c r="D58" s="605"/>
      <c r="E58" s="605"/>
      <c r="F58" s="605"/>
      <c r="G58" s="605"/>
      <c r="H58" s="605"/>
      <c r="I58" s="605"/>
      <c r="J58" s="605"/>
      <c r="K58" s="605"/>
    </row>
    <row r="59" spans="2:11" ht="30">
      <c r="B59" s="624" t="s">
        <v>1788</v>
      </c>
      <c r="C59" s="625">
        <v>15</v>
      </c>
      <c r="D59" s="605"/>
      <c r="E59" s="605"/>
      <c r="F59" s="605"/>
      <c r="G59" s="605"/>
      <c r="H59" s="605"/>
      <c r="I59" s="605"/>
      <c r="J59" s="605"/>
      <c r="K59" s="605"/>
    </row>
    <row r="60" spans="2:11" ht="30">
      <c r="B60" s="624" t="s">
        <v>1789</v>
      </c>
      <c r="C60" s="625">
        <v>40</v>
      </c>
      <c r="D60" s="605"/>
      <c r="E60" s="605"/>
      <c r="F60" s="605"/>
      <c r="G60" s="605"/>
      <c r="H60" s="605"/>
      <c r="I60" s="605"/>
      <c r="J60" s="605"/>
      <c r="K60" s="605"/>
    </row>
    <row r="61" spans="2:11" ht="30">
      <c r="B61" s="624" t="s">
        <v>1790</v>
      </c>
      <c r="C61" s="625">
        <v>60</v>
      </c>
      <c r="D61" s="605"/>
      <c r="E61" s="605"/>
      <c r="F61" s="605"/>
      <c r="G61" s="605"/>
      <c r="H61" s="605"/>
      <c r="I61" s="605"/>
      <c r="J61" s="605"/>
      <c r="K61" s="605"/>
    </row>
    <row r="62" spans="2:11">
      <c r="B62" s="624" t="s">
        <v>1062</v>
      </c>
      <c r="C62" s="628">
        <v>2</v>
      </c>
      <c r="D62" s="605"/>
      <c r="E62" s="605"/>
      <c r="F62" s="605"/>
      <c r="G62" s="605"/>
      <c r="H62" s="605"/>
      <c r="I62" s="605"/>
      <c r="J62" s="605"/>
      <c r="K62" s="605"/>
    </row>
    <row r="63" spans="2:11">
      <c r="B63" s="624" t="s">
        <v>1791</v>
      </c>
      <c r="C63" s="625">
        <v>40900</v>
      </c>
      <c r="D63" s="605"/>
      <c r="E63" s="605"/>
      <c r="F63" s="605"/>
      <c r="G63" s="605"/>
      <c r="H63" s="605"/>
      <c r="I63" s="605"/>
      <c r="J63" s="605"/>
      <c r="K63" s="605"/>
    </row>
    <row r="64" spans="2:11">
      <c r="B64" s="624" t="s">
        <v>1820</v>
      </c>
      <c r="C64" s="625">
        <v>39600</v>
      </c>
      <c r="D64" s="605"/>
      <c r="E64" s="605"/>
      <c r="F64" s="605"/>
      <c r="G64" s="605"/>
      <c r="H64" s="605"/>
      <c r="I64" s="605"/>
      <c r="J64" s="605"/>
      <c r="K64" s="605"/>
    </row>
    <row r="65" spans="2:11" ht="30">
      <c r="B65" s="624" t="s">
        <v>1822</v>
      </c>
      <c r="C65" s="625">
        <v>16600</v>
      </c>
      <c r="D65" s="605"/>
      <c r="E65" s="605"/>
      <c r="F65" s="605"/>
      <c r="G65" s="605"/>
      <c r="H65" s="605"/>
      <c r="I65" s="605"/>
      <c r="J65" s="605"/>
      <c r="K65" s="605"/>
    </row>
    <row r="66" spans="2:11" ht="30">
      <c r="B66" s="624" t="s">
        <v>1823</v>
      </c>
      <c r="C66" s="625">
        <v>9810</v>
      </c>
      <c r="D66" s="605"/>
      <c r="E66" s="605"/>
      <c r="F66" s="605"/>
      <c r="G66" s="605"/>
      <c r="H66" s="605"/>
      <c r="I66" s="605"/>
      <c r="J66" s="605"/>
      <c r="K66" s="605"/>
    </row>
    <row r="67" spans="2:11">
      <c r="B67" s="624" t="s">
        <v>1792</v>
      </c>
      <c r="C67" s="625">
        <v>160000</v>
      </c>
      <c r="D67" s="605"/>
      <c r="E67" s="605"/>
      <c r="F67" s="605"/>
      <c r="G67" s="605"/>
      <c r="H67" s="605"/>
      <c r="I67" s="605"/>
      <c r="J67" s="605"/>
      <c r="K67" s="605"/>
    </row>
    <row r="68" spans="2:11" ht="30">
      <c r="B68" s="624" t="s">
        <v>1526</v>
      </c>
      <c r="C68" s="625">
        <v>60000</v>
      </c>
      <c r="D68" s="605"/>
      <c r="E68" s="605"/>
      <c r="F68" s="605"/>
      <c r="G68" s="605"/>
      <c r="H68" s="605"/>
      <c r="I68" s="605"/>
      <c r="J68" s="605"/>
      <c r="K68" s="605"/>
    </row>
    <row r="69" spans="2:11" ht="30">
      <c r="B69" s="629" t="s">
        <v>1524</v>
      </c>
      <c r="C69" s="625">
        <v>80000</v>
      </c>
      <c r="D69" s="605"/>
      <c r="E69" s="605"/>
      <c r="F69" s="605"/>
      <c r="G69" s="605"/>
      <c r="H69" s="605"/>
      <c r="I69" s="605"/>
      <c r="J69" s="605"/>
      <c r="K69" s="610"/>
    </row>
    <row r="70" spans="2:11" ht="30">
      <c r="B70" s="624" t="s">
        <v>1532</v>
      </c>
      <c r="C70" s="625">
        <v>25</v>
      </c>
      <c r="D70" s="605"/>
      <c r="E70" s="605"/>
      <c r="F70" s="605"/>
      <c r="G70" s="605"/>
      <c r="H70" s="605"/>
      <c r="I70" s="605"/>
      <c r="J70" s="605"/>
      <c r="K70" s="605"/>
    </row>
    <row r="71" spans="2:11" ht="30">
      <c r="B71" s="624" t="s">
        <v>1067</v>
      </c>
      <c r="C71" s="625">
        <v>40</v>
      </c>
      <c r="D71" s="605"/>
      <c r="E71" s="605"/>
      <c r="F71" s="605"/>
      <c r="G71" s="605"/>
      <c r="H71" s="605"/>
      <c r="I71" s="605"/>
      <c r="J71" s="605"/>
      <c r="K71" s="605"/>
    </row>
    <row r="72" spans="2:11" ht="30">
      <c r="B72" s="624" t="s">
        <v>1533</v>
      </c>
      <c r="C72" s="625">
        <v>120</v>
      </c>
      <c r="D72" s="605"/>
      <c r="E72" s="605"/>
      <c r="F72" s="605"/>
      <c r="G72" s="605"/>
      <c r="H72" s="605"/>
      <c r="I72" s="605"/>
      <c r="J72" s="605"/>
      <c r="K72" s="605"/>
    </row>
    <row r="73" spans="2:11" ht="30">
      <c r="B73" s="624" t="s">
        <v>1534</v>
      </c>
      <c r="C73" s="625">
        <v>60</v>
      </c>
      <c r="D73" s="605"/>
      <c r="E73" s="605"/>
      <c r="F73" s="605"/>
      <c r="G73" s="605"/>
      <c r="H73" s="605"/>
      <c r="I73" s="605"/>
      <c r="J73" s="605"/>
      <c r="K73" s="605"/>
    </row>
    <row r="74" spans="2:11" ht="30">
      <c r="B74" s="624" t="s">
        <v>1535</v>
      </c>
      <c r="C74" s="625">
        <v>180</v>
      </c>
      <c r="D74" s="605"/>
      <c r="E74" s="605"/>
      <c r="F74" s="605"/>
      <c r="G74" s="605"/>
      <c r="H74" s="605"/>
      <c r="I74" s="605"/>
      <c r="J74" s="605"/>
      <c r="K74" s="605"/>
    </row>
    <row r="75" spans="2:11">
      <c r="B75" s="624" t="s">
        <v>1060</v>
      </c>
      <c r="C75" s="628">
        <f>ROUND((0.66+0.19)+0.31+0.62,1)</f>
        <v>1.8</v>
      </c>
      <c r="D75" s="605"/>
      <c r="E75" s="609" t="s">
        <v>1553</v>
      </c>
      <c r="F75" s="605"/>
      <c r="G75" s="605"/>
      <c r="H75" s="605"/>
      <c r="I75" s="605"/>
      <c r="J75" s="605"/>
      <c r="K75" s="605"/>
    </row>
    <row r="76" spans="2:11" ht="30">
      <c r="B76" s="624" t="s">
        <v>1537</v>
      </c>
      <c r="C76" s="625">
        <v>30</v>
      </c>
      <c r="D76" s="605"/>
      <c r="E76" s="605"/>
      <c r="F76" s="605"/>
      <c r="G76" s="605"/>
      <c r="H76" s="605"/>
      <c r="I76" s="605"/>
      <c r="J76" s="605"/>
      <c r="K76" s="605"/>
    </row>
    <row r="77" spans="2:11">
      <c r="B77" s="624" t="s">
        <v>1057</v>
      </c>
      <c r="C77" s="623">
        <v>250</v>
      </c>
      <c r="D77" s="605"/>
      <c r="E77" s="605"/>
      <c r="F77" s="605"/>
      <c r="G77" s="605"/>
      <c r="H77" s="605"/>
      <c r="I77" s="605"/>
      <c r="J77" s="605"/>
      <c r="K77" s="605"/>
    </row>
    <row r="78" spans="2:11">
      <c r="B78" s="624" t="s">
        <v>1058</v>
      </c>
      <c r="C78" s="627">
        <v>2</v>
      </c>
      <c r="D78" s="605"/>
      <c r="E78" s="605"/>
      <c r="F78" s="605"/>
      <c r="G78" s="605"/>
      <c r="H78" s="605"/>
      <c r="I78" s="605"/>
      <c r="J78" s="605"/>
      <c r="K78" s="605"/>
    </row>
    <row r="79" spans="2:11">
      <c r="B79" s="624" t="s">
        <v>1555</v>
      </c>
      <c r="C79" s="628">
        <v>1</v>
      </c>
      <c r="D79" s="605"/>
      <c r="E79" s="605"/>
      <c r="F79" s="605"/>
      <c r="G79" s="605"/>
      <c r="H79" s="605"/>
      <c r="I79" s="605"/>
      <c r="J79" s="605"/>
      <c r="K79" s="610"/>
    </row>
    <row r="80" spans="2:11">
      <c r="B80" s="624" t="s">
        <v>1556</v>
      </c>
      <c r="C80" s="628">
        <v>10</v>
      </c>
      <c r="D80" s="605"/>
      <c r="E80" s="605"/>
      <c r="F80" s="605"/>
      <c r="G80" s="605"/>
      <c r="H80" s="605"/>
      <c r="I80" s="605"/>
      <c r="J80" s="605"/>
      <c r="K80" s="610"/>
    </row>
    <row r="81" spans="2:11" ht="30">
      <c r="B81" s="624" t="s">
        <v>1565</v>
      </c>
      <c r="C81" s="628">
        <f>ROUND(13.52/672*6*28*4*1.3,0)</f>
        <v>18</v>
      </c>
      <c r="D81" s="605"/>
      <c r="E81" s="605"/>
      <c r="F81" s="605"/>
      <c r="G81" s="605"/>
      <c r="H81" s="605"/>
      <c r="I81" s="605"/>
      <c r="J81" s="605"/>
      <c r="K81" s="605"/>
    </row>
    <row r="82" spans="2:11" ht="30">
      <c r="B82" s="624" t="s">
        <v>1566</v>
      </c>
      <c r="C82" s="628">
        <v>25</v>
      </c>
      <c r="D82" s="605"/>
      <c r="E82" s="605"/>
      <c r="F82" s="605"/>
      <c r="G82" s="605"/>
      <c r="H82" s="605"/>
      <c r="I82" s="605"/>
      <c r="J82" s="605"/>
      <c r="K82" s="605"/>
    </row>
    <row r="83" spans="2:11">
      <c r="B83" s="624" t="s">
        <v>1573</v>
      </c>
      <c r="C83" s="628">
        <f>ROUNDUP(0.15*1.4*1.1*1.2,1)</f>
        <v>0.30000000000000004</v>
      </c>
      <c r="D83" s="605"/>
      <c r="E83" s="605"/>
      <c r="F83" s="605"/>
      <c r="G83" s="605"/>
      <c r="H83" s="605"/>
      <c r="I83" s="605"/>
      <c r="J83" s="605"/>
      <c r="K83" s="610"/>
    </row>
    <row r="84" spans="2:11">
      <c r="B84" s="624" t="s">
        <v>1593</v>
      </c>
      <c r="C84" s="625">
        <v>12500</v>
      </c>
      <c r="D84" s="605"/>
      <c r="E84" s="605"/>
      <c r="F84" s="605"/>
      <c r="G84" s="605"/>
      <c r="H84" s="605"/>
      <c r="I84" s="605"/>
      <c r="J84" s="605"/>
      <c r="K84" s="605"/>
    </row>
    <row r="85" spans="2:11" ht="30">
      <c r="B85" s="624" t="s">
        <v>1599</v>
      </c>
      <c r="C85" s="625">
        <v>2500</v>
      </c>
      <c r="D85" s="605"/>
      <c r="E85" s="605"/>
      <c r="F85" s="605"/>
      <c r="G85" s="605"/>
      <c r="H85" s="605"/>
      <c r="I85" s="605"/>
      <c r="J85" s="605"/>
      <c r="K85" s="605"/>
    </row>
    <row r="86" spans="2:11" ht="30">
      <c r="B86" s="624" t="s">
        <v>1598</v>
      </c>
      <c r="C86" s="625">
        <v>1370</v>
      </c>
      <c r="D86" s="605"/>
      <c r="E86" s="605"/>
      <c r="F86" s="605"/>
      <c r="G86" s="605"/>
      <c r="H86" s="605"/>
      <c r="I86" s="605"/>
      <c r="J86" s="605"/>
      <c r="K86" s="605"/>
    </row>
    <row r="87" spans="2:11">
      <c r="B87" s="624" t="s">
        <v>1600</v>
      </c>
      <c r="C87" s="625">
        <v>550</v>
      </c>
      <c r="D87" s="605"/>
      <c r="E87" s="605"/>
      <c r="F87" s="605"/>
      <c r="G87" s="605"/>
      <c r="H87" s="605"/>
      <c r="I87" s="605"/>
      <c r="J87" s="605"/>
      <c r="K87" s="605"/>
    </row>
    <row r="88" spans="2:11">
      <c r="B88" s="624" t="s">
        <v>1059</v>
      </c>
      <c r="C88" s="623">
        <f>2*900+1*1500+1*800+1*2000+400</f>
        <v>6500</v>
      </c>
      <c r="D88" s="605"/>
      <c r="E88" s="605"/>
      <c r="F88" s="605"/>
      <c r="G88" s="605"/>
      <c r="H88" s="605"/>
      <c r="I88" s="605"/>
      <c r="J88" s="605"/>
      <c r="K88" s="605"/>
    </row>
    <row r="89" spans="2:11" ht="30">
      <c r="B89" s="624" t="s">
        <v>1601</v>
      </c>
      <c r="C89" s="625">
        <v>20000</v>
      </c>
      <c r="D89" s="605"/>
      <c r="E89" s="605"/>
      <c r="F89" s="605"/>
      <c r="G89" s="605"/>
      <c r="H89" s="605"/>
      <c r="I89" s="605"/>
      <c r="J89" s="605"/>
      <c r="K89" s="605"/>
    </row>
    <row r="90" spans="2:11">
      <c r="B90" s="624" t="s">
        <v>1602</v>
      </c>
      <c r="C90" s="625">
        <v>12000</v>
      </c>
      <c r="D90" s="605"/>
      <c r="E90" s="605"/>
      <c r="F90" s="605"/>
      <c r="G90" s="605"/>
      <c r="H90" s="605"/>
      <c r="I90" s="605"/>
      <c r="J90" s="605"/>
      <c r="K90" s="605"/>
    </row>
    <row r="91" spans="2:11">
      <c r="B91" s="624" t="s">
        <v>1603</v>
      </c>
      <c r="C91" s="625">
        <v>18000</v>
      </c>
      <c r="D91" s="605"/>
      <c r="E91" s="605"/>
      <c r="F91" s="605"/>
      <c r="G91" s="605"/>
      <c r="H91" s="605"/>
      <c r="I91" s="605"/>
      <c r="J91" s="605"/>
      <c r="K91" s="605"/>
    </row>
    <row r="92" spans="2:11" ht="45">
      <c r="B92" s="624" t="s">
        <v>1798</v>
      </c>
      <c r="C92" s="623">
        <v>202700</v>
      </c>
      <c r="D92" s="605"/>
      <c r="E92" s="605"/>
      <c r="F92" s="605"/>
      <c r="G92" s="605"/>
      <c r="H92" s="605"/>
      <c r="I92" s="605"/>
      <c r="J92" s="605"/>
      <c r="K92" s="605"/>
    </row>
    <row r="93" spans="2:11">
      <c r="B93" s="624" t="s">
        <v>1623</v>
      </c>
      <c r="C93" s="625">
        <f>TA!F50</f>
        <v>97300</v>
      </c>
      <c r="D93" s="605"/>
      <c r="E93" s="605"/>
      <c r="F93" s="605"/>
      <c r="G93" s="605"/>
      <c r="H93" s="605"/>
      <c r="I93" s="605"/>
      <c r="J93" s="605"/>
      <c r="K93" s="605"/>
    </row>
    <row r="94" spans="2:11">
      <c r="B94" s="624" t="s">
        <v>1604</v>
      </c>
      <c r="C94" s="625">
        <v>200000</v>
      </c>
      <c r="D94" s="605"/>
      <c r="E94" s="605"/>
      <c r="F94" s="605"/>
      <c r="G94" s="605"/>
      <c r="H94" s="605"/>
      <c r="I94" s="605"/>
      <c r="J94" s="605"/>
      <c r="K94" s="605"/>
    </row>
    <row r="95" spans="2:11">
      <c r="B95" s="624" t="s">
        <v>1799</v>
      </c>
      <c r="C95" s="625">
        <v>60000</v>
      </c>
      <c r="D95" s="605"/>
      <c r="E95" s="605"/>
      <c r="F95" s="605"/>
      <c r="G95" s="605"/>
      <c r="H95" s="605"/>
      <c r="I95" s="605"/>
      <c r="J95" s="605"/>
      <c r="K95" s="605"/>
    </row>
    <row r="96" spans="2:11" ht="30">
      <c r="B96" s="624" t="s">
        <v>1050</v>
      </c>
      <c r="C96" s="625">
        <v>50000</v>
      </c>
      <c r="D96" s="605"/>
      <c r="E96" s="605"/>
      <c r="F96" s="605"/>
      <c r="G96" s="605"/>
      <c r="H96" s="605"/>
      <c r="I96" s="605"/>
      <c r="J96" s="605"/>
      <c r="K96" s="605"/>
    </row>
    <row r="97" spans="1:21">
      <c r="B97" s="624" t="s">
        <v>1047</v>
      </c>
      <c r="C97" s="625">
        <v>30000</v>
      </c>
      <c r="D97" s="605"/>
      <c r="E97" s="605"/>
      <c r="F97" s="605"/>
      <c r="G97" s="605"/>
      <c r="H97" s="605"/>
      <c r="I97" s="605">
        <f>I96/21.4</f>
        <v>0</v>
      </c>
      <c r="J97" s="605"/>
      <c r="K97" s="605"/>
    </row>
    <row r="98" spans="1:21" ht="30">
      <c r="B98" s="624" t="s">
        <v>1048</v>
      </c>
      <c r="C98" s="625">
        <v>15000</v>
      </c>
      <c r="D98" s="605"/>
      <c r="E98" s="605"/>
      <c r="F98" s="605"/>
      <c r="G98" s="605"/>
      <c r="H98" s="605"/>
      <c r="I98" s="605"/>
      <c r="J98" s="605"/>
      <c r="K98" s="605"/>
    </row>
    <row r="99" spans="1:21" ht="30">
      <c r="B99" s="624" t="s">
        <v>1049</v>
      </c>
      <c r="C99" s="625">
        <v>10000</v>
      </c>
      <c r="D99" s="605"/>
      <c r="E99" s="605"/>
      <c r="F99" s="605"/>
      <c r="G99" s="605"/>
      <c r="H99" s="605"/>
      <c r="I99" s="605"/>
      <c r="J99" s="605"/>
      <c r="K99" s="605"/>
    </row>
    <row r="100" spans="1:21" ht="30">
      <c r="B100" s="624" t="s">
        <v>1051</v>
      </c>
      <c r="C100" s="625">
        <v>20000</v>
      </c>
      <c r="D100" s="605"/>
      <c r="E100" s="605"/>
      <c r="F100" s="605"/>
      <c r="G100" s="605"/>
      <c r="H100" s="605"/>
      <c r="I100" s="605"/>
      <c r="J100" s="605"/>
      <c r="K100" s="605"/>
    </row>
    <row r="101" spans="1:21">
      <c r="B101" s="624" t="s">
        <v>1802</v>
      </c>
      <c r="C101" s="625">
        <v>2500000</v>
      </c>
      <c r="E101" s="992" t="s">
        <v>1804</v>
      </c>
      <c r="F101" s="605"/>
      <c r="G101" s="605"/>
      <c r="H101" s="605"/>
      <c r="I101" s="605"/>
      <c r="J101" s="605"/>
      <c r="K101" s="605"/>
    </row>
    <row r="102" spans="1:21">
      <c r="B102" s="624" t="s">
        <v>1803</v>
      </c>
      <c r="C102" s="625">
        <v>120000</v>
      </c>
      <c r="D102" s="605"/>
      <c r="E102" s="605"/>
      <c r="F102" s="605"/>
      <c r="G102" s="605"/>
      <c r="H102" s="605"/>
      <c r="I102" s="605"/>
      <c r="J102" s="605"/>
      <c r="K102" s="605"/>
      <c r="M102" s="1492"/>
    </row>
    <row r="103" spans="1:21">
      <c r="C103" s="605"/>
      <c r="D103" s="605"/>
      <c r="E103" s="605"/>
      <c r="F103" s="605"/>
      <c r="G103" s="605"/>
      <c r="H103" s="605"/>
      <c r="I103" s="605"/>
      <c r="J103" s="605"/>
      <c r="K103" s="605"/>
      <c r="R103" s="1481" t="s">
        <v>2088</v>
      </c>
    </row>
    <row r="104" spans="1:21" ht="60">
      <c r="A104" s="720" t="s">
        <v>243</v>
      </c>
      <c r="B104" s="721" t="s">
        <v>1624</v>
      </c>
      <c r="C104" s="722" t="s">
        <v>1076</v>
      </c>
      <c r="D104" s="721" t="str">
        <f>'NSP Summary Budget (16-18)'!D9</f>
        <v>Year 1 (2016)</v>
      </c>
      <c r="E104" s="721" t="str">
        <f>'NSP Summary Budget (16-18)'!E9</f>
        <v>Year 2 (2017)</v>
      </c>
      <c r="F104" s="721" t="str">
        <f>'NSP Summary Budget (16-18)'!F9</f>
        <v>Year 3 (2018)</v>
      </c>
      <c r="G104" s="1099">
        <v>2019</v>
      </c>
      <c r="H104" s="1099">
        <v>2020</v>
      </c>
      <c r="I104" s="1099">
        <v>2021</v>
      </c>
      <c r="J104" s="1099">
        <v>2022</v>
      </c>
      <c r="K104" s="723" t="str">
        <f>'NSP Summary Budget (16-18)'!G9</f>
        <v>Total 3 years (2016-2018)</v>
      </c>
      <c r="L104" s="1104" t="s">
        <v>1839</v>
      </c>
      <c r="P104" s="1498" t="s">
        <v>2094</v>
      </c>
      <c r="Q104" s="606">
        <v>2019</v>
      </c>
      <c r="R104" s="606">
        <v>2020</v>
      </c>
      <c r="S104" s="606">
        <v>2021</v>
      </c>
      <c r="T104" s="606">
        <v>2022</v>
      </c>
      <c r="U104" s="1492" t="s">
        <v>809</v>
      </c>
    </row>
    <row r="105" spans="1:21">
      <c r="A105" s="611"/>
      <c r="B105" s="602"/>
      <c r="C105" s="546"/>
      <c r="D105" s="605"/>
      <c r="E105" s="605"/>
      <c r="F105" s="605"/>
      <c r="G105" s="605"/>
      <c r="H105" s="605"/>
      <c r="I105" s="605"/>
      <c r="J105" s="605"/>
      <c r="K105" s="605"/>
      <c r="L105" s="1105"/>
      <c r="P105" s="1492" t="s">
        <v>2080</v>
      </c>
      <c r="Q105" s="1379">
        <f>G111+G118+G135+G140+G151+G158+G182+G189+G200+G209+G216+G221+G231+G236+G241+G246+G261+G273+G285</f>
        <v>929587.20939963788</v>
      </c>
      <c r="R105" s="1379">
        <f>H111+H118+H135+H140+H151+H158+H182+H189+H200+H209+H216+H221+H231+H236+H241+H246+H261+H273+H285</f>
        <v>898097.84527717798</v>
      </c>
      <c r="S105" s="1379">
        <f>I111+I118+I135+I140+I151+I158+I182+I189+I200+I209+I216+I221+I231+I236+I241+I246+I261+I273+I285</f>
        <v>893522.39831737953</v>
      </c>
      <c r="T105" s="1379">
        <f>J111+J118+J135+J140+J151+J158+J182+J189+J200+J209+J216+J221+J231+J236+J241+J246+J261+J273+J285</f>
        <v>865930.91262568277</v>
      </c>
      <c r="U105" s="1496">
        <f>Q105+R105+S105+T105</f>
        <v>3587138.3656198783</v>
      </c>
    </row>
    <row r="106" spans="1:21" ht="16.149999999999999" customHeight="1">
      <c r="A106" s="589">
        <f>'NSP Summary Budget (16-18)'!A11</f>
        <v>1.1000000000000001</v>
      </c>
      <c r="B106" s="1783" t="str">
        <f>'NSP Summary Budget (16-18)'!B11</f>
        <v>Rollout of Xpert MTB/RIF technology</v>
      </c>
      <c r="C106" s="1783"/>
      <c r="D106" s="590"/>
      <c r="E106" s="590"/>
      <c r="F106" s="590"/>
      <c r="G106" s="590"/>
      <c r="H106" s="590"/>
      <c r="I106" s="590"/>
      <c r="J106" s="590"/>
      <c r="K106" s="590"/>
      <c r="L106" s="1489">
        <f>SUM(L108:L158)</f>
        <v>1857695.1195754663</v>
      </c>
      <c r="P106" s="1493" t="s">
        <v>2081</v>
      </c>
      <c r="Q106" s="1496">
        <f>G331+G336+G341+G345+G350+G355+G360+G367+G371+G375+G473+G478+G483+G488+G493+G498+G563+G570+G582</f>
        <v>1564051.92</v>
      </c>
      <c r="R106" s="1496">
        <f>H331+H336+H341+H345+H350+H355+H360+H367+H371+H375+H473+H478+H483+H488+H493+H498+H563+H570+H582</f>
        <v>1536973.84</v>
      </c>
      <c r="S106" s="1496">
        <f>I331+I336+I341+I345+I350+I355+I360+I367+I371+I375+I473+I478+I483+I488+I493+I498+I563+I570+I582</f>
        <v>1537387.04</v>
      </c>
      <c r="T106" s="1496">
        <f>J331+J336+J341+J345+J350+J355+J360+J367+J371+J375+J473+J478+J483+J488+J493+J498+J563+J570+J582</f>
        <v>1494780.48</v>
      </c>
      <c r="U106" s="1496">
        <f t="shared" ref="U106:U107" si="0">Q106+R106+S106+T106</f>
        <v>6133193.2799999993</v>
      </c>
    </row>
    <row r="107" spans="1:21">
      <c r="A107" s="611"/>
      <c r="B107" s="548"/>
      <c r="C107" s="546"/>
      <c r="D107" s="550"/>
      <c r="E107" s="550"/>
      <c r="F107" s="550"/>
      <c r="G107" s="550"/>
      <c r="H107" s="550"/>
      <c r="I107" s="550"/>
      <c r="J107" s="550"/>
      <c r="K107" s="550"/>
      <c r="L107" s="1105"/>
      <c r="P107" s="1492" t="s">
        <v>2082</v>
      </c>
      <c r="Q107" s="1496">
        <f>G626+G631+G637+G644+G651+G658+G665+G670+G677+G681+G688+G693+G698+G703+G708+G716+G720+G725+G729+G736+G741+G746+G751+G756+G761+G768+G772</f>
        <v>1817322.3150684931</v>
      </c>
      <c r="R107" s="1496">
        <f>H626+H631+H637+H644+H651+H658+H665+H670+H677+H681+H688+H693+H698+H703+H708+H716+H720+H725+H729+H736+H741+H746+H751+H756+H761+H768+H772</f>
        <v>1475173</v>
      </c>
      <c r="S107" s="1496">
        <f>I626+I631+I637+I644+I651+I658+I665+I670+I677+I681+I688+I693+I698+I703+I708+I716+I720+I725+I729+I736+I741+I746+I751+I756+I761+I768+I772</f>
        <v>1551473</v>
      </c>
      <c r="T107" s="1496">
        <f>J626+J631+J637+J644+J651+J658+J665+J670+J677+J681+J688+J693+J698+J703+J708+J716+J720+J725+J729+J736+J741+J746+J751+J756+J761+J768+J772</f>
        <v>1290560</v>
      </c>
      <c r="U107" s="1496">
        <f t="shared" si="0"/>
        <v>6134528.3150684927</v>
      </c>
    </row>
    <row r="108" spans="1:21">
      <c r="A108" s="652" t="str">
        <f>'NSP Summary Budget (16-18)'!A12</f>
        <v>1.1.1</v>
      </c>
      <c r="B108" s="632" t="str">
        <f>'NSP Summary Budget (16-18)'!B12</f>
        <v>National consultants, Xpert MTB/RIF</v>
      </c>
      <c r="C108" s="633"/>
      <c r="D108" s="634"/>
      <c r="E108" s="634"/>
      <c r="F108" s="634"/>
      <c r="G108" s="969"/>
      <c r="H108" s="969"/>
      <c r="I108" s="969"/>
      <c r="J108" s="969"/>
      <c r="K108" s="635"/>
      <c r="L108" s="1105"/>
    </row>
    <row r="109" spans="1:21" ht="45">
      <c r="A109" s="653"/>
      <c r="B109" s="654" t="s">
        <v>1079</v>
      </c>
      <c r="C109" s="636"/>
      <c r="D109" s="637">
        <f>1*12+1*6</f>
        <v>18</v>
      </c>
      <c r="E109" s="637">
        <f>1*12+1*12</f>
        <v>24</v>
      </c>
      <c r="F109" s="637">
        <f>1*12+1*12</f>
        <v>24</v>
      </c>
      <c r="G109" s="1209">
        <f t="shared" ref="G109:J109" si="1">1*12+1*12</f>
        <v>24</v>
      </c>
      <c r="H109" s="1209">
        <f t="shared" si="1"/>
        <v>24</v>
      </c>
      <c r="I109" s="1209">
        <f t="shared" si="1"/>
        <v>24</v>
      </c>
      <c r="J109" s="1209">
        <f t="shared" si="1"/>
        <v>24</v>
      </c>
      <c r="K109" s="638"/>
      <c r="L109" s="1105"/>
      <c r="P109" s="1481" t="s">
        <v>2079</v>
      </c>
      <c r="Q109" s="1498" t="s">
        <v>2086</v>
      </c>
    </row>
    <row r="110" spans="1:21">
      <c r="A110" s="653"/>
      <c r="B110" s="654" t="str">
        <f>B10</f>
        <v>Average cost of national consultant per month (gross)</v>
      </c>
      <c r="C110" s="641">
        <f>C10</f>
        <v>600</v>
      </c>
      <c r="D110" s="642">
        <f>C110</f>
        <v>600</v>
      </c>
      <c r="E110" s="642">
        <f>D110</f>
        <v>600</v>
      </c>
      <c r="F110" s="642">
        <f>E110</f>
        <v>600</v>
      </c>
      <c r="G110" s="642">
        <f t="shared" ref="G110:J110" si="2">F110</f>
        <v>600</v>
      </c>
      <c r="H110" s="642">
        <f t="shared" si="2"/>
        <v>600</v>
      </c>
      <c r="I110" s="642">
        <f t="shared" si="2"/>
        <v>600</v>
      </c>
      <c r="J110" s="642">
        <f t="shared" si="2"/>
        <v>600</v>
      </c>
      <c r="K110" s="638"/>
      <c r="L110" s="1105"/>
      <c r="P110" s="1492" t="s">
        <v>2084</v>
      </c>
      <c r="Q110" s="1496">
        <f t="shared" ref="Q110:T112" si="3">Q105*(1-Q116)</f>
        <v>594935.81401576824</v>
      </c>
      <c r="R110" s="1496">
        <f t="shared" si="3"/>
        <v>538858.70716630679</v>
      </c>
      <c r="S110" s="1496">
        <f t="shared" si="3"/>
        <v>536113.43899042765</v>
      </c>
      <c r="T110" s="1496">
        <f t="shared" si="3"/>
        <v>432965.45631284139</v>
      </c>
      <c r="U110" s="1496">
        <f>SUM(Q110:T110)</f>
        <v>2102873.4164853441</v>
      </c>
    </row>
    <row r="111" spans="1:21">
      <c r="A111" s="655"/>
      <c r="B111" s="648" t="s">
        <v>1077</v>
      </c>
      <c r="C111" s="657"/>
      <c r="D111" s="650">
        <f>D109*D110</f>
        <v>10800</v>
      </c>
      <c r="E111" s="650">
        <f t="shared" ref="E111:J111" si="4">E109*E110</f>
        <v>14400</v>
      </c>
      <c r="F111" s="650">
        <f t="shared" si="4"/>
        <v>14400</v>
      </c>
      <c r="G111" s="650">
        <f t="shared" si="4"/>
        <v>14400</v>
      </c>
      <c r="H111" s="650">
        <f t="shared" si="4"/>
        <v>14400</v>
      </c>
      <c r="I111" s="650">
        <f t="shared" si="4"/>
        <v>14400</v>
      </c>
      <c r="J111" s="650">
        <f t="shared" si="4"/>
        <v>14400</v>
      </c>
      <c r="K111" s="651">
        <f>SUM(D111:F111)</f>
        <v>39600</v>
      </c>
      <c r="L111" s="1106">
        <f>SUM(G111:J111)</f>
        <v>57600</v>
      </c>
      <c r="M111" s="1446" t="s">
        <v>1933</v>
      </c>
      <c r="N111" s="1446"/>
      <c r="P111" s="1492" t="s">
        <v>2081</v>
      </c>
      <c r="Q111" s="1496">
        <f t="shared" si="3"/>
        <v>516137.13359999988</v>
      </c>
      <c r="R111" s="1496">
        <f t="shared" si="3"/>
        <v>384243.46</v>
      </c>
      <c r="S111" s="1496">
        <f t="shared" si="3"/>
        <v>384346.76</v>
      </c>
      <c r="T111" s="1496">
        <f t="shared" si="3"/>
        <v>298956.0959999999</v>
      </c>
      <c r="U111" s="1496">
        <f t="shared" ref="U111:U113" si="5">SUM(Q111:T111)</f>
        <v>1583683.4495999999</v>
      </c>
    </row>
    <row r="112" spans="1:21">
      <c r="A112" s="611"/>
      <c r="B112" s="602"/>
      <c r="C112" s="546"/>
      <c r="D112" s="605"/>
      <c r="E112" s="605"/>
      <c r="F112" s="605"/>
      <c r="G112" s="605"/>
      <c r="H112" s="605"/>
      <c r="I112" s="605"/>
      <c r="J112" s="605"/>
      <c r="K112" s="605"/>
      <c r="L112" s="1106"/>
      <c r="P112" s="1492" t="s">
        <v>2082</v>
      </c>
      <c r="Q112" s="1496">
        <f t="shared" si="3"/>
        <v>1671936.5298630137</v>
      </c>
      <c r="R112" s="1496">
        <f t="shared" si="3"/>
        <v>1253897.05</v>
      </c>
      <c r="S112" s="1496">
        <f t="shared" si="3"/>
        <v>1241178.4000000001</v>
      </c>
      <c r="T112" s="1496">
        <f t="shared" si="3"/>
        <v>967920</v>
      </c>
      <c r="U112" s="1496">
        <f t="shared" si="5"/>
        <v>5134931.9798630141</v>
      </c>
    </row>
    <row r="113" spans="1:21" ht="15.75">
      <c r="A113" s="652" t="str">
        <f>'NSP Summary Budget (16-18)'!A13</f>
        <v>1.1.2</v>
      </c>
      <c r="B113" s="632" t="str">
        <f>'NSP Summary Budget (16-18)'!B13</f>
        <v xml:space="preserve">Training of staff in Xpert MTB/RIF </v>
      </c>
      <c r="C113" s="633"/>
      <c r="D113" s="634"/>
      <c r="E113" s="634"/>
      <c r="F113" s="634"/>
      <c r="G113" s="969"/>
      <c r="H113" s="969"/>
      <c r="I113" s="969"/>
      <c r="J113" s="969"/>
      <c r="K113" s="635"/>
      <c r="L113" s="1106"/>
      <c r="P113" s="1482" t="s">
        <v>2087</v>
      </c>
      <c r="Q113" s="1500">
        <f>Q110+Q111+Q112</f>
        <v>2783009.4774787817</v>
      </c>
      <c r="R113" s="1500">
        <f t="shared" ref="R113:T113" si="6">R110+R111+R112</f>
        <v>2176999.2171663069</v>
      </c>
      <c r="S113" s="1500">
        <f t="shared" si="6"/>
        <v>2161638.5989904278</v>
      </c>
      <c r="T113" s="1500">
        <f t="shared" si="6"/>
        <v>1699841.5523128412</v>
      </c>
      <c r="U113" s="1500">
        <f t="shared" si="5"/>
        <v>8821488.8459483571</v>
      </c>
    </row>
    <row r="114" spans="1:21">
      <c r="A114" s="653"/>
      <c r="B114" s="640" t="str">
        <f>B12</f>
        <v>Average cost of training, central level</v>
      </c>
      <c r="C114" s="641">
        <f>Training!G21</f>
        <v>3200</v>
      </c>
      <c r="D114" s="642">
        <f t="shared" ref="D114:D115" si="7">C114</f>
        <v>3200</v>
      </c>
      <c r="E114" s="642">
        <f t="shared" ref="E114:E115" si="8">D114</f>
        <v>3200</v>
      </c>
      <c r="F114" s="642">
        <f t="shared" ref="F114:F115" si="9">E114</f>
        <v>3200</v>
      </c>
      <c r="G114" s="642">
        <f t="shared" ref="G114:G115" si="10">F114</f>
        <v>3200</v>
      </c>
      <c r="H114" s="642">
        <f t="shared" ref="H114:H115" si="11">G114</f>
        <v>3200</v>
      </c>
      <c r="I114" s="642">
        <f t="shared" ref="I114:I115" si="12">H114</f>
        <v>3200</v>
      </c>
      <c r="J114" s="642">
        <f t="shared" ref="J114:J115" si="13">I114</f>
        <v>3200</v>
      </c>
      <c r="K114" s="638"/>
      <c r="L114" s="1106"/>
    </row>
    <row r="115" spans="1:21" ht="30">
      <c r="A115" s="653"/>
      <c r="B115" s="640" t="str">
        <f>B13</f>
        <v>Average cost of training, regional level</v>
      </c>
      <c r="C115" s="641">
        <f>Training!G38</f>
        <v>2200</v>
      </c>
      <c r="D115" s="642">
        <f t="shared" si="7"/>
        <v>2200</v>
      </c>
      <c r="E115" s="642">
        <f t="shared" si="8"/>
        <v>2200</v>
      </c>
      <c r="F115" s="642">
        <f t="shared" si="9"/>
        <v>2200</v>
      </c>
      <c r="G115" s="642">
        <f t="shared" si="10"/>
        <v>2200</v>
      </c>
      <c r="H115" s="642">
        <f t="shared" si="11"/>
        <v>2200</v>
      </c>
      <c r="I115" s="642">
        <f t="shared" si="12"/>
        <v>2200</v>
      </c>
      <c r="J115" s="642">
        <f t="shared" si="13"/>
        <v>2200</v>
      </c>
      <c r="K115" s="638"/>
      <c r="L115" s="1106"/>
      <c r="P115" s="1497" t="s">
        <v>2083</v>
      </c>
    </row>
    <row r="116" spans="1:21">
      <c r="A116" s="653"/>
      <c r="B116" s="654" t="s">
        <v>1080</v>
      </c>
      <c r="C116" s="636"/>
      <c r="D116" s="637">
        <f>0+0+1+0</f>
        <v>1</v>
      </c>
      <c r="E116" s="637">
        <f>0+1+1+0</f>
        <v>2</v>
      </c>
      <c r="F116" s="637">
        <f>0+1+1+0</f>
        <v>2</v>
      </c>
      <c r="G116" s="1209">
        <v>2</v>
      </c>
      <c r="H116" s="1209">
        <v>2</v>
      </c>
      <c r="I116" s="1209">
        <v>2</v>
      </c>
      <c r="J116" s="1209">
        <v>2</v>
      </c>
      <c r="K116" s="638"/>
      <c r="L116" s="1106"/>
      <c r="O116" s="1378"/>
      <c r="P116" s="1492" t="s">
        <v>2084</v>
      </c>
      <c r="Q116" s="1383">
        <v>0.36</v>
      </c>
      <c r="R116" s="1383">
        <v>0.4</v>
      </c>
      <c r="S116" s="1383">
        <v>0.4</v>
      </c>
      <c r="T116" s="1499">
        <v>0.5</v>
      </c>
    </row>
    <row r="117" spans="1:21">
      <c r="A117" s="653"/>
      <c r="B117" s="654" t="s">
        <v>1081</v>
      </c>
      <c r="C117" s="636"/>
      <c r="D117" s="637">
        <f>0+0+0+2</f>
        <v>2</v>
      </c>
      <c r="E117" s="637">
        <f>4+4+0+0</f>
        <v>8</v>
      </c>
      <c r="F117" s="637">
        <f>2+3+2+3</f>
        <v>10</v>
      </c>
      <c r="G117" s="1209">
        <v>5</v>
      </c>
      <c r="H117" s="1209">
        <v>5</v>
      </c>
      <c r="I117" s="1209">
        <v>5</v>
      </c>
      <c r="J117" s="1209">
        <v>5</v>
      </c>
      <c r="K117" s="638"/>
      <c r="L117" s="1106"/>
      <c r="P117" s="1492" t="s">
        <v>2085</v>
      </c>
      <c r="Q117" s="1383">
        <v>0.67</v>
      </c>
      <c r="R117" s="1383">
        <v>0.75</v>
      </c>
      <c r="S117" s="1383">
        <v>0.75</v>
      </c>
      <c r="T117" s="1383">
        <v>0.8</v>
      </c>
    </row>
    <row r="118" spans="1:21">
      <c r="A118" s="655"/>
      <c r="B118" s="648" t="s">
        <v>1077</v>
      </c>
      <c r="C118" s="657"/>
      <c r="D118" s="650">
        <f>D114*D116+D115*D117</f>
        <v>7600</v>
      </c>
      <c r="E118" s="650">
        <f t="shared" ref="E118:J118" si="14">E114*E116+E115*E117</f>
        <v>24000</v>
      </c>
      <c r="F118" s="650">
        <f t="shared" si="14"/>
        <v>28400</v>
      </c>
      <c r="G118" s="650">
        <f t="shared" si="14"/>
        <v>17400</v>
      </c>
      <c r="H118" s="650">
        <f t="shared" si="14"/>
        <v>17400</v>
      </c>
      <c r="I118" s="650">
        <f t="shared" si="14"/>
        <v>17400</v>
      </c>
      <c r="J118" s="650">
        <f t="shared" si="14"/>
        <v>17400</v>
      </c>
      <c r="K118" s="651">
        <f>SUM(D118:F118)</f>
        <v>60000</v>
      </c>
      <c r="L118" s="1106">
        <f>SUM(G118:J118)</f>
        <v>69600</v>
      </c>
      <c r="M118" s="1446" t="s">
        <v>1933</v>
      </c>
      <c r="N118" s="1446"/>
      <c r="P118" s="1492" t="s">
        <v>2082</v>
      </c>
      <c r="Q118" s="615">
        <v>0.08</v>
      </c>
      <c r="R118" s="615">
        <v>0.15</v>
      </c>
      <c r="S118" s="615">
        <v>0.2</v>
      </c>
      <c r="T118" s="615">
        <v>0.25</v>
      </c>
    </row>
    <row r="119" spans="1:21">
      <c r="A119" s="611"/>
      <c r="B119" s="548"/>
      <c r="C119" s="546"/>
      <c r="D119" s="550"/>
      <c r="E119" s="550"/>
      <c r="F119" s="550"/>
      <c r="G119" s="550"/>
      <c r="H119" s="550"/>
      <c r="I119" s="550"/>
      <c r="J119" s="550"/>
      <c r="K119" s="550"/>
      <c r="L119" s="1106"/>
    </row>
    <row r="120" spans="1:21">
      <c r="A120" s="652" t="str">
        <f>'NSP Summary Budget (16-18)'!A14</f>
        <v>1.1.3</v>
      </c>
      <c r="B120" s="632" t="str">
        <f>'NSP Summary Budget (16-18)'!B14</f>
        <v>Xpert MTB/RIF instruments</v>
      </c>
      <c r="C120" s="633"/>
      <c r="D120" s="634"/>
      <c r="E120" s="634"/>
      <c r="F120" s="634"/>
      <c r="G120" s="969"/>
      <c r="H120" s="969"/>
      <c r="I120" s="969"/>
      <c r="J120" s="969"/>
      <c r="K120" s="635"/>
      <c r="L120" s="1106"/>
    </row>
    <row r="121" spans="1:21">
      <c r="A121" s="653"/>
      <c r="B121" s="640" t="str">
        <f>B18</f>
        <v>Cost of Xpert MTB/RIF instrument, 4-module</v>
      </c>
      <c r="C121" s="641">
        <f>C18</f>
        <v>17600</v>
      </c>
      <c r="D121" s="642">
        <f t="shared" ref="D121:F122" si="15">C121</f>
        <v>17600</v>
      </c>
      <c r="E121" s="642">
        <f t="shared" si="15"/>
        <v>17600</v>
      </c>
      <c r="F121" s="642">
        <f t="shared" si="15"/>
        <v>17600</v>
      </c>
      <c r="G121" s="642">
        <f t="shared" ref="G121:G122" si="16">F121</f>
        <v>17600</v>
      </c>
      <c r="H121" s="642">
        <f t="shared" ref="H121:H122" si="17">G121</f>
        <v>17600</v>
      </c>
      <c r="I121" s="642">
        <f t="shared" ref="I121:I122" si="18">H121</f>
        <v>17600</v>
      </c>
      <c r="J121" s="642">
        <f t="shared" ref="J121:J122" si="19">I121</f>
        <v>17600</v>
      </c>
      <c r="K121" s="638"/>
      <c r="L121" s="1106"/>
      <c r="O121" s="1211"/>
    </row>
    <row r="122" spans="1:21">
      <c r="A122" s="653"/>
      <c r="B122" s="640" t="str">
        <f>B19</f>
        <v>Cost of Xpert MTB/RIF instrument, 2-module</v>
      </c>
      <c r="C122" s="641">
        <f>C19</f>
        <v>12380</v>
      </c>
      <c r="D122" s="642">
        <f t="shared" si="15"/>
        <v>12380</v>
      </c>
      <c r="E122" s="642">
        <f t="shared" si="15"/>
        <v>12380</v>
      </c>
      <c r="F122" s="642">
        <f t="shared" si="15"/>
        <v>12380</v>
      </c>
      <c r="G122" s="642">
        <f t="shared" si="16"/>
        <v>12380</v>
      </c>
      <c r="H122" s="642">
        <f t="shared" si="17"/>
        <v>12380</v>
      </c>
      <c r="I122" s="642">
        <f t="shared" si="18"/>
        <v>12380</v>
      </c>
      <c r="J122" s="642">
        <f t="shared" si="19"/>
        <v>12380</v>
      </c>
      <c r="K122" s="638"/>
      <c r="L122" s="1106"/>
    </row>
    <row r="123" spans="1:21">
      <c r="A123" s="653"/>
      <c r="B123" s="654" t="s">
        <v>1082</v>
      </c>
      <c r="C123" s="636"/>
      <c r="D123" s="637">
        <f>'Xpert instruments &amp; tests (2)'!E183</f>
        <v>4</v>
      </c>
      <c r="E123" s="637">
        <v>0</v>
      </c>
      <c r="F123" s="637">
        <v>0</v>
      </c>
      <c r="G123" s="637">
        <v>0</v>
      </c>
      <c r="H123" s="637">
        <v>0</v>
      </c>
      <c r="I123" s="637">
        <v>0</v>
      </c>
      <c r="J123" s="637">
        <v>0</v>
      </c>
      <c r="K123" s="638"/>
      <c r="L123" s="1106"/>
    </row>
    <row r="124" spans="1:21">
      <c r="A124" s="653"/>
      <c r="B124" s="654" t="s">
        <v>1083</v>
      </c>
      <c r="C124" s="636"/>
      <c r="D124" s="637">
        <f>'Xpert instruments &amp; tests (2)'!C182</f>
        <v>14</v>
      </c>
      <c r="E124" s="637">
        <v>0</v>
      </c>
      <c r="F124" s="637">
        <v>0</v>
      </c>
      <c r="G124" s="637">
        <v>0</v>
      </c>
      <c r="H124" s="637">
        <v>0</v>
      </c>
      <c r="I124" s="637">
        <v>0</v>
      </c>
      <c r="J124" s="637">
        <v>0</v>
      </c>
      <c r="K124" s="638"/>
      <c r="L124" s="1106"/>
    </row>
    <row r="125" spans="1:21">
      <c r="A125" s="655"/>
      <c r="B125" s="648" t="s">
        <v>1077</v>
      </c>
      <c r="C125" s="657"/>
      <c r="D125" s="650">
        <f>D121*D123+D122*D124</f>
        <v>243720</v>
      </c>
      <c r="E125" s="650">
        <f t="shared" ref="E125:J125" si="20">E121*E123+E122*E124</f>
        <v>0</v>
      </c>
      <c r="F125" s="650">
        <f t="shared" si="20"/>
        <v>0</v>
      </c>
      <c r="G125" s="650">
        <f t="shared" si="20"/>
        <v>0</v>
      </c>
      <c r="H125" s="650">
        <f t="shared" si="20"/>
        <v>0</v>
      </c>
      <c r="I125" s="650">
        <f t="shared" si="20"/>
        <v>0</v>
      </c>
      <c r="J125" s="650">
        <f t="shared" si="20"/>
        <v>0</v>
      </c>
      <c r="K125" s="651">
        <f>SUM(D125:F125)</f>
        <v>243720</v>
      </c>
      <c r="L125" s="1106">
        <f>SUM(G125:J125)</f>
        <v>0</v>
      </c>
    </row>
    <row r="126" spans="1:21">
      <c r="A126" s="611"/>
      <c r="B126" s="548"/>
      <c r="C126" s="546"/>
      <c r="D126" s="550"/>
      <c r="E126" s="550"/>
      <c r="F126" s="550"/>
      <c r="G126" s="550"/>
      <c r="H126" s="550"/>
      <c r="I126" s="550"/>
      <c r="J126" s="550"/>
      <c r="K126" s="550"/>
      <c r="L126" s="1106"/>
    </row>
    <row r="127" spans="1:21">
      <c r="A127" s="652" t="str">
        <f>'NSP Summary Budget (16-18)'!A15</f>
        <v>1.1.4</v>
      </c>
      <c r="B127" s="632" t="str">
        <f>'NSP Summary Budget (16-18)'!B15</f>
        <v>Other equipment for Xpert MTB/RIF sites</v>
      </c>
      <c r="C127" s="633"/>
      <c r="D127" s="634"/>
      <c r="E127" s="634"/>
      <c r="F127" s="634"/>
      <c r="G127" s="969"/>
      <c r="H127" s="969"/>
      <c r="I127" s="969"/>
      <c r="J127" s="969"/>
      <c r="K127" s="635"/>
      <c r="L127" s="1106"/>
    </row>
    <row r="128" spans="1:21">
      <c r="A128" s="653"/>
      <c r="B128" s="640" t="str">
        <f>B21</f>
        <v>Cost of other equipment (UPS, printer) for Xpert</v>
      </c>
      <c r="C128" s="641">
        <f>C21</f>
        <v>1200</v>
      </c>
      <c r="D128" s="642">
        <f t="shared" ref="D128:F128" si="21">C128</f>
        <v>1200</v>
      </c>
      <c r="E128" s="642">
        <f t="shared" si="21"/>
        <v>1200</v>
      </c>
      <c r="F128" s="642">
        <f t="shared" si="21"/>
        <v>1200</v>
      </c>
      <c r="G128" s="642">
        <f t="shared" ref="G128" si="22">F128</f>
        <v>1200</v>
      </c>
      <c r="H128" s="642">
        <f t="shared" ref="H128" si="23">G128</f>
        <v>1200</v>
      </c>
      <c r="I128" s="642">
        <f t="shared" ref="I128" si="24">H128</f>
        <v>1200</v>
      </c>
      <c r="J128" s="642">
        <f t="shared" ref="J128" si="25">I128</f>
        <v>1200</v>
      </c>
      <c r="K128" s="638"/>
      <c r="L128" s="1106"/>
    </row>
    <row r="129" spans="1:15">
      <c r="A129" s="653"/>
      <c r="B129" s="640" t="s">
        <v>1084</v>
      </c>
      <c r="C129" s="641"/>
      <c r="D129" s="642">
        <f>D123+D124</f>
        <v>18</v>
      </c>
      <c r="E129" s="642">
        <f t="shared" ref="E129" si="26">E124</f>
        <v>0</v>
      </c>
      <c r="F129" s="642">
        <f>F124</f>
        <v>0</v>
      </c>
      <c r="G129" s="642">
        <f t="shared" ref="G129:J129" si="27">G124</f>
        <v>0</v>
      </c>
      <c r="H129" s="642">
        <f t="shared" si="27"/>
        <v>0</v>
      </c>
      <c r="I129" s="642">
        <f t="shared" si="27"/>
        <v>0</v>
      </c>
      <c r="J129" s="642">
        <f t="shared" si="27"/>
        <v>0</v>
      </c>
      <c r="K129" s="638"/>
      <c r="L129" s="1106"/>
    </row>
    <row r="130" spans="1:15">
      <c r="A130" s="655"/>
      <c r="B130" s="648" t="s">
        <v>1077</v>
      </c>
      <c r="C130" s="657"/>
      <c r="D130" s="650">
        <f>D128*D129</f>
        <v>21600</v>
      </c>
      <c r="E130" s="650">
        <f t="shared" ref="E130:J130" si="28">E128*E129</f>
        <v>0</v>
      </c>
      <c r="F130" s="650">
        <f t="shared" si="28"/>
        <v>0</v>
      </c>
      <c r="G130" s="650">
        <f t="shared" si="28"/>
        <v>0</v>
      </c>
      <c r="H130" s="650">
        <f t="shared" si="28"/>
        <v>0</v>
      </c>
      <c r="I130" s="650">
        <f t="shared" si="28"/>
        <v>0</v>
      </c>
      <c r="J130" s="650">
        <f t="shared" si="28"/>
        <v>0</v>
      </c>
      <c r="K130" s="651">
        <f>SUM(D130:F130)</f>
        <v>21600</v>
      </c>
      <c r="L130" s="1106">
        <f>SUM(G130:J130)</f>
        <v>0</v>
      </c>
    </row>
    <row r="131" spans="1:15">
      <c r="A131" s="611"/>
      <c r="B131" s="548"/>
      <c r="C131" s="546"/>
      <c r="D131" s="550"/>
      <c r="E131" s="550"/>
      <c r="F131" s="550"/>
      <c r="G131" s="550"/>
      <c r="H131" s="550"/>
      <c r="I131" s="550"/>
      <c r="J131" s="550"/>
      <c r="K131" s="550"/>
      <c r="L131" s="1106"/>
    </row>
    <row r="132" spans="1:15">
      <c r="A132" s="652" t="str">
        <f>'NSP Summary Budget (16-18)'!A16</f>
        <v>1.1.5</v>
      </c>
      <c r="B132" s="632" t="str">
        <f>'NSP Summary Budget (16-18)'!B16</f>
        <v>Cartridges for Xpert MTB/RIF tests</v>
      </c>
      <c r="C132" s="633"/>
      <c r="D132" s="634"/>
      <c r="E132" s="634"/>
      <c r="F132" s="634"/>
      <c r="G132" s="969"/>
      <c r="H132" s="969"/>
      <c r="I132" s="969"/>
      <c r="J132" s="969"/>
      <c r="K132" s="635"/>
      <c r="L132" s="1106"/>
    </row>
    <row r="133" spans="1:15">
      <c r="A133" s="653"/>
      <c r="B133" s="640" t="str">
        <f>B20</f>
        <v>Cost of Xpert MTB/RIF cartridge</v>
      </c>
      <c r="C133" s="645">
        <f>C20</f>
        <v>11.26</v>
      </c>
      <c r="D133" s="644">
        <f t="shared" ref="D133:F133" si="29">C133</f>
        <v>11.26</v>
      </c>
      <c r="E133" s="644">
        <f t="shared" si="29"/>
        <v>11.26</v>
      </c>
      <c r="F133" s="644">
        <f t="shared" si="29"/>
        <v>11.26</v>
      </c>
      <c r="G133" s="644">
        <f t="shared" ref="G133" si="30">F133</f>
        <v>11.26</v>
      </c>
      <c r="H133" s="644">
        <f t="shared" ref="H133" si="31">G133</f>
        <v>11.26</v>
      </c>
      <c r="I133" s="644">
        <f t="shared" ref="I133" si="32">H133</f>
        <v>11.26</v>
      </c>
      <c r="J133" s="644">
        <f t="shared" ref="J133" si="33">I133</f>
        <v>11.26</v>
      </c>
      <c r="K133" s="638"/>
      <c r="L133" s="1106"/>
    </row>
    <row r="134" spans="1:15">
      <c r="A134" s="653"/>
      <c r="B134" s="640" t="s">
        <v>1085</v>
      </c>
      <c r="C134" s="641"/>
      <c r="D134" s="1102">
        <f>'Xpert instruments &amp; tests (2)'!BO179</f>
        <v>21032.489249999995</v>
      </c>
      <c r="E134" s="1102">
        <f>'Xpert instruments &amp; tests (2)'!CB179</f>
        <v>25664.630083333326</v>
      </c>
      <c r="F134" s="1102">
        <f>'Xpert instruments &amp; tests (2)'!CO179</f>
        <v>29176.179386666659</v>
      </c>
      <c r="G134" s="1220">
        <f>F134</f>
        <v>29176.179386666659</v>
      </c>
      <c r="H134" s="1220">
        <f>G134</f>
        <v>29176.179386666659</v>
      </c>
      <c r="I134" s="1220">
        <f>H134</f>
        <v>29176.179386666659</v>
      </c>
      <c r="J134" s="1220">
        <f>I134</f>
        <v>29176.179386666659</v>
      </c>
      <c r="K134" s="638"/>
      <c r="L134" s="1106"/>
      <c r="O134" s="1211"/>
    </row>
    <row r="135" spans="1:15">
      <c r="A135" s="655"/>
      <c r="B135" s="648" t="s">
        <v>1077</v>
      </c>
      <c r="C135" s="657"/>
      <c r="D135" s="650">
        <f>D133*D134</f>
        <v>236825.82895499995</v>
      </c>
      <c r="E135" s="650">
        <f t="shared" ref="E135:J135" si="34">E133*E134</f>
        <v>288983.73473833327</v>
      </c>
      <c r="F135" s="650">
        <f t="shared" si="34"/>
        <v>328523.77989386657</v>
      </c>
      <c r="G135" s="650">
        <f t="shared" si="34"/>
        <v>328523.77989386657</v>
      </c>
      <c r="H135" s="650">
        <f t="shared" si="34"/>
        <v>328523.77989386657</v>
      </c>
      <c r="I135" s="650">
        <f t="shared" si="34"/>
        <v>328523.77989386657</v>
      </c>
      <c r="J135" s="650">
        <f t="shared" si="34"/>
        <v>328523.77989386657</v>
      </c>
      <c r="K135" s="651">
        <f>SUM(D135:F135)</f>
        <v>854333.34358719969</v>
      </c>
      <c r="L135" s="1106">
        <f>SUM(G135:J135)</f>
        <v>1314095.1195754663</v>
      </c>
      <c r="M135" s="1446" t="s">
        <v>1933</v>
      </c>
      <c r="N135" s="1492" t="s">
        <v>1934</v>
      </c>
      <c r="O135" s="1446"/>
    </row>
    <row r="136" spans="1:15">
      <c r="A136" s="611"/>
      <c r="B136" s="548"/>
      <c r="C136" s="546"/>
      <c r="D136" s="550"/>
      <c r="E136" s="550"/>
      <c r="F136" s="550"/>
      <c r="G136" s="550"/>
      <c r="H136" s="550"/>
      <c r="I136" s="550"/>
      <c r="J136" s="550"/>
      <c r="K136" s="550"/>
      <c r="L136" s="1106"/>
    </row>
    <row r="137" spans="1:15" ht="30">
      <c r="A137" s="652" t="str">
        <f>'NSP Summary Budget (16-18)'!A17</f>
        <v>1.1.6</v>
      </c>
      <c r="B137" s="632" t="str">
        <f>'NSP Summary Budget (16-18)'!B17</f>
        <v>Maintenance and servicing of Xpert MTB/RIF instruments</v>
      </c>
      <c r="C137" s="633"/>
      <c r="D137" s="634"/>
      <c r="E137" s="634"/>
      <c r="F137" s="634"/>
      <c r="G137" s="969"/>
      <c r="H137" s="969"/>
      <c r="I137" s="969"/>
      <c r="J137" s="969"/>
      <c r="K137" s="635"/>
      <c r="L137" s="1106"/>
    </row>
    <row r="138" spans="1:15" ht="30">
      <c r="A138" s="653"/>
      <c r="B138" s="640" t="str">
        <f>B22</f>
        <v>Cost of maintenance / servicing of Xpert MTB/RIF instruments, per module per year</v>
      </c>
      <c r="C138" s="641">
        <f>C22</f>
        <v>750</v>
      </c>
      <c r="D138" s="642">
        <f>C138</f>
        <v>750</v>
      </c>
      <c r="E138" s="642">
        <f>D138</f>
        <v>750</v>
      </c>
      <c r="F138" s="642">
        <f>E138</f>
        <v>750</v>
      </c>
      <c r="G138" s="642">
        <f>F138</f>
        <v>750</v>
      </c>
      <c r="H138" s="642">
        <f>F138</f>
        <v>750</v>
      </c>
      <c r="I138" s="642">
        <f>F138</f>
        <v>750</v>
      </c>
      <c r="J138" s="642">
        <f>F138</f>
        <v>750</v>
      </c>
      <c r="K138" s="638"/>
      <c r="L138" s="1106"/>
    </row>
    <row r="139" spans="1:15">
      <c r="A139" s="653"/>
      <c r="B139" s="640" t="s">
        <v>1086</v>
      </c>
      <c r="C139" s="641"/>
      <c r="D139" s="642">
        <f>'Xpert instruments &amp; tests (2)'!J182</f>
        <v>68</v>
      </c>
      <c r="E139" s="642">
        <f>'Xpert instruments &amp; tests (2)'!K182</f>
        <v>112</v>
      </c>
      <c r="F139" s="642">
        <f>'Xpert instruments &amp; tests (2)'!L182</f>
        <v>112</v>
      </c>
      <c r="G139" s="1207">
        <f>F139</f>
        <v>112</v>
      </c>
      <c r="H139" s="1207">
        <f>G139</f>
        <v>112</v>
      </c>
      <c r="I139" s="1207">
        <f>H139</f>
        <v>112</v>
      </c>
      <c r="J139" s="1207">
        <f>I139</f>
        <v>112</v>
      </c>
      <c r="K139" s="638"/>
      <c r="L139" s="1106"/>
    </row>
    <row r="140" spans="1:15">
      <c r="A140" s="655"/>
      <c r="B140" s="648" t="s">
        <v>1077</v>
      </c>
      <c r="C140" s="657"/>
      <c r="D140" s="650">
        <f>D138*D139</f>
        <v>51000</v>
      </c>
      <c r="E140" s="650">
        <f t="shared" ref="E140:F140" si="35">E138*E139</f>
        <v>84000</v>
      </c>
      <c r="F140" s="650">
        <f t="shared" si="35"/>
        <v>84000</v>
      </c>
      <c r="G140" s="650">
        <f>G138*G139</f>
        <v>84000</v>
      </c>
      <c r="H140" s="650">
        <f>H138*H139</f>
        <v>84000</v>
      </c>
      <c r="I140" s="650">
        <f>I138*I139</f>
        <v>84000</v>
      </c>
      <c r="J140" s="650">
        <f>J138*J139</f>
        <v>84000</v>
      </c>
      <c r="K140" s="651">
        <f>SUM(D140:F140)</f>
        <v>219000</v>
      </c>
      <c r="L140" s="1106">
        <f>SUM(G140:J140)</f>
        <v>336000</v>
      </c>
      <c r="M140" s="1446" t="s">
        <v>1933</v>
      </c>
      <c r="N140" s="1492" t="s">
        <v>1934</v>
      </c>
      <c r="O140" s="1446"/>
    </row>
    <row r="141" spans="1:15">
      <c r="A141" s="611"/>
      <c r="B141" s="548"/>
      <c r="C141" s="546"/>
      <c r="D141" s="550"/>
      <c r="E141" s="550"/>
      <c r="F141" s="550"/>
      <c r="G141" s="550"/>
      <c r="H141" s="550"/>
      <c r="I141" s="550"/>
      <c r="J141" s="550"/>
      <c r="K141" s="550"/>
      <c r="L141" s="1106"/>
    </row>
    <row r="142" spans="1:15">
      <c r="A142" s="652" t="str">
        <f>'NSP Summary Budget (16-18)'!A18</f>
        <v>1.1.7</v>
      </c>
      <c r="B142" s="632" t="str">
        <f>'NSP Summary Budget (16-18)'!B18</f>
        <v>Warranty extension for Xpert instruments</v>
      </c>
      <c r="C142" s="633"/>
      <c r="D142" s="634"/>
      <c r="E142" s="634"/>
      <c r="F142" s="634"/>
      <c r="G142" s="969"/>
      <c r="H142" s="969"/>
      <c r="I142" s="969"/>
      <c r="J142" s="969"/>
      <c r="K142" s="635"/>
      <c r="L142" s="1106"/>
    </row>
    <row r="143" spans="1:15" ht="30">
      <c r="A143" s="653"/>
      <c r="B143" s="654" t="str">
        <f>B23</f>
        <v>Cost of Xpert MTB/RIF Service Pack and warranty extension for 3 additional years</v>
      </c>
      <c r="C143" s="641">
        <f>C23</f>
        <v>7900</v>
      </c>
      <c r="D143" s="642">
        <f>C143</f>
        <v>7900</v>
      </c>
      <c r="E143" s="642">
        <f>D143</f>
        <v>7900</v>
      </c>
      <c r="F143" s="642">
        <f>E143</f>
        <v>7900</v>
      </c>
      <c r="G143" s="1207">
        <f t="shared" ref="G143:J143" si="36">F143</f>
        <v>7900</v>
      </c>
      <c r="H143" s="1207">
        <f t="shared" si="36"/>
        <v>7900</v>
      </c>
      <c r="I143" s="1207">
        <f t="shared" si="36"/>
        <v>7900</v>
      </c>
      <c r="J143" s="1207">
        <f t="shared" si="36"/>
        <v>7900</v>
      </c>
      <c r="K143" s="638"/>
      <c r="L143" s="1106"/>
      <c r="O143" s="1210" t="s">
        <v>1855</v>
      </c>
    </row>
    <row r="144" spans="1:15" ht="30">
      <c r="A144" s="653"/>
      <c r="B144" s="658" t="s">
        <v>1363</v>
      </c>
      <c r="C144" s="636"/>
      <c r="D144" s="637">
        <f>'Xpert instruments &amp; tests (2)'!D184</f>
        <v>17</v>
      </c>
      <c r="E144" s="637">
        <v>0</v>
      </c>
      <c r="F144" s="637">
        <f>'Xpert instruments &amp; tests (2)'!E184</f>
        <v>18</v>
      </c>
      <c r="G144" s="637"/>
      <c r="H144" s="637"/>
      <c r="I144" s="637"/>
      <c r="J144" s="637"/>
      <c r="K144" s="638"/>
      <c r="L144" s="1106"/>
    </row>
    <row r="145" spans="1:15">
      <c r="A145" s="655"/>
      <c r="B145" s="648" t="s">
        <v>1077</v>
      </c>
      <c r="C145" s="657"/>
      <c r="D145" s="650">
        <f>D143*D144</f>
        <v>134300</v>
      </c>
      <c r="E145" s="650">
        <f t="shared" ref="E145:J145" si="37">E143*E144</f>
        <v>0</v>
      </c>
      <c r="F145" s="650">
        <f t="shared" si="37"/>
        <v>142200</v>
      </c>
      <c r="G145" s="650">
        <f t="shared" si="37"/>
        <v>0</v>
      </c>
      <c r="H145" s="650">
        <f t="shared" si="37"/>
        <v>0</v>
      </c>
      <c r="I145" s="650">
        <f t="shared" si="37"/>
        <v>0</v>
      </c>
      <c r="J145" s="650">
        <f t="shared" si="37"/>
        <v>0</v>
      </c>
      <c r="K145" s="651">
        <f>SUM(D145:F145)</f>
        <v>276500</v>
      </c>
      <c r="L145" s="1106">
        <f>SUM(G145:J145)</f>
        <v>0</v>
      </c>
    </row>
    <row r="146" spans="1:15">
      <c r="A146" s="611"/>
      <c r="B146" s="548"/>
      <c r="C146" s="546"/>
      <c r="D146" s="550"/>
      <c r="E146" s="550"/>
      <c r="F146" s="550"/>
      <c r="G146" s="550"/>
      <c r="H146" s="550"/>
      <c r="I146" s="550"/>
      <c r="J146" s="550"/>
      <c r="K146" s="550"/>
      <c r="L146" s="1106"/>
    </row>
    <row r="147" spans="1:15" ht="30">
      <c r="A147" s="652" t="str">
        <f>'NSP Summary Budget (16-18)'!A19</f>
        <v>1.1.8</v>
      </c>
      <c r="B147" s="632" t="str">
        <f>'NSP Summary Budget (16-18)'!B19</f>
        <v>Supervision / monitoring of Xpert MTB/RIF implementation</v>
      </c>
      <c r="C147" s="633"/>
      <c r="D147" s="634"/>
      <c r="E147" s="634"/>
      <c r="F147" s="634"/>
      <c r="G147" s="969"/>
      <c r="H147" s="969"/>
      <c r="I147" s="969"/>
      <c r="J147" s="969"/>
      <c r="K147" s="635"/>
      <c r="L147" s="1106"/>
    </row>
    <row r="148" spans="1:15" ht="30">
      <c r="A148" s="653"/>
      <c r="B148" s="640" t="s">
        <v>1365</v>
      </c>
      <c r="C148" s="641"/>
      <c r="D148" s="642">
        <f>'Xpert instruments &amp; tests (2)'!J184</f>
        <v>9</v>
      </c>
      <c r="E148" s="642">
        <f>'Xpert instruments &amp; tests (2)'!K184</f>
        <v>23</v>
      </c>
      <c r="F148" s="642">
        <f>'Xpert instruments &amp; tests (2)'!L184</f>
        <v>23</v>
      </c>
      <c r="G148" s="1207">
        <v>38</v>
      </c>
      <c r="H148" s="1207">
        <v>38</v>
      </c>
      <c r="I148" s="1207">
        <v>38</v>
      </c>
      <c r="J148" s="1207">
        <v>38</v>
      </c>
      <c r="K148" s="638"/>
      <c r="L148" s="1106"/>
      <c r="O148" s="1210" t="s">
        <v>1856</v>
      </c>
    </row>
    <row r="149" spans="1:15">
      <c r="A149" s="653"/>
      <c r="B149" s="659" t="str">
        <f>B24</f>
        <v>Average cost of supervision per Xpert site, per year</v>
      </c>
      <c r="C149" s="641">
        <f>C24</f>
        <v>400</v>
      </c>
      <c r="D149" s="642">
        <f t="shared" ref="D149:F149" si="38">C149</f>
        <v>400</v>
      </c>
      <c r="E149" s="642">
        <f t="shared" si="38"/>
        <v>400</v>
      </c>
      <c r="F149" s="642">
        <f t="shared" si="38"/>
        <v>400</v>
      </c>
      <c r="G149" s="642">
        <f t="shared" ref="G149" si="39">F149</f>
        <v>400</v>
      </c>
      <c r="H149" s="642">
        <f t="shared" ref="H149" si="40">G149</f>
        <v>400</v>
      </c>
      <c r="I149" s="642">
        <f t="shared" ref="I149" si="41">H149</f>
        <v>400</v>
      </c>
      <c r="J149" s="642">
        <f t="shared" ref="J149" si="42">I149</f>
        <v>400</v>
      </c>
      <c r="K149" s="638"/>
      <c r="L149" s="1106"/>
    </row>
    <row r="150" spans="1:15">
      <c r="A150" s="653"/>
      <c r="B150" s="654" t="s">
        <v>1366</v>
      </c>
      <c r="C150" s="636"/>
      <c r="D150" s="660">
        <v>1</v>
      </c>
      <c r="E150" s="660">
        <v>1</v>
      </c>
      <c r="F150" s="660">
        <v>1</v>
      </c>
      <c r="G150" s="660">
        <v>1</v>
      </c>
      <c r="H150" s="660">
        <v>1</v>
      </c>
      <c r="I150" s="660">
        <v>1</v>
      </c>
      <c r="J150" s="660">
        <v>1</v>
      </c>
      <c r="K150" s="638"/>
      <c r="L150" s="1106"/>
    </row>
    <row r="151" spans="1:15">
      <c r="A151" s="655"/>
      <c r="B151" s="648" t="s">
        <v>1077</v>
      </c>
      <c r="C151" s="657"/>
      <c r="D151" s="650">
        <f>D148*D149*D150</f>
        <v>3600</v>
      </c>
      <c r="E151" s="650">
        <f t="shared" ref="E151:J151" si="43">E148*E149*E150</f>
        <v>9200</v>
      </c>
      <c r="F151" s="650">
        <f t="shared" si="43"/>
        <v>9200</v>
      </c>
      <c r="G151" s="650">
        <f t="shared" si="43"/>
        <v>15200</v>
      </c>
      <c r="H151" s="650">
        <f t="shared" si="43"/>
        <v>15200</v>
      </c>
      <c r="I151" s="650">
        <f t="shared" si="43"/>
        <v>15200</v>
      </c>
      <c r="J151" s="650">
        <f t="shared" si="43"/>
        <v>15200</v>
      </c>
      <c r="K151" s="651">
        <f>SUM(D151:F151)</f>
        <v>22000</v>
      </c>
      <c r="L151" s="1106">
        <f>SUM(G151:J151)</f>
        <v>60800</v>
      </c>
      <c r="M151" s="1446" t="s">
        <v>1933</v>
      </c>
      <c r="N151" s="1446"/>
    </row>
    <row r="152" spans="1:15">
      <c r="A152" s="611"/>
      <c r="B152" s="548"/>
      <c r="C152" s="546"/>
      <c r="D152" s="550"/>
      <c r="E152" s="550"/>
      <c r="F152" s="550"/>
      <c r="G152" s="550"/>
      <c r="H152" s="550"/>
      <c r="I152" s="550"/>
      <c r="J152" s="550"/>
      <c r="K152" s="550"/>
      <c r="L152" s="1106"/>
    </row>
    <row r="153" spans="1:15">
      <c r="A153" s="652" t="str">
        <f>'NSP Summary Budget (16-18)'!A20</f>
        <v>1.1.9</v>
      </c>
      <c r="B153" s="661" t="str">
        <f>'NSP Summary Budget (16-18)'!B20</f>
        <v>Workshops and coordination meetings on Xpert MTB/RIF</v>
      </c>
      <c r="C153" s="633"/>
      <c r="D153" s="634"/>
      <c r="E153" s="634"/>
      <c r="F153" s="634"/>
      <c r="G153" s="969"/>
      <c r="H153" s="969"/>
      <c r="I153" s="969"/>
      <c r="J153" s="969"/>
      <c r="K153" s="635"/>
      <c r="L153" s="1106"/>
    </row>
    <row r="154" spans="1:15">
      <c r="A154" s="653"/>
      <c r="B154" s="640" t="str">
        <f>B12</f>
        <v>Average cost of training, central level</v>
      </c>
      <c r="C154" s="641">
        <f>Training!G57</f>
        <v>4900</v>
      </c>
      <c r="D154" s="642">
        <f t="shared" ref="D154" si="44">C154</f>
        <v>4900</v>
      </c>
      <c r="E154" s="642">
        <f t="shared" ref="E154" si="45">D154</f>
        <v>4900</v>
      </c>
      <c r="F154" s="642">
        <f t="shared" ref="F154" si="46">E154</f>
        <v>4900</v>
      </c>
      <c r="G154" s="642">
        <f t="shared" ref="G154" si="47">F154</f>
        <v>4900</v>
      </c>
      <c r="H154" s="642">
        <f t="shared" ref="H154" si="48">G154</f>
        <v>4900</v>
      </c>
      <c r="I154" s="642">
        <f t="shared" ref="I154" si="49">H154</f>
        <v>4900</v>
      </c>
      <c r="J154" s="642">
        <f t="shared" ref="J154" si="50">I154</f>
        <v>4900</v>
      </c>
      <c r="K154" s="638"/>
      <c r="L154" s="1106"/>
    </row>
    <row r="155" spans="1:15">
      <c r="A155" s="653"/>
      <c r="B155" s="640" t="str">
        <f>B13</f>
        <v>Average cost of training, regional level</v>
      </c>
      <c r="C155" s="641"/>
      <c r="D155" s="642"/>
      <c r="E155" s="642"/>
      <c r="F155" s="642"/>
      <c r="G155" s="642"/>
      <c r="H155" s="642"/>
      <c r="I155" s="642"/>
      <c r="J155" s="642"/>
      <c r="K155" s="638"/>
      <c r="L155" s="1106"/>
    </row>
    <row r="156" spans="1:15">
      <c r="A156" s="653"/>
      <c r="B156" s="654" t="s">
        <v>1080</v>
      </c>
      <c r="C156" s="636"/>
      <c r="D156" s="637">
        <v>1</v>
      </c>
      <c r="E156" s="637">
        <v>1</v>
      </c>
      <c r="F156" s="637">
        <v>1</v>
      </c>
      <c r="G156" s="637">
        <v>1</v>
      </c>
      <c r="H156" s="637">
        <v>1</v>
      </c>
      <c r="I156" s="637">
        <v>1</v>
      </c>
      <c r="J156" s="637">
        <v>1</v>
      </c>
      <c r="K156" s="638"/>
      <c r="L156" s="1106"/>
    </row>
    <row r="157" spans="1:15">
      <c r="A157" s="653"/>
      <c r="B157" s="654" t="s">
        <v>1081</v>
      </c>
      <c r="C157" s="636"/>
      <c r="D157" s="637"/>
      <c r="E157" s="637"/>
      <c r="F157" s="637"/>
      <c r="G157" s="637"/>
      <c r="H157" s="637"/>
      <c r="I157" s="637"/>
      <c r="J157" s="637"/>
      <c r="K157" s="638"/>
      <c r="L157" s="1106"/>
    </row>
    <row r="158" spans="1:15">
      <c r="A158" s="655"/>
      <c r="B158" s="648" t="s">
        <v>1077</v>
      </c>
      <c r="C158" s="657"/>
      <c r="D158" s="650">
        <f>D154*D156+D155*D157</f>
        <v>4900</v>
      </c>
      <c r="E158" s="650">
        <f t="shared" ref="E158:J158" si="51">E154*E156+E155*E157</f>
        <v>4900</v>
      </c>
      <c r="F158" s="650">
        <f t="shared" si="51"/>
        <v>4900</v>
      </c>
      <c r="G158" s="650">
        <f t="shared" si="51"/>
        <v>4900</v>
      </c>
      <c r="H158" s="650">
        <f t="shared" si="51"/>
        <v>4900</v>
      </c>
      <c r="I158" s="650">
        <f t="shared" si="51"/>
        <v>4900</v>
      </c>
      <c r="J158" s="650">
        <f t="shared" si="51"/>
        <v>4900</v>
      </c>
      <c r="K158" s="651">
        <f>SUM(D158:F158)</f>
        <v>14700</v>
      </c>
      <c r="L158" s="1106">
        <f>SUM(G158:J158)</f>
        <v>19600</v>
      </c>
      <c r="M158" s="1446" t="s">
        <v>1933</v>
      </c>
      <c r="N158" s="1446"/>
    </row>
    <row r="159" spans="1:15">
      <c r="A159" s="611"/>
      <c r="B159" s="548"/>
      <c r="C159" s="546"/>
      <c r="D159" s="550"/>
      <c r="E159" s="550"/>
      <c r="F159" s="550"/>
      <c r="G159" s="550"/>
      <c r="H159" s="550"/>
      <c r="I159" s="550"/>
      <c r="J159" s="550"/>
      <c r="K159" s="550"/>
      <c r="L159" s="1106"/>
    </row>
    <row r="160" spans="1:15" ht="21.6" customHeight="1">
      <c r="A160" s="589">
        <f>'NSP Summary Budget (16-18)'!A21</f>
        <v>1.2</v>
      </c>
      <c r="B160" s="1783" t="str">
        <f>'NSP Summary Budget (16-18)'!B21</f>
        <v>TB diagnostic investigations at regional and national level</v>
      </c>
      <c r="C160" s="1783"/>
      <c r="D160" s="590"/>
      <c r="E160" s="590"/>
      <c r="F160" s="590"/>
      <c r="G160" s="590"/>
      <c r="H160" s="590"/>
      <c r="I160" s="590"/>
      <c r="J160" s="590"/>
      <c r="K160" s="590"/>
      <c r="L160" s="1487">
        <f>SUM(L162:L278)</f>
        <v>2094915.2460444118</v>
      </c>
    </row>
    <row r="161" spans="1:15">
      <c r="A161" s="611"/>
      <c r="B161" s="548"/>
      <c r="C161" s="546"/>
      <c r="D161" s="550"/>
      <c r="E161" s="550"/>
      <c r="F161" s="550"/>
      <c r="G161" s="550"/>
      <c r="H161" s="550"/>
      <c r="I161" s="550"/>
      <c r="J161" s="550"/>
      <c r="K161" s="550"/>
      <c r="L161" s="1106"/>
    </row>
    <row r="162" spans="1:15">
      <c r="A162" s="631" t="str">
        <f>'NSP Summary Budget (16-18)'!A22</f>
        <v>1.2.1</v>
      </c>
      <c r="B162" s="632" t="str">
        <f>'NSP Summary Budget (16-18)'!B22</f>
        <v>Equipment and furniture for microscopy laboratories</v>
      </c>
      <c r="C162" s="633"/>
      <c r="D162" s="634"/>
      <c r="E162" s="634"/>
      <c r="F162" s="634"/>
      <c r="G162" s="969"/>
      <c r="H162" s="969"/>
      <c r="I162" s="969"/>
      <c r="J162" s="969"/>
      <c r="K162" s="635"/>
      <c r="L162" s="1106"/>
    </row>
    <row r="163" spans="1:15">
      <c r="A163" s="639"/>
      <c r="B163" s="662" t="str">
        <f>B25</f>
        <v>Cost of 1 fluorescent (LED) microscope (GDF)</v>
      </c>
      <c r="C163" s="641">
        <f>C25</f>
        <v>2540</v>
      </c>
      <c r="D163" s="642">
        <f>C163</f>
        <v>2540</v>
      </c>
      <c r="E163" s="642">
        <f>D163</f>
        <v>2540</v>
      </c>
      <c r="F163" s="642">
        <f>E163</f>
        <v>2540</v>
      </c>
      <c r="G163" s="642">
        <f t="shared" ref="G163:J163" si="52">F163</f>
        <v>2540</v>
      </c>
      <c r="H163" s="642">
        <f t="shared" si="52"/>
        <v>2540</v>
      </c>
      <c r="I163" s="642">
        <f t="shared" si="52"/>
        <v>2540</v>
      </c>
      <c r="J163" s="642">
        <f t="shared" si="52"/>
        <v>2540</v>
      </c>
      <c r="K163" s="638"/>
      <c r="L163" s="1106"/>
    </row>
    <row r="164" spans="1:15">
      <c r="A164" s="639"/>
      <c r="B164" s="640" t="s">
        <v>1088</v>
      </c>
      <c r="C164" s="641"/>
      <c r="D164" s="642">
        <f>(1*8-4)+2*3+6*2+1*2</f>
        <v>24</v>
      </c>
      <c r="E164" s="642">
        <v>0</v>
      </c>
      <c r="F164" s="642">
        <v>0</v>
      </c>
      <c r="G164" s="642">
        <v>0</v>
      </c>
      <c r="H164" s="642">
        <v>0</v>
      </c>
      <c r="I164" s="642">
        <v>0</v>
      </c>
      <c r="J164" s="642">
        <v>0</v>
      </c>
      <c r="K164" s="663"/>
      <c r="L164" s="1106"/>
    </row>
    <row r="165" spans="1:15" ht="30">
      <c r="A165" s="639"/>
      <c r="B165" s="640" t="str">
        <f>B26</f>
        <v>Cost of other equipment and furniture set for microscopy laboratories</v>
      </c>
      <c r="C165" s="641">
        <f>C26</f>
        <v>2000</v>
      </c>
      <c r="D165" s="642">
        <f>C165</f>
        <v>2000</v>
      </c>
      <c r="E165" s="642">
        <f>D165</f>
        <v>2000</v>
      </c>
      <c r="F165" s="642">
        <f>E165</f>
        <v>2000</v>
      </c>
      <c r="G165" s="642">
        <f t="shared" ref="G165:J165" si="53">F165</f>
        <v>2000</v>
      </c>
      <c r="H165" s="642">
        <f t="shared" si="53"/>
        <v>2000</v>
      </c>
      <c r="I165" s="642">
        <f t="shared" si="53"/>
        <v>2000</v>
      </c>
      <c r="J165" s="642">
        <f t="shared" si="53"/>
        <v>2000</v>
      </c>
      <c r="K165" s="638"/>
      <c r="L165" s="1106"/>
    </row>
    <row r="166" spans="1:15">
      <c r="A166" s="639"/>
      <c r="B166" s="640" t="s">
        <v>1089</v>
      </c>
      <c r="C166" s="636"/>
      <c r="D166" s="642">
        <f>1*8+2*0+6*0+1*0</f>
        <v>8</v>
      </c>
      <c r="E166" s="642">
        <f>1*0+2*0+6*0+1*0</f>
        <v>0</v>
      </c>
      <c r="F166" s="642">
        <f>1*0+2*0+6*0+1*0</f>
        <v>0</v>
      </c>
      <c r="G166" s="642">
        <v>0</v>
      </c>
      <c r="H166" s="642">
        <v>0</v>
      </c>
      <c r="I166" s="642">
        <v>0</v>
      </c>
      <c r="J166" s="642">
        <v>0</v>
      </c>
      <c r="K166" s="638"/>
      <c r="L166" s="1106"/>
    </row>
    <row r="167" spans="1:15">
      <c r="A167" s="647"/>
      <c r="B167" s="648" t="s">
        <v>1077</v>
      </c>
      <c r="C167" s="656"/>
      <c r="D167" s="650">
        <f>D163*D164+D165*D166</f>
        <v>76960</v>
      </c>
      <c r="E167" s="650">
        <f t="shared" ref="E167:J167" si="54">E163*E164+E165*E166</f>
        <v>0</v>
      </c>
      <c r="F167" s="650">
        <f t="shared" si="54"/>
        <v>0</v>
      </c>
      <c r="G167" s="650">
        <f t="shared" si="54"/>
        <v>0</v>
      </c>
      <c r="H167" s="650">
        <f t="shared" si="54"/>
        <v>0</v>
      </c>
      <c r="I167" s="650">
        <f t="shared" si="54"/>
        <v>0</v>
      </c>
      <c r="J167" s="650">
        <f t="shared" si="54"/>
        <v>0</v>
      </c>
      <c r="K167" s="651">
        <f>SUM(D167:F167)</f>
        <v>76960</v>
      </c>
      <c r="L167" s="1106">
        <f>SUM(G167:J167)</f>
        <v>0</v>
      </c>
    </row>
    <row r="168" spans="1:15">
      <c r="A168" s="614"/>
      <c r="B168" s="548"/>
      <c r="C168" s="549"/>
      <c r="D168" s="550"/>
      <c r="E168" s="550"/>
      <c r="F168" s="550"/>
      <c r="G168" s="550"/>
      <c r="H168" s="550"/>
      <c r="I168" s="550"/>
      <c r="J168" s="550"/>
      <c r="K168" s="550"/>
      <c r="L168" s="1106"/>
    </row>
    <row r="169" spans="1:15">
      <c r="A169" s="631" t="str">
        <f>'NSP Summary Budget (16-18)'!A23</f>
        <v>1.2.2</v>
      </c>
      <c r="B169" s="632" t="str">
        <f>'NSP Summary Budget (16-18)'!B23</f>
        <v>Support to specimen transportation system</v>
      </c>
      <c r="C169" s="633"/>
      <c r="D169" s="634"/>
      <c r="E169" s="634"/>
      <c r="F169" s="634"/>
      <c r="G169" s="969"/>
      <c r="H169" s="969"/>
      <c r="I169" s="969"/>
      <c r="J169" s="969"/>
      <c r="K169" s="635"/>
      <c r="L169" s="1106"/>
    </row>
    <row r="170" spans="1:15">
      <c r="A170" s="639"/>
      <c r="B170" s="654" t="str">
        <f>B29</f>
        <v>Annual cost of specimens' transportation</v>
      </c>
      <c r="C170" s="641">
        <f>C29</f>
        <v>50000</v>
      </c>
      <c r="D170" s="642">
        <f>C170</f>
        <v>50000</v>
      </c>
      <c r="E170" s="642">
        <f t="shared" ref="E170:F170" si="55">D170</f>
        <v>50000</v>
      </c>
      <c r="F170" s="1207">
        <f t="shared" si="55"/>
        <v>50000</v>
      </c>
      <c r="G170" s="1207">
        <f t="shared" ref="G170" si="56">F170</f>
        <v>50000</v>
      </c>
      <c r="H170" s="1207">
        <f t="shared" ref="H170" si="57">G170</f>
        <v>50000</v>
      </c>
      <c r="I170" s="1207">
        <f t="shared" ref="I170" si="58">H170</f>
        <v>50000</v>
      </c>
      <c r="J170" s="1207">
        <f t="shared" ref="J170" si="59">I170</f>
        <v>50000</v>
      </c>
      <c r="K170" s="638"/>
      <c r="L170" s="1106"/>
      <c r="O170" s="1211"/>
    </row>
    <row r="171" spans="1:15">
      <c r="A171" s="639"/>
      <c r="B171" s="664" t="s">
        <v>1090</v>
      </c>
      <c r="C171" s="665"/>
      <c r="D171" s="666">
        <v>1</v>
      </c>
      <c r="E171" s="666">
        <v>1</v>
      </c>
      <c r="F171" s="666">
        <v>1</v>
      </c>
      <c r="G171" s="666">
        <v>1</v>
      </c>
      <c r="H171" s="666">
        <v>1</v>
      </c>
      <c r="I171" s="666">
        <v>1</v>
      </c>
      <c r="J171" s="666">
        <v>1</v>
      </c>
      <c r="K171" s="638"/>
      <c r="L171" s="1106"/>
    </row>
    <row r="172" spans="1:15">
      <c r="A172" s="647"/>
      <c r="B172" s="648" t="s">
        <v>1077</v>
      </c>
      <c r="C172" s="657"/>
      <c r="D172" s="650">
        <f>D170*D171</f>
        <v>50000</v>
      </c>
      <c r="E172" s="650">
        <f t="shared" ref="E172:J172" si="60">E170*E171</f>
        <v>50000</v>
      </c>
      <c r="F172" s="650">
        <f t="shared" si="60"/>
        <v>50000</v>
      </c>
      <c r="G172" s="650">
        <f t="shared" si="60"/>
        <v>50000</v>
      </c>
      <c r="H172" s="650">
        <f t="shared" si="60"/>
        <v>50000</v>
      </c>
      <c r="I172" s="650">
        <f t="shared" si="60"/>
        <v>50000</v>
      </c>
      <c r="J172" s="650">
        <f t="shared" si="60"/>
        <v>50000</v>
      </c>
      <c r="K172" s="651">
        <f>SUM(D172:F172)</f>
        <v>150000</v>
      </c>
      <c r="L172" s="1106">
        <f>SUM(G172:J172)</f>
        <v>200000</v>
      </c>
      <c r="M172" s="1446"/>
      <c r="N172" s="1492" t="s">
        <v>2076</v>
      </c>
    </row>
    <row r="173" spans="1:15">
      <c r="A173" s="614"/>
      <c r="B173" s="602"/>
      <c r="C173" s="546"/>
      <c r="D173" s="605"/>
      <c r="E173" s="605"/>
      <c r="F173" s="605"/>
      <c r="G173" s="605"/>
      <c r="H173" s="605"/>
      <c r="I173" s="605"/>
      <c r="J173" s="605"/>
      <c r="K173" s="605"/>
      <c r="L173" s="1106"/>
    </row>
    <row r="174" spans="1:15">
      <c r="A174" s="631" t="str">
        <f>'NSP Summary Budget (16-18)'!A24</f>
        <v>1.2.3</v>
      </c>
      <c r="B174" s="632" t="str">
        <f>'NSP Summary Budget (16-18)'!B24</f>
        <v xml:space="preserve">Laboratory supplies for microscopy investigations </v>
      </c>
      <c r="C174" s="633"/>
      <c r="D174" s="634"/>
      <c r="E174" s="634"/>
      <c r="F174" s="634"/>
      <c r="G174" s="969"/>
      <c r="H174" s="969"/>
      <c r="I174" s="969"/>
      <c r="J174" s="969"/>
      <c r="K174" s="635"/>
      <c r="L174" s="1106"/>
    </row>
    <row r="175" spans="1:15">
      <c r="A175" s="639"/>
      <c r="B175" s="640" t="s">
        <v>1482</v>
      </c>
      <c r="C175" s="641"/>
      <c r="D175" s="642">
        <f>CALCULATIONS!F826</f>
        <v>51776.46832</v>
      </c>
      <c r="E175" s="642">
        <f>CALCULATIONS!G826</f>
        <v>35807.321339999995</v>
      </c>
      <c r="F175" s="642">
        <f>CALCULATIONS!H826</f>
        <v>27943.860119999998</v>
      </c>
      <c r="G175" s="642">
        <f>CALCULATIONS!I826</f>
        <v>24068.911200000002</v>
      </c>
      <c r="H175" s="642">
        <f>CALCULATIONS!J826</f>
        <v>20203.065750000002</v>
      </c>
      <c r="I175" s="642">
        <f>CALCULATIONS!K826</f>
        <v>19647.538049999999</v>
      </c>
      <c r="J175" s="642">
        <f>CALCULATIONS!L826</f>
        <v>19175.301599999999</v>
      </c>
      <c r="K175" s="638"/>
      <c r="L175" s="1106"/>
      <c r="O175" s="1211"/>
    </row>
    <row r="176" spans="1:15">
      <c r="A176" s="639"/>
      <c r="B176" s="640" t="s">
        <v>1483</v>
      </c>
      <c r="C176" s="645"/>
      <c r="D176" s="667">
        <v>0.6</v>
      </c>
      <c r="E176" s="667">
        <v>0.1</v>
      </c>
      <c r="F176" s="667">
        <v>0</v>
      </c>
      <c r="G176" s="667">
        <v>0</v>
      </c>
      <c r="H176" s="667">
        <v>0</v>
      </c>
      <c r="I176" s="667">
        <v>0</v>
      </c>
      <c r="J176" s="667">
        <v>0</v>
      </c>
      <c r="K176" s="638"/>
      <c r="L176" s="1106"/>
    </row>
    <row r="177" spans="1:15">
      <c r="A177" s="639"/>
      <c r="B177" s="640" t="s">
        <v>1484</v>
      </c>
      <c r="C177" s="636"/>
      <c r="D177" s="667">
        <f>1-D176</f>
        <v>0.4</v>
      </c>
      <c r="E177" s="667">
        <f t="shared" ref="E177:J177" si="61">1-E176</f>
        <v>0.9</v>
      </c>
      <c r="F177" s="667">
        <f t="shared" si="61"/>
        <v>1</v>
      </c>
      <c r="G177" s="667">
        <f t="shared" si="61"/>
        <v>1</v>
      </c>
      <c r="H177" s="667">
        <f t="shared" si="61"/>
        <v>1</v>
      </c>
      <c r="I177" s="667">
        <f t="shared" si="61"/>
        <v>1</v>
      </c>
      <c r="J177" s="667">
        <f t="shared" si="61"/>
        <v>1</v>
      </c>
      <c r="K177" s="638"/>
      <c r="L177" s="1106"/>
    </row>
    <row r="178" spans="1:15">
      <c r="A178" s="639"/>
      <c r="B178" s="640" t="s">
        <v>1091</v>
      </c>
      <c r="C178" s="645"/>
      <c r="D178" s="642">
        <f>D$175*D176</f>
        <v>31065.880991999999</v>
      </c>
      <c r="E178" s="642">
        <f t="shared" ref="E178:J178" si="62">E$175*E176</f>
        <v>3580.7321339999999</v>
      </c>
      <c r="F178" s="642">
        <f t="shared" si="62"/>
        <v>0</v>
      </c>
      <c r="G178" s="642">
        <f t="shared" si="62"/>
        <v>0</v>
      </c>
      <c r="H178" s="642">
        <f t="shared" si="62"/>
        <v>0</v>
      </c>
      <c r="I178" s="642">
        <f t="shared" si="62"/>
        <v>0</v>
      </c>
      <c r="J178" s="642">
        <f t="shared" si="62"/>
        <v>0</v>
      </c>
      <c r="K178" s="638"/>
      <c r="L178" s="1106"/>
    </row>
    <row r="179" spans="1:15">
      <c r="A179" s="639"/>
      <c r="B179" s="640" t="s">
        <v>1485</v>
      </c>
      <c r="C179" s="636"/>
      <c r="D179" s="642">
        <f t="shared" ref="D179:J179" si="63">D$175*D177</f>
        <v>20710.587328000001</v>
      </c>
      <c r="E179" s="642">
        <f t="shared" si="63"/>
        <v>32226.589205999997</v>
      </c>
      <c r="F179" s="642">
        <f t="shared" si="63"/>
        <v>27943.860119999998</v>
      </c>
      <c r="G179" s="642">
        <f t="shared" si="63"/>
        <v>24068.911200000002</v>
      </c>
      <c r="H179" s="642">
        <f t="shared" si="63"/>
        <v>20203.065750000002</v>
      </c>
      <c r="I179" s="642">
        <f t="shared" si="63"/>
        <v>19647.538049999999</v>
      </c>
      <c r="J179" s="642">
        <f t="shared" si="63"/>
        <v>19175.301599999999</v>
      </c>
      <c r="K179" s="638"/>
      <c r="L179" s="1106"/>
    </row>
    <row r="180" spans="1:15">
      <c r="A180" s="639"/>
      <c r="B180" s="668" t="str">
        <f>B27</f>
        <v>Cost of 1 ZN microscopy test</v>
      </c>
      <c r="C180" s="645">
        <f>C27</f>
        <v>0.25</v>
      </c>
      <c r="D180" s="644">
        <f t="shared" ref="D180:F181" si="64">C180</f>
        <v>0.25</v>
      </c>
      <c r="E180" s="644">
        <f t="shared" si="64"/>
        <v>0.25</v>
      </c>
      <c r="F180" s="644">
        <f t="shared" si="64"/>
        <v>0.25</v>
      </c>
      <c r="G180" s="644">
        <f t="shared" ref="G180:G181" si="65">F180</f>
        <v>0.25</v>
      </c>
      <c r="H180" s="644">
        <f t="shared" ref="H180:H181" si="66">G180</f>
        <v>0.25</v>
      </c>
      <c r="I180" s="644">
        <f t="shared" ref="I180:J181" si="67">H180</f>
        <v>0.25</v>
      </c>
      <c r="J180" s="644">
        <f t="shared" si="67"/>
        <v>0.25</v>
      </c>
      <c r="K180" s="638"/>
      <c r="L180" s="1106"/>
    </row>
    <row r="181" spans="1:15">
      <c r="A181" s="639"/>
      <c r="B181" s="640" t="str">
        <f>B28</f>
        <v>Cost of 1 LED microscopy test (auramine)</v>
      </c>
      <c r="C181" s="645">
        <f>C28</f>
        <v>0.5</v>
      </c>
      <c r="D181" s="644">
        <f t="shared" si="64"/>
        <v>0.5</v>
      </c>
      <c r="E181" s="644">
        <f t="shared" si="64"/>
        <v>0.5</v>
      </c>
      <c r="F181" s="644">
        <f t="shared" si="64"/>
        <v>0.5</v>
      </c>
      <c r="G181" s="644">
        <f t="shared" si="65"/>
        <v>0.5</v>
      </c>
      <c r="H181" s="644">
        <f t="shared" si="66"/>
        <v>0.5</v>
      </c>
      <c r="I181" s="644">
        <f t="shared" si="67"/>
        <v>0.5</v>
      </c>
      <c r="J181" s="644">
        <f t="shared" si="67"/>
        <v>0.5</v>
      </c>
      <c r="K181" s="638"/>
      <c r="L181" s="1106"/>
    </row>
    <row r="182" spans="1:15">
      <c r="A182" s="647"/>
      <c r="B182" s="648" t="s">
        <v>1077</v>
      </c>
      <c r="C182" s="656"/>
      <c r="D182" s="650">
        <f>D178*D180+D179*D181</f>
        <v>18121.763912000002</v>
      </c>
      <c r="E182" s="650">
        <f t="shared" ref="E182:J182" si="68">E178*E180+E179*E181</f>
        <v>17008.4776365</v>
      </c>
      <c r="F182" s="650">
        <f t="shared" si="68"/>
        <v>13971.930059999999</v>
      </c>
      <c r="G182" s="650">
        <f t="shared" si="68"/>
        <v>12034.455600000001</v>
      </c>
      <c r="H182" s="650">
        <f t="shared" si="68"/>
        <v>10101.532875000001</v>
      </c>
      <c r="I182" s="650">
        <f t="shared" si="68"/>
        <v>9823.7690249999996</v>
      </c>
      <c r="J182" s="650">
        <f t="shared" si="68"/>
        <v>9587.6507999999994</v>
      </c>
      <c r="K182" s="651">
        <f>SUM(D182:F182)</f>
        <v>49102.171608500001</v>
      </c>
      <c r="L182" s="1106">
        <f>SUM(G182:J182)</f>
        <v>41547.408299999996</v>
      </c>
      <c r="M182" s="1446" t="s">
        <v>1933</v>
      </c>
      <c r="N182" s="1492" t="s">
        <v>1934</v>
      </c>
      <c r="O182" s="1446"/>
    </row>
    <row r="183" spans="1:15">
      <c r="A183" s="614"/>
      <c r="B183" s="548"/>
      <c r="C183" s="549"/>
      <c r="D183" s="550"/>
      <c r="E183" s="550"/>
      <c r="F183" s="550"/>
      <c r="G183" s="550"/>
      <c r="H183" s="550"/>
      <c r="I183" s="550"/>
      <c r="J183" s="550"/>
      <c r="K183" s="550"/>
      <c r="L183" s="1106"/>
    </row>
    <row r="184" spans="1:15">
      <c r="A184" s="631" t="str">
        <f>'NSP Summary Budget (16-18)'!A25</f>
        <v>1.2.4</v>
      </c>
      <c r="B184" s="661" t="str">
        <f>'NSP Summary Budget (16-18)'!B25</f>
        <v>Training of ZDLs and LSSs staff</v>
      </c>
      <c r="C184" s="633"/>
      <c r="D184" s="634"/>
      <c r="E184" s="634"/>
      <c r="F184" s="634"/>
      <c r="G184" s="969"/>
      <c r="H184" s="969"/>
      <c r="I184" s="969"/>
      <c r="J184" s="969"/>
      <c r="K184" s="635"/>
      <c r="L184" s="1106"/>
    </row>
    <row r="185" spans="1:15">
      <c r="A185" s="639"/>
      <c r="B185" s="640" t="str">
        <f>B12</f>
        <v>Average cost of training, central level</v>
      </c>
      <c r="C185" s="641">
        <f>Training!G76</f>
        <v>2800</v>
      </c>
      <c r="D185" s="642">
        <f t="shared" ref="D185" si="69">C185</f>
        <v>2800</v>
      </c>
      <c r="E185" s="642">
        <f t="shared" ref="E185" si="70">D185</f>
        <v>2800</v>
      </c>
      <c r="F185" s="642">
        <f t="shared" ref="F185" si="71">E185</f>
        <v>2800</v>
      </c>
      <c r="G185" s="642">
        <f t="shared" ref="G185" si="72">F185</f>
        <v>2800</v>
      </c>
      <c r="H185" s="642">
        <f t="shared" ref="H185" si="73">G185</f>
        <v>2800</v>
      </c>
      <c r="I185" s="642">
        <f t="shared" ref="I185:J185" si="74">H185</f>
        <v>2800</v>
      </c>
      <c r="J185" s="642">
        <f t="shared" si="74"/>
        <v>2800</v>
      </c>
      <c r="K185" s="638"/>
      <c r="L185" s="1106"/>
    </row>
    <row r="186" spans="1:15">
      <c r="A186" s="639"/>
      <c r="B186" s="640" t="str">
        <f>B13</f>
        <v>Average cost of training, regional level</v>
      </c>
      <c r="C186" s="641"/>
      <c r="D186" s="642"/>
      <c r="E186" s="642"/>
      <c r="F186" s="642"/>
      <c r="G186" s="642"/>
      <c r="H186" s="642"/>
      <c r="I186" s="642"/>
      <c r="J186" s="642"/>
      <c r="K186" s="638"/>
      <c r="L186" s="1106"/>
    </row>
    <row r="187" spans="1:15">
      <c r="A187" s="639"/>
      <c r="B187" s="654" t="s">
        <v>1080</v>
      </c>
      <c r="C187" s="636"/>
      <c r="D187" s="637">
        <v>2</v>
      </c>
      <c r="E187" s="637">
        <v>2</v>
      </c>
      <c r="F187" s="637">
        <v>2</v>
      </c>
      <c r="G187" s="637">
        <v>2</v>
      </c>
      <c r="H187" s="637">
        <v>2</v>
      </c>
      <c r="I187" s="637">
        <v>2</v>
      </c>
      <c r="J187" s="637">
        <v>2</v>
      </c>
      <c r="K187" s="638"/>
      <c r="L187" s="1106"/>
    </row>
    <row r="188" spans="1:15">
      <c r="A188" s="639"/>
      <c r="B188" s="654" t="s">
        <v>1081</v>
      </c>
      <c r="C188" s="636"/>
      <c r="D188" s="637"/>
      <c r="E188" s="637"/>
      <c r="F188" s="637"/>
      <c r="G188" s="637"/>
      <c r="H188" s="637"/>
      <c r="I188" s="637"/>
      <c r="J188" s="637"/>
      <c r="K188" s="638"/>
      <c r="L188" s="1106"/>
    </row>
    <row r="189" spans="1:15">
      <c r="A189" s="647"/>
      <c r="B189" s="648" t="s">
        <v>1077</v>
      </c>
      <c r="C189" s="657"/>
      <c r="D189" s="650">
        <f>D185*D187+D186*D188</f>
        <v>5600</v>
      </c>
      <c r="E189" s="650">
        <f t="shared" ref="E189:J189" si="75">E185*E187+E186*E188</f>
        <v>5600</v>
      </c>
      <c r="F189" s="650">
        <f t="shared" si="75"/>
        <v>5600</v>
      </c>
      <c r="G189" s="650">
        <f t="shared" si="75"/>
        <v>5600</v>
      </c>
      <c r="H189" s="650">
        <f t="shared" si="75"/>
        <v>5600</v>
      </c>
      <c r="I189" s="650">
        <f t="shared" si="75"/>
        <v>5600</v>
      </c>
      <c r="J189" s="650">
        <f t="shared" si="75"/>
        <v>5600</v>
      </c>
      <c r="K189" s="651">
        <f>SUM(D189:F189)</f>
        <v>16800</v>
      </c>
      <c r="L189" s="1106">
        <f>SUM(G189:J189)</f>
        <v>22400</v>
      </c>
      <c r="M189" s="1446" t="s">
        <v>1933</v>
      </c>
      <c r="N189" s="1446"/>
    </row>
    <row r="190" spans="1:15">
      <c r="A190" s="614"/>
      <c r="B190" s="548"/>
      <c r="C190" s="546"/>
      <c r="D190" s="550"/>
      <c r="E190" s="550"/>
      <c r="F190" s="550"/>
      <c r="G190" s="550"/>
      <c r="H190" s="550"/>
      <c r="I190" s="550"/>
      <c r="J190" s="550"/>
      <c r="K190" s="550"/>
      <c r="L190" s="1106"/>
    </row>
    <row r="191" spans="1:15">
      <c r="A191" s="631" t="str">
        <f>'NSP Summary Budget (16-18)'!A26</f>
        <v>1.2.5</v>
      </c>
      <c r="B191" s="632" t="str">
        <f>'NSP Summary Budget (16-18)'!B26</f>
        <v>Equipment for reference TB laboratories</v>
      </c>
      <c r="C191" s="633"/>
      <c r="D191" s="634"/>
      <c r="E191" s="634"/>
      <c r="F191" s="634"/>
      <c r="G191" s="969"/>
      <c r="H191" s="969"/>
      <c r="I191" s="969"/>
      <c r="J191" s="969"/>
      <c r="K191" s="635"/>
      <c r="L191" s="1106"/>
    </row>
    <row r="192" spans="1:15">
      <c r="A192" s="639"/>
      <c r="B192" s="640" t="str">
        <f>B30</f>
        <v>Cost of 1 automated MGIT-960 instrument</v>
      </c>
      <c r="C192" s="641">
        <f>C30</f>
        <v>60000</v>
      </c>
      <c r="D192" s="642">
        <f>C192</f>
        <v>60000</v>
      </c>
      <c r="E192" s="642">
        <f>D192</f>
        <v>60000</v>
      </c>
      <c r="F192" s="642">
        <f>E192</f>
        <v>60000</v>
      </c>
      <c r="G192" s="642">
        <f t="shared" ref="G192:J192" si="76">F192</f>
        <v>60000</v>
      </c>
      <c r="H192" s="642">
        <f t="shared" si="76"/>
        <v>60000</v>
      </c>
      <c r="I192" s="642">
        <f t="shared" si="76"/>
        <v>60000</v>
      </c>
      <c r="J192" s="642">
        <f t="shared" si="76"/>
        <v>60000</v>
      </c>
      <c r="K192" s="638"/>
      <c r="L192" s="1106"/>
    </row>
    <row r="193" spans="1:15">
      <c r="A193" s="639"/>
      <c r="B193" s="640" t="s">
        <v>1487</v>
      </c>
      <c r="C193" s="641"/>
      <c r="D193" s="642">
        <v>2</v>
      </c>
      <c r="E193" s="642">
        <v>0</v>
      </c>
      <c r="F193" s="642">
        <v>0</v>
      </c>
      <c r="G193" s="642">
        <v>0</v>
      </c>
      <c r="H193" s="642">
        <v>0</v>
      </c>
      <c r="I193" s="642">
        <v>0</v>
      </c>
      <c r="J193" s="642">
        <v>0</v>
      </c>
      <c r="K193" s="638"/>
      <c r="L193" s="1106"/>
    </row>
    <row r="194" spans="1:15">
      <c r="A194" s="639"/>
      <c r="B194" s="640" t="str">
        <f>B31</f>
        <v>Cost of 1 automated LPA Hain instrument</v>
      </c>
      <c r="C194" s="641">
        <f>C31</f>
        <v>53000</v>
      </c>
      <c r="D194" s="642">
        <f>C194</f>
        <v>53000</v>
      </c>
      <c r="E194" s="642">
        <f>D194</f>
        <v>53000</v>
      </c>
      <c r="F194" s="642">
        <f>E194</f>
        <v>53000</v>
      </c>
      <c r="G194" s="642">
        <f t="shared" ref="G194:J194" si="77">F194</f>
        <v>53000</v>
      </c>
      <c r="H194" s="642">
        <f t="shared" si="77"/>
        <v>53000</v>
      </c>
      <c r="I194" s="642">
        <f t="shared" si="77"/>
        <v>53000</v>
      </c>
      <c r="J194" s="642">
        <f t="shared" si="77"/>
        <v>53000</v>
      </c>
      <c r="K194" s="638"/>
      <c r="L194" s="1106"/>
    </row>
    <row r="195" spans="1:15">
      <c r="A195" s="639"/>
      <c r="B195" s="640" t="s">
        <v>1488</v>
      </c>
      <c r="C195" s="641"/>
      <c r="D195" s="642">
        <v>1</v>
      </c>
      <c r="E195" s="642">
        <v>0</v>
      </c>
      <c r="F195" s="642">
        <v>0</v>
      </c>
      <c r="G195" s="642">
        <v>0</v>
      </c>
      <c r="H195" s="642">
        <v>0</v>
      </c>
      <c r="I195" s="642">
        <v>0</v>
      </c>
      <c r="J195" s="642">
        <v>0</v>
      </c>
      <c r="K195" s="638"/>
      <c r="L195" s="1106"/>
    </row>
    <row r="196" spans="1:15">
      <c r="A196" s="639"/>
      <c r="B196" s="640" t="str">
        <f>B32</f>
        <v>Cost of other equipment for reference labs</v>
      </c>
      <c r="C196" s="641">
        <f>C32</f>
        <v>214000</v>
      </c>
      <c r="D196" s="642">
        <f>C196</f>
        <v>214000</v>
      </c>
      <c r="E196" s="642">
        <f>D196</f>
        <v>214000</v>
      </c>
      <c r="F196" s="642">
        <f>E196</f>
        <v>214000</v>
      </c>
      <c r="G196" s="642">
        <f t="shared" ref="G196:J196" si="78">F196</f>
        <v>214000</v>
      </c>
      <c r="H196" s="642">
        <f t="shared" si="78"/>
        <v>214000</v>
      </c>
      <c r="I196" s="642">
        <f t="shared" si="78"/>
        <v>214000</v>
      </c>
      <c r="J196" s="642">
        <f t="shared" si="78"/>
        <v>214000</v>
      </c>
      <c r="K196" s="638"/>
      <c r="L196" s="1106"/>
    </row>
    <row r="197" spans="1:15">
      <c r="A197" s="639"/>
      <c r="B197" s="640" t="s">
        <v>1089</v>
      </c>
      <c r="C197" s="641"/>
      <c r="D197" s="642">
        <v>1</v>
      </c>
      <c r="E197" s="642">
        <v>0</v>
      </c>
      <c r="F197" s="642">
        <v>0</v>
      </c>
      <c r="G197" s="642">
        <v>0</v>
      </c>
      <c r="H197" s="642">
        <v>0</v>
      </c>
      <c r="I197" s="642">
        <v>0</v>
      </c>
      <c r="J197" s="642">
        <v>0</v>
      </c>
      <c r="K197" s="638"/>
      <c r="L197" s="1106"/>
    </row>
    <row r="198" spans="1:15" ht="30">
      <c r="A198" s="639"/>
      <c r="B198" s="640" t="str">
        <f>B33</f>
        <v>Annual cost of minor equipment and supplies for reference labs</v>
      </c>
      <c r="C198" s="641">
        <f>C33</f>
        <v>88400</v>
      </c>
      <c r="D198" s="642">
        <f>C198</f>
        <v>88400</v>
      </c>
      <c r="E198" s="642">
        <f>D198</f>
        <v>88400</v>
      </c>
      <c r="F198" s="642">
        <f>E198</f>
        <v>88400</v>
      </c>
      <c r="G198" s="642">
        <f t="shared" ref="G198:J198" si="79">F198</f>
        <v>88400</v>
      </c>
      <c r="H198" s="642">
        <f t="shared" si="79"/>
        <v>88400</v>
      </c>
      <c r="I198" s="642">
        <f t="shared" si="79"/>
        <v>88400</v>
      </c>
      <c r="J198" s="642">
        <f t="shared" si="79"/>
        <v>88400</v>
      </c>
      <c r="K198" s="638"/>
      <c r="L198" s="1106"/>
    </row>
    <row r="199" spans="1:15">
      <c r="A199" s="639"/>
      <c r="B199" s="640" t="s">
        <v>1089</v>
      </c>
      <c r="C199" s="641"/>
      <c r="D199" s="642">
        <v>1</v>
      </c>
      <c r="E199" s="642">
        <v>1</v>
      </c>
      <c r="F199" s="642">
        <v>1</v>
      </c>
      <c r="G199" s="642">
        <v>1</v>
      </c>
      <c r="H199" s="642">
        <v>1</v>
      </c>
      <c r="I199" s="642">
        <v>1</v>
      </c>
      <c r="J199" s="642">
        <v>1</v>
      </c>
      <c r="K199" s="638"/>
      <c r="L199" s="1106"/>
    </row>
    <row r="200" spans="1:15">
      <c r="A200" s="647"/>
      <c r="B200" s="648" t="s">
        <v>1077</v>
      </c>
      <c r="C200" s="657"/>
      <c r="D200" s="650">
        <f>D192*D193+D194*D195+D196*D197+D198*D199</f>
        <v>475400</v>
      </c>
      <c r="E200" s="650">
        <f t="shared" ref="E200:J200" si="80">E192*E193+E194*E195+E196*E197+E198*E199</f>
        <v>88400</v>
      </c>
      <c r="F200" s="650">
        <f t="shared" si="80"/>
        <v>88400</v>
      </c>
      <c r="G200" s="650">
        <f t="shared" si="80"/>
        <v>88400</v>
      </c>
      <c r="H200" s="650">
        <f t="shared" si="80"/>
        <v>88400</v>
      </c>
      <c r="I200" s="650">
        <f t="shared" si="80"/>
        <v>88400</v>
      </c>
      <c r="J200" s="650">
        <f t="shared" si="80"/>
        <v>88400</v>
      </c>
      <c r="K200" s="651">
        <f>SUM(D200:F200)</f>
        <v>652200</v>
      </c>
      <c r="L200" s="1106">
        <f>SUM(G200:J200)</f>
        <v>353600</v>
      </c>
      <c r="M200" s="1447" t="s">
        <v>1933</v>
      </c>
      <c r="N200" s="1447"/>
      <c r="O200" s="946"/>
    </row>
    <row r="201" spans="1:15">
      <c r="A201" s="614"/>
      <c r="B201" s="548"/>
      <c r="C201" s="546"/>
      <c r="D201" s="550"/>
      <c r="E201" s="550"/>
      <c r="F201" s="550"/>
      <c r="G201" s="550"/>
      <c r="H201" s="550"/>
      <c r="I201" s="550"/>
      <c r="J201" s="550"/>
      <c r="K201" s="550"/>
      <c r="L201" s="1106"/>
      <c r="M201" s="946"/>
      <c r="N201" s="946"/>
    </row>
    <row r="202" spans="1:15">
      <c r="A202" s="631" t="str">
        <f>'NSP Summary Budget (16-18)'!A27</f>
        <v>1.2.6</v>
      </c>
      <c r="B202" s="632" t="str">
        <f>'NSP Summary Budget (16-18)'!B27</f>
        <v>Laboratory supplies for MGIT investigations</v>
      </c>
      <c r="C202" s="633"/>
      <c r="D202" s="634"/>
      <c r="E202" s="634"/>
      <c r="F202" s="634"/>
      <c r="G202" s="969"/>
      <c r="H202" s="969"/>
      <c r="I202" s="969"/>
      <c r="J202" s="969"/>
      <c r="K202" s="635"/>
      <c r="L202" s="1106"/>
    </row>
    <row r="203" spans="1:15">
      <c r="A203" s="639"/>
      <c r="B203" s="640" t="str">
        <f>B35</f>
        <v>Cost of 1 test, culture (automated MGIT)</v>
      </c>
      <c r="C203" s="669">
        <f>C35</f>
        <v>3.3</v>
      </c>
      <c r="D203" s="670">
        <f>C203</f>
        <v>3.3</v>
      </c>
      <c r="E203" s="670">
        <f>D203</f>
        <v>3.3</v>
      </c>
      <c r="F203" s="670">
        <f>E203</f>
        <v>3.3</v>
      </c>
      <c r="G203" s="670">
        <f t="shared" ref="G203:J203" si="81">F203</f>
        <v>3.3</v>
      </c>
      <c r="H203" s="670">
        <f t="shared" si="81"/>
        <v>3.3</v>
      </c>
      <c r="I203" s="670">
        <f t="shared" si="81"/>
        <v>3.3</v>
      </c>
      <c r="J203" s="670">
        <f t="shared" si="81"/>
        <v>3.3</v>
      </c>
      <c r="K203" s="638"/>
      <c r="L203" s="1106"/>
    </row>
    <row r="204" spans="1:15">
      <c r="A204" s="639"/>
      <c r="B204" s="640" t="s">
        <v>1094</v>
      </c>
      <c r="C204" s="669"/>
      <c r="D204" s="642">
        <f>CALCULATIONS!F832</f>
        <v>13442.680309620013</v>
      </c>
      <c r="E204" s="642">
        <f>CALCULATIONS!G832</f>
        <v>13778.949489842604</v>
      </c>
      <c r="F204" s="642">
        <f>CALCULATIONS!H832</f>
        <v>14234.314968320081</v>
      </c>
      <c r="G204" s="642">
        <f>CALCULATIONS!I832</f>
        <v>14668.128495131983</v>
      </c>
      <c r="H204" s="642">
        <f>CALCULATIONS!J832</f>
        <v>14324.948113496584</v>
      </c>
      <c r="I204" s="642">
        <f>CALCULATIONS!K832</f>
        <v>13945.267313547592</v>
      </c>
      <c r="J204" s="642">
        <f>CALCULATIONS!L832</f>
        <v>13618.293357421804</v>
      </c>
      <c r="K204" s="638"/>
      <c r="L204" s="1106"/>
    </row>
    <row r="205" spans="1:15" ht="28.5" customHeight="1">
      <c r="A205" s="639"/>
      <c r="B205" s="640" t="str">
        <f>B36</f>
        <v>Cost of 1 test, DST to 1st line drugs (automated MGIT)</v>
      </c>
      <c r="C205" s="669">
        <f>C36</f>
        <v>16.5</v>
      </c>
      <c r="D205" s="670">
        <f>C205</f>
        <v>16.5</v>
      </c>
      <c r="E205" s="670">
        <f>D205</f>
        <v>16.5</v>
      </c>
      <c r="F205" s="670">
        <f>E205</f>
        <v>16.5</v>
      </c>
      <c r="G205" s="670">
        <f t="shared" ref="G205:J205" si="82">F205</f>
        <v>16.5</v>
      </c>
      <c r="H205" s="670">
        <f t="shared" si="82"/>
        <v>16.5</v>
      </c>
      <c r="I205" s="670">
        <f t="shared" si="82"/>
        <v>16.5</v>
      </c>
      <c r="J205" s="670">
        <f t="shared" si="82"/>
        <v>16.5</v>
      </c>
      <c r="K205" s="638"/>
      <c r="L205" s="1106"/>
    </row>
    <row r="206" spans="1:15">
      <c r="A206" s="639"/>
      <c r="B206" s="640" t="s">
        <v>1094</v>
      </c>
      <c r="C206" s="669"/>
      <c r="D206" s="642">
        <f>CALCULATIONS!F835</f>
        <v>1823.5968000000003</v>
      </c>
      <c r="E206" s="642">
        <f>CALCULATIONS!G835</f>
        <v>1765.9402799999998</v>
      </c>
      <c r="F206" s="642">
        <f>CALCULATIONS!H835</f>
        <v>1780.5527999999999</v>
      </c>
      <c r="G206" s="642">
        <f>CALCULATIONS!I835</f>
        <v>1702.1005199999997</v>
      </c>
      <c r="H206" s="642">
        <f>CALCULATIONS!J835</f>
        <v>1626.88878</v>
      </c>
      <c r="I206" s="642">
        <f>CALCULATIONS!K835</f>
        <v>1577.4636599999999</v>
      </c>
      <c r="J206" s="642">
        <f>CALCULATIONS!L835</f>
        <v>1538.7699600000001</v>
      </c>
      <c r="K206" s="638"/>
      <c r="L206" s="1106"/>
    </row>
    <row r="207" spans="1:15">
      <c r="A207" s="639"/>
      <c r="B207" s="640" t="str">
        <f>B37</f>
        <v>Cost of 1 test, DST to 2nd line drugs (automated MGIT)</v>
      </c>
      <c r="C207" s="669">
        <f>C37</f>
        <v>19.100000000000001</v>
      </c>
      <c r="D207" s="670">
        <f>C207</f>
        <v>19.100000000000001</v>
      </c>
      <c r="E207" s="670">
        <f>D207</f>
        <v>19.100000000000001</v>
      </c>
      <c r="F207" s="670">
        <f>E207</f>
        <v>19.100000000000001</v>
      </c>
      <c r="G207" s="670">
        <f t="shared" ref="G207:J207" si="83">F207</f>
        <v>19.100000000000001</v>
      </c>
      <c r="H207" s="670">
        <f t="shared" si="83"/>
        <v>19.100000000000001</v>
      </c>
      <c r="I207" s="670">
        <f t="shared" si="83"/>
        <v>19.100000000000001</v>
      </c>
      <c r="J207" s="670">
        <f t="shared" si="83"/>
        <v>19.100000000000001</v>
      </c>
      <c r="K207" s="638"/>
      <c r="L207" s="1106"/>
    </row>
    <row r="208" spans="1:15">
      <c r="A208" s="639"/>
      <c r="B208" s="640" t="s">
        <v>1094</v>
      </c>
      <c r="C208" s="641"/>
      <c r="D208" s="642">
        <f>CALCULATIONS!F841</f>
        <v>824.17019999999957</v>
      </c>
      <c r="E208" s="642">
        <f>CALCULATIONS!G841</f>
        <v>808.98749999999961</v>
      </c>
      <c r="F208" s="642">
        <f>CALCULATIONS!H841</f>
        <v>826.55700000000002</v>
      </c>
      <c r="G208" s="642">
        <f>CALCULATIONS!I841</f>
        <v>803.5917000000004</v>
      </c>
      <c r="H208" s="642">
        <f>CALCULATIONS!J841</f>
        <v>781.1108999999999</v>
      </c>
      <c r="I208" s="642">
        <f>CALCULATIONS!K841</f>
        <v>761.4402</v>
      </c>
      <c r="J208" s="642">
        <f>CALCULATIONS!L841</f>
        <v>745.83930000000009</v>
      </c>
      <c r="K208" s="638"/>
      <c r="L208" s="1106"/>
    </row>
    <row r="209" spans="1:14">
      <c r="A209" s="647"/>
      <c r="B209" s="648" t="s">
        <v>1077</v>
      </c>
      <c r="C209" s="657"/>
      <c r="D209" s="650">
        <f>D203*D204+D205*D206+D207*D208</f>
        <v>90191.843041746048</v>
      </c>
      <c r="E209" s="650">
        <f t="shared" ref="E209:J209" si="84">E203*E204+E205*E206+E207*E208</f>
        <v>90060.209186480584</v>
      </c>
      <c r="F209" s="650">
        <f t="shared" si="84"/>
        <v>92139.599295456268</v>
      </c>
      <c r="G209" s="650">
        <f t="shared" si="84"/>
        <v>91838.084083935551</v>
      </c>
      <c r="H209" s="650">
        <f t="shared" si="84"/>
        <v>89035.211834538728</v>
      </c>
      <c r="I209" s="650">
        <f t="shared" si="84"/>
        <v>86591.040344707057</v>
      </c>
      <c r="J209" s="650">
        <f t="shared" si="84"/>
        <v>84575.603049491954</v>
      </c>
      <c r="K209" s="651">
        <f>SUM(D209:F209)</f>
        <v>272391.65152368287</v>
      </c>
      <c r="L209" s="1106">
        <f>SUM(G209:J209)</f>
        <v>352039.93931267323</v>
      </c>
      <c r="M209" s="1446" t="s">
        <v>1933</v>
      </c>
      <c r="N209" s="1492" t="s">
        <v>1934</v>
      </c>
    </row>
    <row r="210" spans="1:14">
      <c r="A210" s="614"/>
      <c r="B210" s="548"/>
      <c r="C210" s="546"/>
      <c r="D210" s="550"/>
      <c r="E210" s="550"/>
      <c r="F210" s="550"/>
      <c r="G210" s="550"/>
      <c r="H210" s="550"/>
      <c r="I210" s="550"/>
      <c r="J210" s="550"/>
      <c r="K210" s="550"/>
      <c r="L210" s="1106"/>
    </row>
    <row r="211" spans="1:14">
      <c r="A211" s="631" t="str">
        <f>'NSP Summary Budget (16-18)'!A28</f>
        <v>1.2.7</v>
      </c>
      <c r="B211" s="632" t="str">
        <f>'NSP Summary Budget (16-18)'!B28</f>
        <v>Laboratory supplies for LPA investigations</v>
      </c>
      <c r="C211" s="633"/>
      <c r="D211" s="634"/>
      <c r="E211" s="634"/>
      <c r="F211" s="634"/>
      <c r="G211" s="969"/>
      <c r="H211" s="969"/>
      <c r="I211" s="969"/>
      <c r="J211" s="969"/>
      <c r="K211" s="635"/>
      <c r="L211" s="1106"/>
    </row>
    <row r="212" spans="1:14">
      <c r="A212" s="639"/>
      <c r="B212" s="640" t="str">
        <f>B38</f>
        <v>Cost of 1 test, identification / HR DST (LPA Hain)</v>
      </c>
      <c r="C212" s="669">
        <f>C38</f>
        <v>10</v>
      </c>
      <c r="D212" s="670">
        <f>C212</f>
        <v>10</v>
      </c>
      <c r="E212" s="670">
        <f>D212</f>
        <v>10</v>
      </c>
      <c r="F212" s="670">
        <f>E212</f>
        <v>10</v>
      </c>
      <c r="G212" s="670">
        <f t="shared" ref="G212:J212" si="85">F212</f>
        <v>10</v>
      </c>
      <c r="H212" s="670">
        <f t="shared" si="85"/>
        <v>10</v>
      </c>
      <c r="I212" s="670">
        <f t="shared" si="85"/>
        <v>10</v>
      </c>
      <c r="J212" s="670">
        <f t="shared" si="85"/>
        <v>10</v>
      </c>
      <c r="K212" s="638"/>
      <c r="L212" s="1106"/>
    </row>
    <row r="213" spans="1:14">
      <c r="A213" s="639"/>
      <c r="B213" s="640" t="s">
        <v>1094</v>
      </c>
      <c r="C213" s="641"/>
      <c r="D213" s="642">
        <f>CALCULATIONS!F838</f>
        <v>1807.4759999999997</v>
      </c>
      <c r="E213" s="642">
        <f>CALCULATIONS!G838</f>
        <v>1749.5626499999996</v>
      </c>
      <c r="F213" s="642">
        <f>CALCULATIONS!H838</f>
        <v>1861.9287499999998</v>
      </c>
      <c r="G213" s="642">
        <f>CALCULATIONS!I838</f>
        <v>1778.99755</v>
      </c>
      <c r="H213" s="642">
        <f>CALCULATIONS!J838</f>
        <v>1698.9191999999998</v>
      </c>
      <c r="I213" s="642">
        <f>CALCULATIONS!K838</f>
        <v>1647.0976499999997</v>
      </c>
      <c r="J213" s="642">
        <f>CALCULATIONS!L838</f>
        <v>1606.8128999999997</v>
      </c>
      <c r="K213" s="638"/>
      <c r="L213" s="1106"/>
    </row>
    <row r="214" spans="1:14">
      <c r="A214" s="639"/>
      <c r="B214" s="640" t="str">
        <f>B39</f>
        <v>Cost of 1 test, DST to 2nd line drugs (LPA Hain)</v>
      </c>
      <c r="C214" s="669">
        <f>C39</f>
        <v>13.6</v>
      </c>
      <c r="D214" s="670">
        <f>C214</f>
        <v>13.6</v>
      </c>
      <c r="E214" s="670">
        <f>D214</f>
        <v>13.6</v>
      </c>
      <c r="F214" s="670">
        <f>E214</f>
        <v>13.6</v>
      </c>
      <c r="G214" s="670">
        <f t="shared" ref="G214:J214" si="86">F214</f>
        <v>13.6</v>
      </c>
      <c r="H214" s="670">
        <f t="shared" si="86"/>
        <v>13.6</v>
      </c>
      <c r="I214" s="670">
        <f t="shared" si="86"/>
        <v>13.6</v>
      </c>
      <c r="J214" s="670">
        <f t="shared" si="86"/>
        <v>13.6</v>
      </c>
      <c r="K214" s="638"/>
      <c r="L214" s="1106"/>
    </row>
    <row r="215" spans="1:14">
      <c r="A215" s="639"/>
      <c r="B215" s="640" t="s">
        <v>1094</v>
      </c>
      <c r="C215" s="641"/>
      <c r="D215" s="642">
        <f>CALCULATIONS!F844</f>
        <v>829.39999999999964</v>
      </c>
      <c r="E215" s="642">
        <f>CALCULATIONS!G844</f>
        <v>816.67574999999965</v>
      </c>
      <c r="F215" s="642">
        <f>CALCULATIONS!H844</f>
        <v>882.92049999999995</v>
      </c>
      <c r="G215" s="642">
        <f>CALCULATIONS!I844</f>
        <v>857.84050000000036</v>
      </c>
      <c r="H215" s="642">
        <f>CALCULATIONS!J844</f>
        <v>833.59649999999999</v>
      </c>
      <c r="I215" s="642">
        <f>CALCULATIONS!K844</f>
        <v>812.38300000000004</v>
      </c>
      <c r="J215" s="642">
        <f>CALCULATIONS!L844</f>
        <v>795.87200000000007</v>
      </c>
      <c r="K215" s="638"/>
      <c r="L215" s="1106"/>
    </row>
    <row r="216" spans="1:14">
      <c r="A216" s="647"/>
      <c r="B216" s="648" t="s">
        <v>1077</v>
      </c>
      <c r="C216" s="657"/>
      <c r="D216" s="650">
        <f>D212*D213+D214*D215</f>
        <v>29354.599999999991</v>
      </c>
      <c r="E216" s="650">
        <f t="shared" ref="E216" si="87">E212*E213+E214*E215</f>
        <v>28602.416699999991</v>
      </c>
      <c r="F216" s="650">
        <f t="shared" ref="F216:J216" si="88">F212*F213+F214*F215</f>
        <v>30627.006299999997</v>
      </c>
      <c r="G216" s="650">
        <f t="shared" si="88"/>
        <v>29456.606300000007</v>
      </c>
      <c r="H216" s="650">
        <f t="shared" si="88"/>
        <v>28326.104399999997</v>
      </c>
      <c r="I216" s="650">
        <f t="shared" si="88"/>
        <v>27519.385299999998</v>
      </c>
      <c r="J216" s="650">
        <f t="shared" si="88"/>
        <v>26891.9882</v>
      </c>
      <c r="K216" s="651">
        <f>SUM(D216:F216)</f>
        <v>88584.022999999972</v>
      </c>
      <c r="L216" s="1106">
        <f>SUM(G216:J216)</f>
        <v>112194.08420000001</v>
      </c>
      <c r="M216" s="1446" t="s">
        <v>1933</v>
      </c>
      <c r="N216" s="1492" t="s">
        <v>1934</v>
      </c>
    </row>
    <row r="217" spans="1:14">
      <c r="A217" s="614"/>
      <c r="B217" s="548"/>
      <c r="C217" s="546"/>
      <c r="D217" s="550"/>
      <c r="E217" s="550"/>
      <c r="F217" s="550"/>
      <c r="G217" s="550"/>
      <c r="H217" s="550"/>
      <c r="I217" s="550"/>
      <c r="J217" s="550"/>
      <c r="K217" s="550"/>
      <c r="L217" s="1106"/>
    </row>
    <row r="218" spans="1:14" ht="30">
      <c r="A218" s="631" t="str">
        <f>'NSP Summary Budget (16-18)'!A29</f>
        <v>1.2.8</v>
      </c>
      <c r="B218" s="632" t="str">
        <f>'NSP Summary Budget (16-18)'!B29</f>
        <v>Laboratory supplies for solid-media culture investigations</v>
      </c>
      <c r="C218" s="633"/>
      <c r="D218" s="634"/>
      <c r="E218" s="634"/>
      <c r="F218" s="634"/>
      <c r="G218" s="969"/>
      <c r="H218" s="969"/>
      <c r="I218" s="969"/>
      <c r="J218" s="969"/>
      <c r="K218" s="635"/>
      <c r="L218" s="1106"/>
    </row>
    <row r="219" spans="1:14">
      <c r="A219" s="639"/>
      <c r="B219" s="640" t="str">
        <f>B34</f>
        <v>Cost of 1 test, culture (manual on LJ)</v>
      </c>
      <c r="C219" s="669">
        <f>C34</f>
        <v>1.3</v>
      </c>
      <c r="D219" s="670">
        <f>C219</f>
        <v>1.3</v>
      </c>
      <c r="E219" s="670">
        <f>D219</f>
        <v>1.3</v>
      </c>
      <c r="F219" s="670">
        <f>E219</f>
        <v>1.3</v>
      </c>
      <c r="G219" s="670">
        <f t="shared" ref="G219:J219" si="89">F219</f>
        <v>1.3</v>
      </c>
      <c r="H219" s="670">
        <f t="shared" si="89"/>
        <v>1.3</v>
      </c>
      <c r="I219" s="670">
        <f t="shared" si="89"/>
        <v>1.3</v>
      </c>
      <c r="J219" s="670">
        <f t="shared" si="89"/>
        <v>1.3</v>
      </c>
      <c r="K219" s="638"/>
      <c r="L219" s="1106"/>
    </row>
    <row r="220" spans="1:14">
      <c r="A220" s="639"/>
      <c r="B220" s="640" t="s">
        <v>1094</v>
      </c>
      <c r="C220" s="641"/>
      <c r="D220" s="642">
        <f>D204/2</f>
        <v>6721.3401548100064</v>
      </c>
      <c r="E220" s="642">
        <f t="shared" ref="E220:J220" si="90">E204/2</f>
        <v>6889.4747449213019</v>
      </c>
      <c r="F220" s="642">
        <f t="shared" si="90"/>
        <v>7117.1574841600404</v>
      </c>
      <c r="G220" s="642">
        <f t="shared" si="90"/>
        <v>7334.0642475659915</v>
      </c>
      <c r="H220" s="642">
        <f t="shared" si="90"/>
        <v>7162.4740567482922</v>
      </c>
      <c r="I220" s="642">
        <f t="shared" si="90"/>
        <v>6972.6336567737962</v>
      </c>
      <c r="J220" s="642">
        <f t="shared" si="90"/>
        <v>6809.1466787109021</v>
      </c>
      <c r="K220" s="638"/>
      <c r="L220" s="1106"/>
    </row>
    <row r="221" spans="1:14">
      <c r="A221" s="647"/>
      <c r="B221" s="648" t="s">
        <v>1077</v>
      </c>
      <c r="C221" s="657"/>
      <c r="D221" s="650">
        <f>D219*D220</f>
        <v>8737.7422012530078</v>
      </c>
      <c r="E221" s="650">
        <f t="shared" ref="E221:J221" si="91">E219*E220</f>
        <v>8956.3171683976925</v>
      </c>
      <c r="F221" s="650">
        <f t="shared" si="91"/>
        <v>9252.3047294080534</v>
      </c>
      <c r="G221" s="650">
        <f t="shared" si="91"/>
        <v>9534.2835218357886</v>
      </c>
      <c r="H221" s="650">
        <f t="shared" si="91"/>
        <v>9311.2162737727795</v>
      </c>
      <c r="I221" s="650">
        <f t="shared" si="91"/>
        <v>9064.4237538059351</v>
      </c>
      <c r="J221" s="650">
        <f t="shared" si="91"/>
        <v>8851.8906823241723</v>
      </c>
      <c r="K221" s="651">
        <f>SUM(D221:F221)</f>
        <v>26946.364099058752</v>
      </c>
      <c r="L221" s="1106">
        <f>SUM(G221:J221)</f>
        <v>36761.814231738674</v>
      </c>
      <c r="M221" s="1446" t="s">
        <v>1933</v>
      </c>
      <c r="N221" s="1446"/>
    </row>
    <row r="222" spans="1:14">
      <c r="A222" s="614"/>
      <c r="B222" s="548"/>
      <c r="C222" s="546"/>
      <c r="D222" s="550"/>
      <c r="E222" s="550"/>
      <c r="F222" s="550"/>
      <c r="G222" s="550"/>
      <c r="H222" s="550"/>
      <c r="I222" s="550"/>
      <c r="J222" s="550"/>
      <c r="K222" s="550"/>
      <c r="L222" s="1106"/>
    </row>
    <row r="223" spans="1:14">
      <c r="A223" s="631" t="str">
        <f>'NSP Summary Budget (16-18)'!A30</f>
        <v>1.2.9</v>
      </c>
      <c r="B223" s="661" t="str">
        <f>'NSP Summary Budget (16-18)'!B30</f>
        <v>Maintenance / servicing of laboratory equipment and ventilation systems</v>
      </c>
      <c r="C223" s="633"/>
      <c r="D223" s="634"/>
      <c r="E223" s="634"/>
      <c r="F223" s="634"/>
      <c r="G223" s="969"/>
      <c r="H223" s="969"/>
      <c r="I223" s="969"/>
      <c r="J223" s="969"/>
      <c r="K223" s="635"/>
      <c r="L223" s="1106"/>
    </row>
    <row r="224" spans="1:14" ht="45">
      <c r="A224" s="639"/>
      <c r="B224" s="640" t="str">
        <f>B40</f>
        <v xml:space="preserve">Annual cost of maintenance / servicing of laboratory equipment and ventilation systems in reference laboratories </v>
      </c>
      <c r="C224" s="641">
        <f>C40</f>
        <v>40000</v>
      </c>
      <c r="D224" s="642">
        <f>C224</f>
        <v>40000</v>
      </c>
      <c r="E224" s="642">
        <f>D224</f>
        <v>40000</v>
      </c>
      <c r="F224" s="642">
        <f>E224</f>
        <v>40000</v>
      </c>
      <c r="G224" s="642">
        <f t="shared" ref="G224:J224" si="92">F224</f>
        <v>40000</v>
      </c>
      <c r="H224" s="642">
        <f t="shared" si="92"/>
        <v>40000</v>
      </c>
      <c r="I224" s="642">
        <f t="shared" si="92"/>
        <v>40000</v>
      </c>
      <c r="J224" s="642">
        <f t="shared" si="92"/>
        <v>40000</v>
      </c>
      <c r="K224" s="638"/>
      <c r="L224" s="1106"/>
    </row>
    <row r="225" spans="1:17">
      <c r="A225" s="639"/>
      <c r="B225" s="640" t="s">
        <v>1095</v>
      </c>
      <c r="C225" s="641"/>
      <c r="D225" s="646">
        <v>1</v>
      </c>
      <c r="E225" s="646">
        <f>D225</f>
        <v>1</v>
      </c>
      <c r="F225" s="646">
        <f>E225</f>
        <v>1</v>
      </c>
      <c r="G225" s="646">
        <f t="shared" ref="G225:J225" si="93">F225</f>
        <v>1</v>
      </c>
      <c r="H225" s="646">
        <f t="shared" si="93"/>
        <v>1</v>
      </c>
      <c r="I225" s="646">
        <f t="shared" si="93"/>
        <v>1</v>
      </c>
      <c r="J225" s="646">
        <f t="shared" si="93"/>
        <v>1</v>
      </c>
      <c r="K225" s="638"/>
      <c r="L225" s="1106"/>
    </row>
    <row r="226" spans="1:17">
      <c r="A226" s="647"/>
      <c r="B226" s="648" t="s">
        <v>1077</v>
      </c>
      <c r="C226" s="656"/>
      <c r="D226" s="650">
        <f>D224*D225</f>
        <v>40000</v>
      </c>
      <c r="E226" s="650">
        <f t="shared" ref="E226:J226" si="94">E224*E225</f>
        <v>40000</v>
      </c>
      <c r="F226" s="650">
        <f t="shared" si="94"/>
        <v>40000</v>
      </c>
      <c r="G226" s="650">
        <f t="shared" si="94"/>
        <v>40000</v>
      </c>
      <c r="H226" s="650">
        <f t="shared" si="94"/>
        <v>40000</v>
      </c>
      <c r="I226" s="650">
        <f t="shared" si="94"/>
        <v>40000</v>
      </c>
      <c r="J226" s="650">
        <f t="shared" si="94"/>
        <v>40000</v>
      </c>
      <c r="K226" s="651">
        <f>SUM(D226:F226)</f>
        <v>120000</v>
      </c>
      <c r="L226" s="1106">
        <f>SUM(G226:J226)</f>
        <v>160000</v>
      </c>
      <c r="N226" s="1492" t="s">
        <v>2076</v>
      </c>
    </row>
    <row r="227" spans="1:17">
      <c r="A227" s="614"/>
      <c r="B227" s="548"/>
      <c r="C227" s="549"/>
      <c r="D227" s="550"/>
      <c r="E227" s="550"/>
      <c r="F227" s="550"/>
      <c r="G227" s="550"/>
      <c r="H227" s="550"/>
      <c r="I227" s="550"/>
      <c r="J227" s="550"/>
      <c r="K227" s="550"/>
      <c r="L227" s="1106"/>
      <c r="O227" s="943"/>
    </row>
    <row r="228" spans="1:17">
      <c r="A228" s="631" t="str">
        <f>'NSP Summary Budget (16-18)'!A31</f>
        <v>1.2.10</v>
      </c>
      <c r="B228" s="661" t="str">
        <f>'NSP Summary Budget (16-18)'!B31</f>
        <v>External technical assistance, strengthening NRL quality management system / support to ISO accreditation</v>
      </c>
      <c r="C228" s="633"/>
      <c r="D228" s="634"/>
      <c r="E228" s="634"/>
      <c r="F228" s="634"/>
      <c r="G228" s="969"/>
      <c r="H228" s="969"/>
      <c r="I228" s="969"/>
      <c r="J228" s="969"/>
      <c r="K228" s="635"/>
      <c r="L228" s="1106"/>
    </row>
    <row r="229" spans="1:17" ht="51.75" customHeight="1">
      <c r="A229" s="639"/>
      <c r="B229" s="640" t="str">
        <f>B9</f>
        <v>Cost of 1 external TA unit</v>
      </c>
      <c r="C229" s="641">
        <f>TA!F14</f>
        <v>18200</v>
      </c>
      <c r="G229" s="642">
        <f>C229</f>
        <v>18200</v>
      </c>
      <c r="H229" s="642">
        <f>G229</f>
        <v>18200</v>
      </c>
      <c r="I229" s="642">
        <f>H229</f>
        <v>18200</v>
      </c>
      <c r="J229" s="642">
        <f>I229</f>
        <v>18200</v>
      </c>
      <c r="K229" s="638"/>
      <c r="L229" s="1106"/>
      <c r="O229" s="1782"/>
      <c r="P229" s="1782"/>
      <c r="Q229" s="1782"/>
    </row>
    <row r="230" spans="1:17">
      <c r="A230" s="639"/>
      <c r="B230" s="654" t="s">
        <v>1444</v>
      </c>
      <c r="C230" s="636"/>
      <c r="G230" s="760">
        <v>2</v>
      </c>
      <c r="H230" s="760">
        <v>1</v>
      </c>
      <c r="I230" s="760">
        <v>1</v>
      </c>
      <c r="J230" s="760">
        <v>1</v>
      </c>
      <c r="K230" s="638"/>
      <c r="L230" s="1106"/>
    </row>
    <row r="231" spans="1:17">
      <c r="A231" s="647"/>
      <c r="B231" s="648" t="s">
        <v>1077</v>
      </c>
      <c r="C231" s="656"/>
      <c r="D231" s="1215"/>
      <c r="E231" s="1215"/>
      <c r="F231" s="1215"/>
      <c r="G231" s="650">
        <f>G229*G230</f>
        <v>36400</v>
      </c>
      <c r="H231" s="650">
        <f>H229*H230</f>
        <v>18200</v>
      </c>
      <c r="I231" s="650">
        <f>I229*I230</f>
        <v>18200</v>
      </c>
      <c r="J231" s="650">
        <f>J229*J230</f>
        <v>18200</v>
      </c>
      <c r="K231" s="651">
        <f>SUM(G231:I231)</f>
        <v>72800</v>
      </c>
      <c r="L231" s="1106">
        <f>SUM(G231:J231)</f>
        <v>91000</v>
      </c>
      <c r="M231" s="1446" t="s">
        <v>1933</v>
      </c>
      <c r="N231" s="1446"/>
    </row>
    <row r="232" spans="1:17">
      <c r="A232" s="614"/>
      <c r="B232" s="602"/>
      <c r="C232" s="546"/>
      <c r="D232" s="605"/>
      <c r="E232" s="605"/>
      <c r="F232" s="605"/>
      <c r="G232" s="605"/>
      <c r="H232" s="605"/>
      <c r="I232" s="605"/>
      <c r="J232" s="605"/>
      <c r="K232" s="605"/>
      <c r="L232" s="1106"/>
    </row>
    <row r="233" spans="1:17">
      <c r="A233" s="631" t="str">
        <f>'NSP Summary Budget (16-18)'!A32</f>
        <v>1.2.11</v>
      </c>
      <c r="B233" s="661" t="str">
        <f>'NSP Summary Budget (16-18)'!B32</f>
        <v>International training, strengthening NRL quality management system / support to ISO accreditation</v>
      </c>
      <c r="C233" s="633"/>
      <c r="D233" s="634"/>
      <c r="E233" s="634"/>
      <c r="F233" s="634"/>
      <c r="G233" s="969"/>
      <c r="H233" s="969"/>
      <c r="I233" s="969"/>
      <c r="J233" s="969"/>
      <c r="K233" s="635"/>
      <c r="L233" s="1106"/>
    </row>
    <row r="234" spans="1:17" ht="30">
      <c r="A234" s="639"/>
      <c r="B234" s="640" t="str">
        <f>B16</f>
        <v>Average cost of participation in international training, per person</v>
      </c>
      <c r="C234" s="641">
        <f>Training!F90</f>
        <v>4100</v>
      </c>
      <c r="D234" s="642">
        <f t="shared" ref="D234" si="95">C234</f>
        <v>4100</v>
      </c>
      <c r="E234" s="642">
        <f t="shared" ref="E234" si="96">D234</f>
        <v>4100</v>
      </c>
      <c r="F234" s="642">
        <f t="shared" ref="F234" si="97">E234</f>
        <v>4100</v>
      </c>
      <c r="G234" s="642">
        <f t="shared" ref="G234" si="98">F234</f>
        <v>4100</v>
      </c>
      <c r="H234" s="642">
        <f t="shared" ref="H234" si="99">G234</f>
        <v>4100</v>
      </c>
      <c r="I234" s="642">
        <f t="shared" ref="I234:J234" si="100">H234</f>
        <v>4100</v>
      </c>
      <c r="J234" s="642">
        <f t="shared" si="100"/>
        <v>4100</v>
      </c>
      <c r="K234" s="638"/>
      <c r="L234" s="1106"/>
      <c r="O234" s="1101"/>
    </row>
    <row r="235" spans="1:17">
      <c r="A235" s="639"/>
      <c r="B235" s="640" t="s">
        <v>1451</v>
      </c>
      <c r="C235" s="636"/>
      <c r="D235" s="637">
        <v>2</v>
      </c>
      <c r="E235" s="637">
        <v>2</v>
      </c>
      <c r="F235" s="637">
        <v>2</v>
      </c>
      <c r="G235" s="637">
        <v>2</v>
      </c>
      <c r="H235" s="637">
        <v>2</v>
      </c>
      <c r="I235" s="637">
        <v>2</v>
      </c>
      <c r="J235" s="637">
        <v>2</v>
      </c>
      <c r="K235" s="638"/>
      <c r="L235" s="1106"/>
    </row>
    <row r="236" spans="1:17">
      <c r="A236" s="647"/>
      <c r="B236" s="648" t="s">
        <v>1077</v>
      </c>
      <c r="C236" s="657"/>
      <c r="D236" s="650">
        <f>D234*D235</f>
        <v>8200</v>
      </c>
      <c r="E236" s="650">
        <f t="shared" ref="E236:J236" si="101">E234*E235</f>
        <v>8200</v>
      </c>
      <c r="F236" s="650">
        <f t="shared" si="101"/>
        <v>8200</v>
      </c>
      <c r="G236" s="650">
        <f t="shared" si="101"/>
        <v>8200</v>
      </c>
      <c r="H236" s="650">
        <f t="shared" si="101"/>
        <v>8200</v>
      </c>
      <c r="I236" s="650">
        <f t="shared" si="101"/>
        <v>8200</v>
      </c>
      <c r="J236" s="650">
        <f t="shared" si="101"/>
        <v>8200</v>
      </c>
      <c r="K236" s="651">
        <f>SUM(D236:F236)</f>
        <v>24600</v>
      </c>
      <c r="L236" s="1106">
        <f>SUM(G236:J236)</f>
        <v>32800</v>
      </c>
      <c r="M236" s="1446" t="s">
        <v>1933</v>
      </c>
      <c r="N236" s="1446"/>
    </row>
    <row r="237" spans="1:17">
      <c r="A237" s="614"/>
      <c r="B237" s="548"/>
      <c r="C237" s="546"/>
      <c r="D237" s="550"/>
      <c r="E237" s="550"/>
      <c r="F237" s="550"/>
      <c r="G237" s="550"/>
      <c r="H237" s="550"/>
      <c r="I237" s="550"/>
      <c r="J237" s="550"/>
      <c r="K237" s="550"/>
      <c r="L237" s="1106"/>
    </row>
    <row r="238" spans="1:17">
      <c r="A238" s="631" t="str">
        <f>'NSP Summary Budget (16-18)'!A33</f>
        <v>1.2.12</v>
      </c>
      <c r="B238" s="661" t="str">
        <f>'NSP Summary Budget (16-18)'!B33</f>
        <v>Training of staff, strengthening NRL quality management system / support to ISO accreditation</v>
      </c>
      <c r="C238" s="633"/>
      <c r="D238" s="634"/>
      <c r="E238" s="634"/>
      <c r="F238" s="634"/>
      <c r="G238" s="969"/>
      <c r="H238" s="969"/>
      <c r="I238" s="969"/>
      <c r="J238" s="969"/>
      <c r="K238" s="635"/>
      <c r="L238" s="1106"/>
    </row>
    <row r="239" spans="1:17" ht="30">
      <c r="A239" s="639"/>
      <c r="B239" s="640" t="str">
        <f>B14</f>
        <v>Cost of training at central level, with participation of international trainer</v>
      </c>
      <c r="C239" s="641">
        <f>Training!G121</f>
        <v>10100</v>
      </c>
      <c r="G239" s="642">
        <f>C239</f>
        <v>10100</v>
      </c>
      <c r="H239" s="642">
        <f t="shared" ref="H239" si="102">G239</f>
        <v>10100</v>
      </c>
      <c r="I239" s="642">
        <f t="shared" ref="I239" si="103">H239</f>
        <v>10100</v>
      </c>
      <c r="J239" s="642"/>
      <c r="K239" s="638"/>
      <c r="L239" s="1106"/>
    </row>
    <row r="240" spans="1:17">
      <c r="A240" s="639"/>
      <c r="B240" s="654" t="s">
        <v>1481</v>
      </c>
      <c r="C240" s="636"/>
      <c r="G240" s="637">
        <v>1</v>
      </c>
      <c r="H240" s="637">
        <v>1</v>
      </c>
      <c r="I240" s="637">
        <v>1</v>
      </c>
      <c r="J240" s="637">
        <v>0</v>
      </c>
      <c r="K240" s="638"/>
      <c r="L240" s="1106"/>
    </row>
    <row r="241" spans="1:15">
      <c r="A241" s="647"/>
      <c r="B241" s="648" t="s">
        <v>1077</v>
      </c>
      <c r="C241" s="657"/>
      <c r="D241" s="1215"/>
      <c r="E241" s="1215"/>
      <c r="F241" s="1215"/>
      <c r="G241" s="650">
        <f>G239*G240</f>
        <v>10100</v>
      </c>
      <c r="H241" s="650">
        <f t="shared" ref="H241:J241" si="104">H239*H240</f>
        <v>10100</v>
      </c>
      <c r="I241" s="650">
        <f t="shared" si="104"/>
        <v>10100</v>
      </c>
      <c r="J241" s="650">
        <f t="shared" si="104"/>
        <v>0</v>
      </c>
      <c r="K241" s="651">
        <f>SUM(D241:F241)</f>
        <v>0</v>
      </c>
      <c r="L241" s="1106">
        <f>SUM(G241:J241)</f>
        <v>30300</v>
      </c>
      <c r="M241" s="1446" t="s">
        <v>1933</v>
      </c>
      <c r="N241" s="1446"/>
    </row>
    <row r="242" spans="1:15">
      <c r="A242" s="614"/>
      <c r="B242" s="548"/>
      <c r="C242" s="546"/>
      <c r="D242" s="550"/>
      <c r="E242" s="550"/>
      <c r="F242" s="550"/>
      <c r="G242" s="550"/>
      <c r="H242" s="550"/>
      <c r="I242" s="550"/>
      <c r="J242" s="550"/>
      <c r="K242" s="550"/>
      <c r="L242" s="1106"/>
    </row>
    <row r="243" spans="1:15">
      <c r="A243" s="631" t="str">
        <f>'NSP Summary Budget (16-18)'!A34</f>
        <v>1.2.13</v>
      </c>
      <c r="B243" s="661" t="str">
        <f>'NSP Summary Budget (16-18)'!B34</f>
        <v>National consultants, strengthening NRL quality management system / support to ISO accreditation</v>
      </c>
      <c r="C243" s="633"/>
      <c r="D243" s="634"/>
      <c r="E243" s="634"/>
      <c r="F243" s="634"/>
      <c r="G243" s="969"/>
      <c r="H243" s="969"/>
      <c r="I243" s="969"/>
      <c r="J243" s="969"/>
      <c r="K243" s="635"/>
      <c r="L243" s="1106"/>
    </row>
    <row r="244" spans="1:15">
      <c r="A244" s="639"/>
      <c r="B244" s="654" t="s">
        <v>1079</v>
      </c>
      <c r="C244" s="636"/>
      <c r="G244" s="637">
        <f>1*6+1*6</f>
        <v>12</v>
      </c>
      <c r="H244" s="637">
        <f>1*6+1*6</f>
        <v>12</v>
      </c>
      <c r="I244" s="637">
        <f>1*6+1*0</f>
        <v>6</v>
      </c>
      <c r="J244" s="637"/>
      <c r="K244" s="638"/>
      <c r="L244" s="1106"/>
    </row>
    <row r="245" spans="1:15">
      <c r="A245" s="639"/>
      <c r="B245" s="654" t="str">
        <f>B10</f>
        <v>Average cost of national consultant per month (gross)</v>
      </c>
      <c r="C245" s="641">
        <f>C10</f>
        <v>600</v>
      </c>
      <c r="G245" s="642">
        <f>C245</f>
        <v>600</v>
      </c>
      <c r="H245" s="642">
        <f>G245</f>
        <v>600</v>
      </c>
      <c r="I245" s="642">
        <f>H245</f>
        <v>600</v>
      </c>
      <c r="J245" s="642"/>
      <c r="K245" s="638"/>
      <c r="L245" s="1106"/>
    </row>
    <row r="246" spans="1:15">
      <c r="A246" s="647"/>
      <c r="B246" s="648" t="s">
        <v>1077</v>
      </c>
      <c r="C246" s="657"/>
      <c r="D246" s="650">
        <f>D24</f>
        <v>0</v>
      </c>
      <c r="E246" s="650"/>
      <c r="F246" s="650"/>
      <c r="G246" s="650">
        <f>G244*G245</f>
        <v>7200</v>
      </c>
      <c r="H246" s="650">
        <f t="shared" ref="H246:I246" si="105">H244*H245</f>
        <v>7200</v>
      </c>
      <c r="I246" s="650">
        <f t="shared" si="105"/>
        <v>3600</v>
      </c>
      <c r="J246" s="650"/>
      <c r="K246" s="651">
        <f>SUM(D246:F246)</f>
        <v>0</v>
      </c>
      <c r="L246" s="1106">
        <f>SUM(G246:J246)</f>
        <v>18000</v>
      </c>
      <c r="M246" s="1492" t="s">
        <v>1933</v>
      </c>
    </row>
    <row r="247" spans="1:15">
      <c r="A247" s="614"/>
      <c r="B247" s="602"/>
      <c r="C247" s="546"/>
      <c r="D247" s="605"/>
      <c r="E247" s="605"/>
      <c r="F247" s="605"/>
      <c r="G247" s="605"/>
      <c r="H247" s="605"/>
      <c r="I247" s="605"/>
      <c r="J247" s="605"/>
      <c r="K247" s="605"/>
      <c r="L247" s="1106"/>
    </row>
    <row r="248" spans="1:15">
      <c r="A248" s="631" t="str">
        <f>'NSP Summary Budget (16-18)'!A35</f>
        <v>1.2.14</v>
      </c>
      <c r="B248" s="661" t="str">
        <f>'NSP Summary Budget (16-18)'!B35</f>
        <v>Environmental infection control measures (UVGI devices) for TB laboratories</v>
      </c>
      <c r="C248" s="633"/>
      <c r="D248" s="634"/>
      <c r="E248" s="634"/>
      <c r="F248" s="634"/>
      <c r="G248" s="969"/>
      <c r="H248" s="969"/>
      <c r="I248" s="969"/>
      <c r="J248" s="969"/>
      <c r="K248" s="635"/>
      <c r="L248" s="1106"/>
    </row>
    <row r="249" spans="1:15" ht="68.25" customHeight="1">
      <c r="A249" s="639"/>
      <c r="B249" s="640" t="str">
        <f>B77</f>
        <v>Cost of upper-level UVGI lamp</v>
      </c>
      <c r="C249" s="641">
        <f>C77</f>
        <v>250</v>
      </c>
      <c r="D249" s="642">
        <f>C249</f>
        <v>250</v>
      </c>
      <c r="E249" s="642">
        <f>D249</f>
        <v>250</v>
      </c>
      <c r="F249" s="642">
        <f>E249</f>
        <v>250</v>
      </c>
      <c r="G249" s="642"/>
      <c r="H249" s="642"/>
      <c r="I249" s="642"/>
      <c r="J249" s="642"/>
      <c r="K249" s="638"/>
      <c r="L249" s="1106"/>
      <c r="O249" s="1101"/>
    </row>
    <row r="250" spans="1:15">
      <c r="A250" s="639"/>
      <c r="B250" s="654" t="s">
        <v>1096</v>
      </c>
      <c r="C250" s="636"/>
      <c r="D250" s="637">
        <f>1*20+2*0+6*0+1*2</f>
        <v>22</v>
      </c>
      <c r="E250" s="637">
        <v>0</v>
      </c>
      <c r="F250" s="637">
        <f>2*4+6*2</f>
        <v>20</v>
      </c>
      <c r="G250" s="637"/>
      <c r="H250" s="637"/>
      <c r="I250" s="637"/>
      <c r="J250" s="637"/>
      <c r="K250" s="638"/>
      <c r="L250" s="1106"/>
    </row>
    <row r="251" spans="1:15">
      <c r="A251" s="647"/>
      <c r="B251" s="648" t="s">
        <v>1077</v>
      </c>
      <c r="C251" s="657"/>
      <c r="D251" s="650">
        <f>D249*D250</f>
        <v>5500</v>
      </c>
      <c r="E251" s="650">
        <f t="shared" ref="E251:F251" si="106">E249*E250</f>
        <v>0</v>
      </c>
      <c r="F251" s="650">
        <f t="shared" si="106"/>
        <v>5000</v>
      </c>
      <c r="G251" s="650"/>
      <c r="H251" s="650"/>
      <c r="I251" s="650"/>
      <c r="J251" s="650"/>
      <c r="K251" s="651">
        <f>SUM(D251:F251)</f>
        <v>10500</v>
      </c>
      <c r="L251" s="1106">
        <f>SUM(G251:J251)</f>
        <v>0</v>
      </c>
    </row>
    <row r="252" spans="1:15">
      <c r="A252" s="614"/>
      <c r="B252" s="548"/>
      <c r="C252" s="546"/>
      <c r="D252" s="550"/>
      <c r="E252" s="550"/>
      <c r="F252" s="550"/>
      <c r="G252" s="550"/>
      <c r="H252" s="550"/>
      <c r="I252" s="550"/>
      <c r="J252" s="550"/>
      <c r="K252" s="550"/>
      <c r="L252" s="1106"/>
    </row>
    <row r="253" spans="1:15">
      <c r="A253" s="631" t="str">
        <f>'NSP Summary Budget (16-18)'!A36</f>
        <v>1.2.15</v>
      </c>
      <c r="B253" s="661" t="str">
        <f>'NSP Summary Budget (16-18)'!B36</f>
        <v>Individual infection control measures (respirators) for TB laboratories</v>
      </c>
      <c r="C253" s="633"/>
      <c r="D253" s="634"/>
      <c r="E253" s="634"/>
      <c r="F253" s="634"/>
      <c r="G253" s="969"/>
      <c r="H253" s="969"/>
      <c r="I253" s="969"/>
      <c r="J253" s="969"/>
      <c r="K253" s="635"/>
      <c r="L253" s="1106"/>
    </row>
    <row r="254" spans="1:15">
      <c r="A254" s="639"/>
      <c r="B254" s="640" t="str">
        <f>B78</f>
        <v>Cost of N95/FFP-2 respirator</v>
      </c>
      <c r="C254" s="669">
        <f>C78</f>
        <v>2</v>
      </c>
      <c r="D254" s="670">
        <f>C254</f>
        <v>2</v>
      </c>
      <c r="E254" s="670">
        <f>D254</f>
        <v>2</v>
      </c>
      <c r="F254" s="670">
        <f>E254</f>
        <v>2</v>
      </c>
      <c r="G254" s="670">
        <v>2</v>
      </c>
      <c r="H254" s="670">
        <v>2</v>
      </c>
      <c r="I254" s="670">
        <v>2</v>
      </c>
      <c r="J254" s="670">
        <v>2</v>
      </c>
      <c r="K254" s="638"/>
      <c r="L254" s="1106"/>
    </row>
    <row r="255" spans="1:15">
      <c r="A255" s="639"/>
      <c r="B255" s="654" t="s">
        <v>1097</v>
      </c>
      <c r="C255" s="641"/>
      <c r="D255" s="642">
        <f>(1*10+2*4+6*2+1*3)*48*1</f>
        <v>1584</v>
      </c>
      <c r="E255" s="642">
        <f t="shared" ref="E255:J255" si="107">(1*10+2*4+6*2+1*3)*48*1</f>
        <v>1584</v>
      </c>
      <c r="F255" s="642">
        <f t="shared" si="107"/>
        <v>1584</v>
      </c>
      <c r="G255" s="642">
        <f t="shared" si="107"/>
        <v>1584</v>
      </c>
      <c r="H255" s="642">
        <f t="shared" si="107"/>
        <v>1584</v>
      </c>
      <c r="I255" s="642">
        <f t="shared" si="107"/>
        <v>1584</v>
      </c>
      <c r="J255" s="642">
        <f t="shared" si="107"/>
        <v>1584</v>
      </c>
      <c r="K255" s="638"/>
      <c r="L255" s="1106"/>
    </row>
    <row r="256" spans="1:15">
      <c r="A256" s="647"/>
      <c r="B256" s="648" t="s">
        <v>1077</v>
      </c>
      <c r="C256" s="657"/>
      <c r="D256" s="650">
        <f>D254*D255</f>
        <v>3168</v>
      </c>
      <c r="E256" s="650">
        <f t="shared" ref="E256:J256" si="108">E254*E255</f>
        <v>3168</v>
      </c>
      <c r="F256" s="650">
        <f t="shared" si="108"/>
        <v>3168</v>
      </c>
      <c r="G256" s="650">
        <f t="shared" si="108"/>
        <v>3168</v>
      </c>
      <c r="H256" s="650">
        <f t="shared" si="108"/>
        <v>3168</v>
      </c>
      <c r="I256" s="650">
        <f t="shared" si="108"/>
        <v>3168</v>
      </c>
      <c r="J256" s="650">
        <f t="shared" si="108"/>
        <v>3168</v>
      </c>
      <c r="K256" s="651">
        <f>SUM(D256:F256)</f>
        <v>9504</v>
      </c>
      <c r="L256" s="1106">
        <f>SUM(G256:J256)</f>
        <v>12672</v>
      </c>
      <c r="N256" s="1492" t="s">
        <v>1934</v>
      </c>
    </row>
    <row r="257" spans="1:15">
      <c r="A257" s="614"/>
      <c r="B257" s="548"/>
      <c r="C257" s="546"/>
      <c r="D257" s="550"/>
      <c r="E257" s="550"/>
      <c r="F257" s="550"/>
      <c r="G257" s="550"/>
      <c r="H257" s="550"/>
      <c r="I257" s="550"/>
      <c r="J257" s="550"/>
      <c r="K257" s="550"/>
      <c r="L257" s="1106"/>
    </row>
    <row r="258" spans="1:15">
      <c r="A258" s="631" t="str">
        <f>'NSP Summary Budget (16-18)'!A37</f>
        <v>1.2.16</v>
      </c>
      <c r="B258" s="661" t="str">
        <f>'NSP Summary Budget (16-18)'!B37</f>
        <v>Training of NRL staff in advanced laboratory techniques abroad</v>
      </c>
      <c r="C258" s="633"/>
      <c r="D258" s="634"/>
      <c r="E258" s="634"/>
      <c r="F258" s="634"/>
      <c r="G258" s="969"/>
      <c r="H258" s="969"/>
      <c r="I258" s="969"/>
      <c r="J258" s="969"/>
      <c r="K258" s="635"/>
      <c r="L258" s="1106"/>
    </row>
    <row r="259" spans="1:15" ht="30">
      <c r="A259" s="639"/>
      <c r="B259" s="640" t="str">
        <f>B16</f>
        <v>Average cost of participation in international training, per person</v>
      </c>
      <c r="C259" s="641">
        <f>Training!F135</f>
        <v>4900</v>
      </c>
      <c r="D259" s="642">
        <f t="shared" ref="D259" si="109">C259</f>
        <v>4900</v>
      </c>
      <c r="E259" s="642">
        <f t="shared" ref="E259" si="110">D259</f>
        <v>4900</v>
      </c>
      <c r="F259" s="642">
        <f t="shared" ref="F259" si="111">E259</f>
        <v>4900</v>
      </c>
      <c r="G259" s="642">
        <f t="shared" ref="G259" si="112">F259</f>
        <v>4900</v>
      </c>
      <c r="H259" s="642">
        <f t="shared" ref="H259" si="113">G259</f>
        <v>4900</v>
      </c>
      <c r="I259" s="642">
        <f t="shared" ref="I259" si="114">H259</f>
        <v>4900</v>
      </c>
      <c r="J259" s="642">
        <f t="shared" ref="J259" si="115">I259</f>
        <v>4900</v>
      </c>
      <c r="K259" s="638"/>
      <c r="L259" s="1106"/>
    </row>
    <row r="260" spans="1:15">
      <c r="A260" s="639"/>
      <c r="B260" s="640" t="s">
        <v>1451</v>
      </c>
      <c r="C260" s="636"/>
      <c r="D260" s="637">
        <v>2</v>
      </c>
      <c r="E260" s="637">
        <v>2</v>
      </c>
      <c r="F260" s="637">
        <v>4</v>
      </c>
      <c r="G260" s="1209">
        <v>2</v>
      </c>
      <c r="H260" s="1209">
        <v>2</v>
      </c>
      <c r="I260" s="1209">
        <v>2</v>
      </c>
      <c r="J260" s="1209">
        <v>2</v>
      </c>
      <c r="K260" s="638"/>
      <c r="L260" s="1106"/>
    </row>
    <row r="261" spans="1:15">
      <c r="A261" s="647"/>
      <c r="B261" s="648" t="s">
        <v>1077</v>
      </c>
      <c r="C261" s="657"/>
      <c r="D261" s="650">
        <f>D259*D260</f>
        <v>9800</v>
      </c>
      <c r="E261" s="650">
        <f t="shared" ref="E261:J261" si="116">E259*E260</f>
        <v>9800</v>
      </c>
      <c r="F261" s="650">
        <f t="shared" si="116"/>
        <v>19600</v>
      </c>
      <c r="G261" s="650">
        <f t="shared" si="116"/>
        <v>9800</v>
      </c>
      <c r="H261" s="650">
        <f t="shared" si="116"/>
        <v>9800</v>
      </c>
      <c r="I261" s="650">
        <f t="shared" si="116"/>
        <v>9800</v>
      </c>
      <c r="J261" s="650">
        <f t="shared" si="116"/>
        <v>9800</v>
      </c>
      <c r="K261" s="651">
        <f>SUM(D261:F261)</f>
        <v>39200</v>
      </c>
      <c r="L261" s="1106">
        <f>SUM(G261:J261)</f>
        <v>39200</v>
      </c>
      <c r="M261" s="1492" t="s">
        <v>1933</v>
      </c>
    </row>
    <row r="262" spans="1:15">
      <c r="A262" s="611"/>
      <c r="B262" s="548"/>
      <c r="C262" s="546"/>
      <c r="D262" s="550"/>
      <c r="E262" s="550"/>
      <c r="F262" s="550"/>
      <c r="G262" s="550"/>
      <c r="H262" s="550"/>
      <c r="I262" s="550"/>
      <c r="J262" s="550"/>
      <c r="K262" s="550"/>
      <c r="L262" s="1106"/>
    </row>
    <row r="263" spans="1:15">
      <c r="A263" s="631" t="str">
        <f>'NSP Summary Budget (16-18)'!A38</f>
        <v>1.2.17</v>
      </c>
      <c r="B263" s="661" t="str">
        <f>'NSP Summary Budget (16-18)'!B38</f>
        <v>Genotyping equipment for NRL</v>
      </c>
      <c r="C263" s="633"/>
      <c r="D263" s="634"/>
      <c r="E263" s="634"/>
      <c r="F263" s="634"/>
      <c r="G263" s="969"/>
      <c r="H263" s="969"/>
      <c r="I263" s="969"/>
      <c r="J263" s="969"/>
      <c r="K263" s="635"/>
      <c r="L263" s="1106"/>
    </row>
    <row r="264" spans="1:15">
      <c r="A264" s="639"/>
      <c r="B264" s="640" t="str">
        <f>B41</f>
        <v>Cost of genotyping equipment for NRL</v>
      </c>
      <c r="C264" s="641">
        <f>C41</f>
        <v>650000</v>
      </c>
      <c r="D264" s="642">
        <f>C264</f>
        <v>650000</v>
      </c>
      <c r="E264" s="642">
        <f>D264</f>
        <v>650000</v>
      </c>
      <c r="F264" s="642">
        <f>E264</f>
        <v>650000</v>
      </c>
      <c r="G264" s="642"/>
      <c r="H264" s="642"/>
      <c r="I264" s="642"/>
      <c r="J264" s="642"/>
      <c r="K264" s="638"/>
      <c r="L264" s="1106"/>
      <c r="O264" s="1217"/>
    </row>
    <row r="265" spans="1:15">
      <c r="A265" s="639"/>
      <c r="B265" s="671" t="s">
        <v>1089</v>
      </c>
      <c r="C265" s="641"/>
      <c r="D265" s="642">
        <v>0</v>
      </c>
      <c r="E265" s="642">
        <v>1</v>
      </c>
      <c r="F265" s="642">
        <v>0</v>
      </c>
      <c r="G265" s="642"/>
      <c r="H265" s="642"/>
      <c r="I265" s="642"/>
      <c r="J265" s="642"/>
      <c r="K265" s="638"/>
      <c r="L265" s="1106"/>
    </row>
    <row r="266" spans="1:15">
      <c r="A266" s="647"/>
      <c r="B266" s="648" t="s">
        <v>1077</v>
      </c>
      <c r="C266" s="657"/>
      <c r="D266" s="650">
        <f>D264*D265</f>
        <v>0</v>
      </c>
      <c r="E266" s="650">
        <f t="shared" ref="E266:F266" si="117">E264*E265</f>
        <v>650000</v>
      </c>
      <c r="F266" s="650">
        <f t="shared" si="117"/>
        <v>0</v>
      </c>
      <c r="G266" s="650"/>
      <c r="H266" s="650"/>
      <c r="I266" s="650"/>
      <c r="J266" s="650"/>
      <c r="K266" s="651">
        <f>SUM(D266:F266)</f>
        <v>650000</v>
      </c>
      <c r="L266" s="1106">
        <f>SUM(G266:J266)</f>
        <v>0</v>
      </c>
    </row>
    <row r="267" spans="1:15">
      <c r="A267" s="614"/>
      <c r="B267" s="548"/>
      <c r="C267" s="546"/>
      <c r="D267" s="550"/>
      <c r="E267" s="550"/>
      <c r="F267" s="550"/>
      <c r="G267" s="550"/>
      <c r="H267" s="550"/>
      <c r="I267" s="550"/>
      <c r="J267" s="550"/>
      <c r="K267" s="550"/>
      <c r="L267" s="1106"/>
    </row>
    <row r="268" spans="1:15" s="953" customFormat="1">
      <c r="A268" s="949" t="str">
        <f>'NSP Summary Budget (16-18)'!A39</f>
        <v>1.2.18</v>
      </c>
      <c r="B268" s="960" t="str">
        <f>'NSP Summary Budget (16-18)'!B39</f>
        <v>Genotyping tests at NRL</v>
      </c>
      <c r="C268" s="950"/>
      <c r="D268" s="951"/>
      <c r="E268" s="951"/>
      <c r="F268" s="951"/>
      <c r="G268" s="951"/>
      <c r="H268" s="951"/>
      <c r="I268" s="951"/>
      <c r="J268" s="951"/>
      <c r="K268" s="952"/>
      <c r="L268" s="1106"/>
    </row>
    <row r="269" spans="1:15" s="953" customFormat="1">
      <c r="A269" s="954"/>
      <c r="B269" s="955" t="s">
        <v>1783</v>
      </c>
      <c r="C269" s="641"/>
      <c r="D269" s="956">
        <f>CALCULATIONS!F57</f>
        <v>1569.7799999999997</v>
      </c>
      <c r="E269" s="956">
        <f>CALCULATIONS!G57</f>
        <v>1431.0360000000001</v>
      </c>
      <c r="F269" s="956">
        <f>CALCULATIONS!H57</f>
        <v>1364.58</v>
      </c>
      <c r="G269" s="1207">
        <f>CALCULATIONS!I57</f>
        <v>1304.3609999999999</v>
      </c>
      <c r="H269" s="1207">
        <f>CALCULATIONS!J57</f>
        <v>1245.204</v>
      </c>
      <c r="I269" s="1207">
        <f>CALCULATIONS!K57</f>
        <v>1207.7729999999999</v>
      </c>
      <c r="J269" s="1207">
        <f>CALCULATIONS!L57</f>
        <v>1178.973</v>
      </c>
      <c r="K269" s="957"/>
      <c r="L269" s="1106"/>
    </row>
    <row r="270" spans="1:15" s="953" customFormat="1">
      <c r="A270" s="954"/>
      <c r="B270" s="955" t="s">
        <v>1095</v>
      </c>
      <c r="C270" s="641"/>
      <c r="D270" s="646">
        <v>0</v>
      </c>
      <c r="E270" s="646">
        <v>0.15</v>
      </c>
      <c r="F270" s="646">
        <v>0.6</v>
      </c>
      <c r="G270" s="1205">
        <v>0.6</v>
      </c>
      <c r="H270" s="1205">
        <v>0.6</v>
      </c>
      <c r="I270" s="1205">
        <v>0.6</v>
      </c>
      <c r="J270" s="1205">
        <v>0.6</v>
      </c>
      <c r="K270" s="957"/>
      <c r="L270" s="1106"/>
      <c r="O270" s="1216"/>
    </row>
    <row r="271" spans="1:15" s="953" customFormat="1">
      <c r="A271" s="954"/>
      <c r="B271" s="955" t="s">
        <v>1784</v>
      </c>
      <c r="C271" s="641"/>
      <c r="D271" s="956">
        <f>ROUND(D269*D270,0)</f>
        <v>0</v>
      </c>
      <c r="E271" s="956">
        <f t="shared" ref="E271:J271" si="118">ROUND(E269*E270,0)</f>
        <v>215</v>
      </c>
      <c r="F271" s="956">
        <f t="shared" si="118"/>
        <v>819</v>
      </c>
      <c r="G271" s="1207">
        <f t="shared" si="118"/>
        <v>783</v>
      </c>
      <c r="H271" s="1207">
        <f t="shared" si="118"/>
        <v>747</v>
      </c>
      <c r="I271" s="1207">
        <f t="shared" si="118"/>
        <v>725</v>
      </c>
      <c r="J271" s="1207">
        <f t="shared" si="118"/>
        <v>707</v>
      </c>
      <c r="K271" s="957"/>
      <c r="L271" s="1106"/>
    </row>
    <row r="272" spans="1:15" s="953" customFormat="1" ht="30">
      <c r="A272" s="954"/>
      <c r="B272" s="955" t="str">
        <f>B42</f>
        <v>Cost of 1 set of genotyping tests at NRL (spolygotyping + MIRU)</v>
      </c>
      <c r="C272" s="641">
        <f>C42</f>
        <v>200</v>
      </c>
      <c r="D272" s="956">
        <f>C272</f>
        <v>200</v>
      </c>
      <c r="E272" s="956">
        <f>D272</f>
        <v>200</v>
      </c>
      <c r="F272" s="956">
        <f>E272</f>
        <v>200</v>
      </c>
      <c r="G272" s="1207">
        <f t="shared" ref="G272:J272" si="119">F272</f>
        <v>200</v>
      </c>
      <c r="H272" s="1207">
        <f t="shared" si="119"/>
        <v>200</v>
      </c>
      <c r="I272" s="1207">
        <f t="shared" si="119"/>
        <v>200</v>
      </c>
      <c r="J272" s="1207">
        <f t="shared" si="119"/>
        <v>200</v>
      </c>
      <c r="K272" s="957"/>
      <c r="L272" s="1106"/>
    </row>
    <row r="273" spans="1:18" s="953" customFormat="1">
      <c r="A273" s="958"/>
      <c r="B273" s="648" t="s">
        <v>1077</v>
      </c>
      <c r="C273" s="657"/>
      <c r="D273" s="650">
        <f>D271*D272</f>
        <v>0</v>
      </c>
      <c r="E273" s="650">
        <f t="shared" ref="E273:J273" si="120">E271*E272</f>
        <v>43000</v>
      </c>
      <c r="F273" s="650">
        <f t="shared" si="120"/>
        <v>163800</v>
      </c>
      <c r="G273" s="650">
        <f t="shared" si="120"/>
        <v>156600</v>
      </c>
      <c r="H273" s="650">
        <f t="shared" si="120"/>
        <v>149400</v>
      </c>
      <c r="I273" s="650">
        <f t="shared" si="120"/>
        <v>145000</v>
      </c>
      <c r="J273" s="650">
        <f t="shared" si="120"/>
        <v>141400</v>
      </c>
      <c r="K273" s="651">
        <f>SUM(D273:F273)</f>
        <v>206800</v>
      </c>
      <c r="L273" s="1106">
        <f>SUM(G273:J273)</f>
        <v>592400</v>
      </c>
      <c r="M273" s="1492" t="s">
        <v>1933</v>
      </c>
      <c r="N273" s="1492" t="s">
        <v>1934</v>
      </c>
    </row>
    <row r="274" spans="1:18" s="953" customFormat="1">
      <c r="A274" s="959"/>
      <c r="B274" s="548"/>
      <c r="C274" s="546"/>
      <c r="D274" s="550"/>
      <c r="E274" s="550"/>
      <c r="F274" s="550"/>
      <c r="G274" s="550"/>
      <c r="H274" s="550"/>
      <c r="I274" s="550"/>
      <c r="J274" s="550"/>
      <c r="K274" s="550"/>
      <c r="L274" s="1106"/>
    </row>
    <row r="275" spans="1:18">
      <c r="A275" s="652" t="str">
        <f>'NSP Summary Budget (16-18)'!A40</f>
        <v>1.2.19</v>
      </c>
      <c r="B275" s="632" t="str">
        <f>'NSP Summary Budget (16-18)'!B40</f>
        <v>Procurement of other diagnostic equipment (NCTLD)</v>
      </c>
      <c r="C275" s="633"/>
      <c r="D275" s="634"/>
      <c r="E275" s="634"/>
      <c r="F275" s="634"/>
      <c r="G275" s="969"/>
      <c r="H275" s="969"/>
      <c r="I275" s="969"/>
      <c r="J275" s="969"/>
      <c r="K275" s="635"/>
      <c r="L275" s="1106"/>
      <c r="Q275" s="1378" t="s">
        <v>1910</v>
      </c>
      <c r="R275" s="1378" t="s">
        <v>1909</v>
      </c>
    </row>
    <row r="276" spans="1:18" ht="60">
      <c r="A276" s="653"/>
      <c r="B276" s="1011" t="s">
        <v>1817</v>
      </c>
      <c r="C276" s="641">
        <f>SUM(C43,C45,C46,C47,C48)</f>
        <v>575000</v>
      </c>
      <c r="D276" s="642">
        <f t="shared" ref="D276" si="121">C276</f>
        <v>575000</v>
      </c>
      <c r="E276" s="642">
        <f t="shared" ref="E276" si="122">D276</f>
        <v>575000</v>
      </c>
      <c r="F276" s="642">
        <f t="shared" ref="F276" si="123">E276</f>
        <v>575000</v>
      </c>
      <c r="G276" s="1207"/>
      <c r="H276" s="642"/>
      <c r="I276" s="642"/>
      <c r="J276" s="642"/>
      <c r="K276" s="638"/>
      <c r="L276" s="1106"/>
      <c r="O276" s="1378" t="s">
        <v>1906</v>
      </c>
      <c r="P276" s="1378" t="s">
        <v>1907</v>
      </c>
      <c r="Q276" s="606">
        <v>1</v>
      </c>
      <c r="R276" s="1379">
        <v>50000</v>
      </c>
    </row>
    <row r="277" spans="1:18">
      <c r="A277" s="653"/>
      <c r="B277" s="1011" t="s">
        <v>1089</v>
      </c>
      <c r="C277" s="641"/>
      <c r="D277" s="642">
        <v>0</v>
      </c>
      <c r="E277" s="642">
        <v>1</v>
      </c>
      <c r="F277" s="642">
        <v>0</v>
      </c>
      <c r="G277" s="642"/>
      <c r="H277" s="642"/>
      <c r="I277" s="642"/>
      <c r="J277" s="642"/>
      <c r="K277" s="638"/>
      <c r="L277" s="1106"/>
      <c r="P277" s="1378" t="s">
        <v>1908</v>
      </c>
      <c r="Q277" s="606">
        <v>2</v>
      </c>
      <c r="R277" s="1379">
        <v>14000</v>
      </c>
    </row>
    <row r="278" spans="1:18">
      <c r="A278" s="655"/>
      <c r="B278" s="648" t="s">
        <v>1077</v>
      </c>
      <c r="C278" s="657"/>
      <c r="D278" s="650">
        <f>D276*D277</f>
        <v>0</v>
      </c>
      <c r="E278" s="650">
        <f t="shared" ref="E278:F278" si="124">E276*E277</f>
        <v>575000</v>
      </c>
      <c r="F278" s="650">
        <f t="shared" si="124"/>
        <v>0</v>
      </c>
      <c r="G278" s="650">
        <f>G276*G277</f>
        <v>0</v>
      </c>
      <c r="H278" s="650">
        <f t="shared" ref="H278:J278" si="125">H276*H277</f>
        <v>0</v>
      </c>
      <c r="I278" s="650">
        <f t="shared" si="125"/>
        <v>0</v>
      </c>
      <c r="J278" s="650">
        <f t="shared" si="125"/>
        <v>0</v>
      </c>
      <c r="K278" s="651">
        <f>SUM(D278:F278)</f>
        <v>575000</v>
      </c>
      <c r="L278" s="1382">
        <f>SUM(G278:J278)</f>
        <v>0</v>
      </c>
      <c r="N278" s="1492" t="s">
        <v>1934</v>
      </c>
      <c r="P278" s="1378" t="s">
        <v>1911</v>
      </c>
      <c r="Q278" s="606">
        <v>2</v>
      </c>
      <c r="R278" s="1379">
        <v>80000</v>
      </c>
    </row>
    <row r="279" spans="1:18" ht="30">
      <c r="A279" s="611"/>
      <c r="B279" s="548"/>
      <c r="C279" s="546"/>
      <c r="D279" s="550"/>
      <c r="E279" s="550"/>
      <c r="F279" s="550"/>
      <c r="G279" s="550"/>
      <c r="H279" s="550"/>
      <c r="I279" s="550"/>
      <c r="J279" s="550"/>
      <c r="K279" s="550"/>
      <c r="L279" s="1106"/>
      <c r="P279" s="1378" t="s">
        <v>1912</v>
      </c>
      <c r="Q279" s="606">
        <v>2</v>
      </c>
      <c r="R279" s="1379">
        <v>25000</v>
      </c>
    </row>
    <row r="280" spans="1:18" ht="31.15" customHeight="1">
      <c r="A280" s="589">
        <f>'NSP Summary Budget (16-18)'!A41</f>
        <v>1.3</v>
      </c>
      <c r="B280" s="1783" t="str">
        <f>'NSP Summary Budget (16-18)'!B41</f>
        <v>Contacts’ investigation, screening and active case finding for TB among high-risk groups including people living with HIV</v>
      </c>
      <c r="C280" s="1783"/>
      <c r="D280" s="590"/>
      <c r="E280" s="590"/>
      <c r="F280" s="590"/>
      <c r="G280" s="590"/>
      <c r="H280" s="590"/>
      <c r="I280" s="590"/>
      <c r="J280" s="590"/>
      <c r="K280" s="590"/>
      <c r="L280" s="1487">
        <f>SUM(L282:L300)</f>
        <v>352200</v>
      </c>
      <c r="P280" s="1378" t="s">
        <v>1913</v>
      </c>
      <c r="Q280" s="606">
        <v>2</v>
      </c>
      <c r="R280" s="1379">
        <v>25000</v>
      </c>
    </row>
    <row r="281" spans="1:18">
      <c r="A281" s="611"/>
      <c r="B281" s="548"/>
      <c r="C281" s="546"/>
      <c r="D281" s="550"/>
      <c r="E281" s="550"/>
      <c r="F281" s="550"/>
      <c r="G281" s="550"/>
      <c r="H281" s="550"/>
      <c r="I281" s="550"/>
      <c r="J281" s="550"/>
      <c r="K281" s="550"/>
      <c r="L281" s="1106"/>
      <c r="P281" s="1378" t="s">
        <v>1914</v>
      </c>
      <c r="Q281" s="606">
        <v>1</v>
      </c>
      <c r="R281" s="1379">
        <v>10000</v>
      </c>
    </row>
    <row r="282" spans="1:18" ht="30">
      <c r="A282" s="631" t="str">
        <f>'NSP Summary Budget (16-18)'!A42</f>
        <v>1.3.1</v>
      </c>
      <c r="B282" s="661" t="str">
        <f>'NSP Summary Budget (16-18)'!B42</f>
        <v>National consultants, development of national TB screening guidelines</v>
      </c>
      <c r="C282" s="633"/>
      <c r="D282" s="634"/>
      <c r="E282" s="634"/>
      <c r="F282" s="634"/>
      <c r="G282" s="969"/>
      <c r="H282" s="969"/>
      <c r="I282" s="969"/>
      <c r="J282" s="969"/>
      <c r="K282" s="635"/>
      <c r="L282" s="1106"/>
      <c r="P282" s="1378" t="s">
        <v>1915</v>
      </c>
      <c r="Q282" s="606">
        <v>1</v>
      </c>
      <c r="R282" s="1380">
        <v>150000</v>
      </c>
    </row>
    <row r="283" spans="1:18" ht="30">
      <c r="A283" s="639"/>
      <c r="B283" s="654" t="s">
        <v>1079</v>
      </c>
      <c r="C283" s="636"/>
      <c r="D283" s="637">
        <f>1*3+1*0</f>
        <v>3</v>
      </c>
      <c r="E283" s="637">
        <f>1*6+1*6</f>
        <v>12</v>
      </c>
      <c r="F283" s="637">
        <f>1*0+1*0</f>
        <v>0</v>
      </c>
      <c r="G283" s="637"/>
      <c r="H283" s="637"/>
      <c r="I283" s="637">
        <v>12</v>
      </c>
      <c r="J283" s="637"/>
      <c r="K283" s="638"/>
      <c r="L283" s="1106"/>
      <c r="O283" s="1378" t="s">
        <v>1919</v>
      </c>
      <c r="P283" s="1378" t="s">
        <v>1916</v>
      </c>
      <c r="Q283" s="606">
        <v>1</v>
      </c>
      <c r="R283" s="1381">
        <v>10000</v>
      </c>
    </row>
    <row r="284" spans="1:18" ht="30">
      <c r="A284" s="639"/>
      <c r="B284" s="654" t="str">
        <f>B10</f>
        <v>Average cost of national consultant per month (gross)</v>
      </c>
      <c r="C284" s="641">
        <f>C10</f>
        <v>600</v>
      </c>
      <c r="D284" s="642">
        <f>C284</f>
        <v>600</v>
      </c>
      <c r="E284" s="642">
        <f>D284</f>
        <v>600</v>
      </c>
      <c r="F284" s="642">
        <f>E284</f>
        <v>600</v>
      </c>
      <c r="G284" s="642"/>
      <c r="H284" s="642"/>
      <c r="I284" s="642">
        <v>600</v>
      </c>
      <c r="J284" s="642"/>
      <c r="K284" s="638"/>
      <c r="L284" s="1106"/>
      <c r="P284" s="1378" t="s">
        <v>1917</v>
      </c>
      <c r="Q284" s="606">
        <v>1</v>
      </c>
      <c r="R284" s="1381">
        <v>10000</v>
      </c>
    </row>
    <row r="285" spans="1:18">
      <c r="A285" s="647"/>
      <c r="B285" s="648" t="s">
        <v>1077</v>
      </c>
      <c r="C285" s="657"/>
      <c r="D285" s="650">
        <f>D283*D284</f>
        <v>1800</v>
      </c>
      <c r="E285" s="650">
        <f t="shared" ref="E285:F285" si="126">E283*E284</f>
        <v>7200</v>
      </c>
      <c r="F285" s="650">
        <f t="shared" si="126"/>
        <v>0</v>
      </c>
      <c r="G285" s="650"/>
      <c r="H285" s="650"/>
      <c r="I285" s="650">
        <f>I283*I284</f>
        <v>7200</v>
      </c>
      <c r="J285" s="650"/>
      <c r="K285" s="651">
        <f>SUM(D285:F285)</f>
        <v>9000</v>
      </c>
      <c r="L285" s="1106">
        <f>SUM(G285:J285)</f>
        <v>7200</v>
      </c>
      <c r="M285" s="1492" t="s">
        <v>1933</v>
      </c>
      <c r="P285" s="1378" t="s">
        <v>809</v>
      </c>
      <c r="R285" s="1380">
        <f>SUM(R276:R284)</f>
        <v>374000</v>
      </c>
    </row>
    <row r="286" spans="1:18" ht="30">
      <c r="A286" s="614"/>
      <c r="B286" s="602"/>
      <c r="C286" s="546"/>
      <c r="D286" s="605"/>
      <c r="E286" s="605"/>
      <c r="F286" s="605"/>
      <c r="G286" s="605"/>
      <c r="H286" s="605"/>
      <c r="I286" s="605"/>
      <c r="J286" s="605"/>
      <c r="K286" s="605"/>
      <c r="L286" s="1106"/>
      <c r="P286" s="1378" t="s">
        <v>1918</v>
      </c>
      <c r="Q286" s="1383">
        <v>0.3</v>
      </c>
      <c r="R286" s="1384">
        <f>R285*Q286</f>
        <v>112200</v>
      </c>
    </row>
    <row r="287" spans="1:18">
      <c r="A287" s="631" t="str">
        <f>'NSP Summary Budget (16-18)'!A43</f>
        <v>1.3.2</v>
      </c>
      <c r="B287" s="661" t="str">
        <f>'NSP Summary Budget (16-18)'!B43</f>
        <v>Medical supplies for TB screening</v>
      </c>
      <c r="C287" s="633"/>
      <c r="D287" s="634"/>
      <c r="E287" s="634"/>
      <c r="F287" s="634"/>
      <c r="G287" s="969"/>
      <c r="H287" s="969"/>
      <c r="I287" s="969"/>
      <c r="J287" s="969"/>
      <c r="K287" s="635"/>
      <c r="L287" s="1106"/>
      <c r="P287" s="1378" t="s">
        <v>4</v>
      </c>
      <c r="R287" s="1384">
        <f>R285+R286</f>
        <v>486200</v>
      </c>
    </row>
    <row r="288" spans="1:18" ht="30">
      <c r="A288" s="639"/>
      <c r="B288" s="640" t="str">
        <f>B49</f>
        <v>Annual cost of medical supplies for TB screening among risk groups</v>
      </c>
      <c r="C288" s="641">
        <f>C49</f>
        <v>60000</v>
      </c>
      <c r="D288" s="642">
        <f>C288</f>
        <v>60000</v>
      </c>
      <c r="E288" s="642">
        <f>D288</f>
        <v>60000</v>
      </c>
      <c r="F288" s="642">
        <f>E288</f>
        <v>60000</v>
      </c>
      <c r="G288" s="642">
        <f t="shared" ref="G288:J288" si="127">F288</f>
        <v>60000</v>
      </c>
      <c r="H288" s="642">
        <f t="shared" si="127"/>
        <v>60000</v>
      </c>
      <c r="I288" s="642">
        <f t="shared" si="127"/>
        <v>60000</v>
      </c>
      <c r="J288" s="642">
        <f t="shared" si="127"/>
        <v>60000</v>
      </c>
      <c r="K288" s="638"/>
      <c r="L288" s="1106"/>
    </row>
    <row r="289" spans="1:15">
      <c r="A289" s="639"/>
      <c r="B289" s="640" t="s">
        <v>1095</v>
      </c>
      <c r="C289" s="641"/>
      <c r="D289" s="646">
        <v>0</v>
      </c>
      <c r="E289" s="646">
        <v>0.2</v>
      </c>
      <c r="F289" s="1107">
        <v>0.8</v>
      </c>
      <c r="G289" s="646">
        <v>0.8</v>
      </c>
      <c r="H289" s="646">
        <v>0.8</v>
      </c>
      <c r="I289" s="646">
        <v>0.9</v>
      </c>
      <c r="J289" s="646">
        <v>0.95</v>
      </c>
      <c r="K289" s="638"/>
      <c r="L289" s="1106"/>
      <c r="O289" s="1101"/>
    </row>
    <row r="290" spans="1:15">
      <c r="A290" s="647"/>
      <c r="B290" s="648" t="s">
        <v>1077</v>
      </c>
      <c r="C290" s="656"/>
      <c r="D290" s="650">
        <f>D288*D289</f>
        <v>0</v>
      </c>
      <c r="E290" s="650">
        <f t="shared" ref="E290:J290" si="128">E288*E289</f>
        <v>12000</v>
      </c>
      <c r="F290" s="650">
        <f t="shared" si="128"/>
        <v>48000</v>
      </c>
      <c r="G290" s="650">
        <f t="shared" si="128"/>
        <v>48000</v>
      </c>
      <c r="H290" s="650">
        <f t="shared" si="128"/>
        <v>48000</v>
      </c>
      <c r="I290" s="650">
        <f t="shared" si="128"/>
        <v>54000</v>
      </c>
      <c r="J290" s="650">
        <f t="shared" si="128"/>
        <v>57000</v>
      </c>
      <c r="K290" s="651">
        <f>SUM(D290:F290)</f>
        <v>60000</v>
      </c>
      <c r="L290" s="1106">
        <f>SUM(G290:J290)</f>
        <v>207000</v>
      </c>
      <c r="M290" s="1492"/>
      <c r="N290" s="1492" t="s">
        <v>1934</v>
      </c>
    </row>
    <row r="291" spans="1:15">
      <c r="A291" s="614"/>
      <c r="B291" s="548"/>
      <c r="C291" s="549"/>
      <c r="D291" s="550"/>
      <c r="E291" s="550"/>
      <c r="F291" s="550"/>
      <c r="G291" s="550"/>
      <c r="H291" s="550"/>
      <c r="I291" s="550"/>
      <c r="J291" s="550"/>
      <c r="K291" s="550"/>
      <c r="L291" s="1106"/>
    </row>
    <row r="292" spans="1:15">
      <c r="A292" s="652" t="str">
        <f>'NSP Summary Budget (16-18)'!A44</f>
        <v>1.3.3</v>
      </c>
      <c r="B292" s="632" t="str">
        <f>'NSP Summary Budget (16-18)'!B44</f>
        <v>Mobile MMR equipment for active case finding</v>
      </c>
      <c r="C292" s="633"/>
      <c r="D292" s="634"/>
      <c r="E292" s="634"/>
      <c r="F292" s="634"/>
      <c r="G292" s="969"/>
      <c r="H292" s="969"/>
      <c r="I292" s="969"/>
      <c r="J292" s="969"/>
      <c r="K292" s="635"/>
      <c r="L292" s="1106"/>
    </row>
    <row r="293" spans="1:15">
      <c r="A293" s="653"/>
      <c r="B293" s="1011" t="str">
        <f>B44</f>
        <v>Cost of 1 mobile MMR unit (on vehicle)</v>
      </c>
      <c r="C293" s="641">
        <f>C44</f>
        <v>120000</v>
      </c>
      <c r="D293" s="642">
        <f t="shared" ref="D293" si="129">C293</f>
        <v>120000</v>
      </c>
      <c r="E293" s="642">
        <f t="shared" ref="E293" si="130">D293</f>
        <v>120000</v>
      </c>
      <c r="F293" s="642">
        <f t="shared" ref="F293" si="131">E293</f>
        <v>120000</v>
      </c>
      <c r="G293" s="642"/>
      <c r="H293" s="642"/>
      <c r="I293" s="642"/>
      <c r="J293" s="642"/>
      <c r="K293" s="638"/>
      <c r="L293" s="1106"/>
      <c r="O293" s="1216"/>
    </row>
    <row r="294" spans="1:15">
      <c r="A294" s="653"/>
      <c r="B294" s="1011" t="s">
        <v>1429</v>
      </c>
      <c r="C294" s="641"/>
      <c r="D294" s="642">
        <v>0</v>
      </c>
      <c r="E294" s="642">
        <v>1</v>
      </c>
      <c r="F294" s="642">
        <v>0</v>
      </c>
      <c r="G294" s="642"/>
      <c r="H294" s="642"/>
      <c r="I294" s="642"/>
      <c r="J294" s="642"/>
      <c r="K294" s="638"/>
      <c r="L294" s="1106"/>
    </row>
    <row r="295" spans="1:15">
      <c r="A295" s="655"/>
      <c r="B295" s="648" t="s">
        <v>1077</v>
      </c>
      <c r="C295" s="657"/>
      <c r="D295" s="650">
        <f>D293*D294</f>
        <v>0</v>
      </c>
      <c r="E295" s="650">
        <f t="shared" ref="E295:F295" si="132">E293*E294</f>
        <v>120000</v>
      </c>
      <c r="F295" s="650">
        <f t="shared" si="132"/>
        <v>0</v>
      </c>
      <c r="G295" s="650"/>
      <c r="H295" s="650"/>
      <c r="I295" s="650"/>
      <c r="J295" s="650"/>
      <c r="K295" s="651">
        <f>SUM(D295:F295)</f>
        <v>120000</v>
      </c>
      <c r="L295" s="1106">
        <f>SUM(G295:J295)</f>
        <v>0</v>
      </c>
    </row>
    <row r="296" spans="1:15">
      <c r="A296" s="611"/>
      <c r="B296" s="548"/>
      <c r="C296" s="546"/>
      <c r="D296" s="550"/>
      <c r="E296" s="550"/>
      <c r="F296" s="550"/>
      <c r="G296" s="550"/>
      <c r="H296" s="550"/>
      <c r="I296" s="550"/>
      <c r="J296" s="550"/>
      <c r="K296" s="550"/>
      <c r="L296" s="1106"/>
    </row>
    <row r="297" spans="1:15">
      <c r="A297" s="631" t="str">
        <f>'NSP Summary Budget (16-18)'!A45</f>
        <v>1.3.4</v>
      </c>
      <c r="B297" s="661" t="str">
        <f>'NSP Summary Budget (16-18)'!B45</f>
        <v>Motivation payments / performance bonuses to health care providers, related to screening for active TB in risk groups</v>
      </c>
      <c r="C297" s="633"/>
      <c r="D297" s="634"/>
      <c r="E297" s="634"/>
      <c r="F297" s="634"/>
      <c r="G297" s="969"/>
      <c r="H297" s="969"/>
      <c r="I297" s="969"/>
      <c r="J297" s="969"/>
      <c r="K297" s="635"/>
      <c r="L297" s="1106"/>
    </row>
    <row r="298" spans="1:15" ht="30">
      <c r="A298" s="639"/>
      <c r="B298" s="640" t="str">
        <f>B50</f>
        <v>Annual level of motivation payments to health care providers for TB screening among risk groups</v>
      </c>
      <c r="C298" s="641">
        <f>C50</f>
        <v>40000</v>
      </c>
      <c r="D298" s="642">
        <f>C298</f>
        <v>40000</v>
      </c>
      <c r="E298" s="642">
        <f>D298</f>
        <v>40000</v>
      </c>
      <c r="F298" s="642">
        <f>E298</f>
        <v>40000</v>
      </c>
      <c r="G298" s="642">
        <f t="shared" ref="G298:J298" si="133">F298</f>
        <v>40000</v>
      </c>
      <c r="H298" s="642">
        <f t="shared" si="133"/>
        <v>40000</v>
      </c>
      <c r="I298" s="642">
        <f t="shared" si="133"/>
        <v>40000</v>
      </c>
      <c r="J298" s="642">
        <f t="shared" si="133"/>
        <v>40000</v>
      </c>
      <c r="K298" s="638"/>
      <c r="L298" s="1106"/>
    </row>
    <row r="299" spans="1:15">
      <c r="A299" s="639"/>
      <c r="B299" s="640" t="s">
        <v>1095</v>
      </c>
      <c r="C299" s="641"/>
      <c r="D299" s="646">
        <v>0</v>
      </c>
      <c r="E299" s="646">
        <v>0.2</v>
      </c>
      <c r="F299" s="646">
        <v>0.8</v>
      </c>
      <c r="G299" s="1205">
        <v>0.8</v>
      </c>
      <c r="H299" s="1205">
        <v>0.8</v>
      </c>
      <c r="I299" s="1205">
        <v>0.9</v>
      </c>
      <c r="J299" s="1205">
        <v>0.95</v>
      </c>
      <c r="K299" s="638"/>
      <c r="L299" s="1106"/>
    </row>
    <row r="300" spans="1:15">
      <c r="A300" s="647"/>
      <c r="B300" s="648" t="s">
        <v>1077</v>
      </c>
      <c r="C300" s="656"/>
      <c r="D300" s="650">
        <f>D298*D299</f>
        <v>0</v>
      </c>
      <c r="E300" s="650">
        <f t="shared" ref="E300:J300" si="134">E298*E299</f>
        <v>8000</v>
      </c>
      <c r="F300" s="650">
        <f t="shared" si="134"/>
        <v>32000</v>
      </c>
      <c r="G300" s="650">
        <f t="shared" si="134"/>
        <v>32000</v>
      </c>
      <c r="H300" s="650">
        <f t="shared" si="134"/>
        <v>32000</v>
      </c>
      <c r="I300" s="650">
        <f t="shared" si="134"/>
        <v>36000</v>
      </c>
      <c r="J300" s="650">
        <f t="shared" si="134"/>
        <v>38000</v>
      </c>
      <c r="K300" s="651">
        <f>SUM(D300:F300)</f>
        <v>40000</v>
      </c>
      <c r="L300" s="1106">
        <f>SUM(G300:J300)</f>
        <v>138000</v>
      </c>
      <c r="M300" s="1492"/>
      <c r="N300" s="1492" t="s">
        <v>1934</v>
      </c>
    </row>
    <row r="301" spans="1:15">
      <c r="A301" s="611"/>
      <c r="B301" s="548"/>
      <c r="C301" s="549"/>
      <c r="D301" s="550"/>
      <c r="E301" s="550"/>
      <c r="F301" s="550"/>
      <c r="G301" s="550"/>
      <c r="H301" s="550"/>
      <c r="I301" s="550"/>
      <c r="J301" s="550"/>
      <c r="K301" s="550"/>
      <c r="L301" s="1106"/>
    </row>
    <row r="302" spans="1:15" ht="20.65" customHeight="1">
      <c r="A302" s="589">
        <f>'NSP Summary Budget (16-18)'!A46</f>
        <v>1.4</v>
      </c>
      <c r="B302" s="1783" t="str">
        <f>'NSP Summary Budget (16-18)'!B46</f>
        <v>Support to operations of the laboratory network</v>
      </c>
      <c r="C302" s="1783"/>
      <c r="D302" s="590"/>
      <c r="E302" s="590"/>
      <c r="F302" s="590"/>
      <c r="G302" s="590"/>
      <c r="H302" s="590"/>
      <c r="I302" s="590"/>
      <c r="J302" s="590"/>
      <c r="K302" s="590"/>
      <c r="L302" s="1487">
        <f>L308+L314</f>
        <v>6359500.5594697678</v>
      </c>
    </row>
    <row r="303" spans="1:15">
      <c r="A303" s="611"/>
      <c r="B303" s="548"/>
      <c r="C303" s="546"/>
      <c r="D303" s="550"/>
      <c r="E303" s="550"/>
      <c r="F303" s="550"/>
      <c r="G303" s="550"/>
      <c r="H303" s="550"/>
      <c r="I303" s="550"/>
      <c r="J303" s="550"/>
      <c r="K303" s="550"/>
      <c r="L303" s="1106"/>
    </row>
    <row r="304" spans="1:15">
      <c r="A304" s="631" t="str">
        <f>'NSP Summary Budget (16-18)'!A47</f>
        <v>1.4.1</v>
      </c>
      <c r="B304" s="632" t="str">
        <f>'NSP Summary Budget (16-18)'!B47</f>
        <v>Human resources, TB laboratories</v>
      </c>
      <c r="C304" s="633"/>
      <c r="D304" s="634"/>
      <c r="E304" s="634"/>
      <c r="F304" s="634"/>
      <c r="G304" s="969"/>
      <c r="H304" s="969"/>
      <c r="I304" s="969"/>
      <c r="J304" s="969"/>
      <c r="K304" s="635"/>
      <c r="L304" s="1106"/>
    </row>
    <row r="305" spans="1:16">
      <c r="A305" s="639"/>
      <c r="B305" s="739" t="s">
        <v>1663</v>
      </c>
      <c r="C305" s="641">
        <f>'Govt &amp; External'!E71</f>
        <v>471836.86296715733</v>
      </c>
      <c r="D305" s="642"/>
      <c r="E305" s="642"/>
      <c r="F305" s="642">
        <f>C305</f>
        <v>471836.86296715733</v>
      </c>
      <c r="G305" s="642"/>
      <c r="H305" s="642"/>
      <c r="I305" s="642"/>
      <c r="J305" s="642"/>
      <c r="K305" s="638"/>
      <c r="L305" s="1106"/>
      <c r="O305" s="946">
        <f>C305+C606</f>
        <v>1781105.2095130235</v>
      </c>
      <c r="P305" s="606">
        <f>F305/O305</f>
        <v>0.26491240407755778</v>
      </c>
    </row>
    <row r="306" spans="1:16">
      <c r="A306" s="639"/>
      <c r="B306" s="640" t="s">
        <v>1092</v>
      </c>
      <c r="C306" s="643">
        <v>0.7</v>
      </c>
      <c r="D306" s="644"/>
      <c r="E306" s="644"/>
      <c r="F306" s="667">
        <v>0.7</v>
      </c>
      <c r="G306" s="644"/>
      <c r="H306" s="644"/>
      <c r="I306" s="644"/>
      <c r="J306" s="644"/>
      <c r="K306" s="638"/>
      <c r="L306" s="1106"/>
    </row>
    <row r="307" spans="1:16" ht="48" customHeight="1">
      <c r="A307" s="639"/>
      <c r="B307" s="640" t="s">
        <v>1093</v>
      </c>
      <c r="C307" s="645"/>
      <c r="D307" s="1448">
        <v>0.15</v>
      </c>
      <c r="E307" s="1448">
        <v>0.12</v>
      </c>
      <c r="F307" s="1448">
        <v>0.08</v>
      </c>
      <c r="G307" s="646">
        <v>0.3</v>
      </c>
      <c r="H307" s="646"/>
      <c r="I307" s="646"/>
      <c r="J307" s="646"/>
      <c r="K307" s="638"/>
      <c r="L307" s="1106"/>
      <c r="O307" s="1641"/>
    </row>
    <row r="308" spans="1:16">
      <c r="A308" s="647"/>
      <c r="B308" s="648" t="s">
        <v>1077</v>
      </c>
      <c r="C308" s="649"/>
      <c r="D308" s="1449">
        <f>(C305/C306)+(C305/C306)*D307</f>
        <v>775160.5605889014</v>
      </c>
      <c r="E308" s="1449">
        <f>D308+D308*E307</f>
        <v>868179.82785956957</v>
      </c>
      <c r="F308" s="1449">
        <f>E308+E308*F307</f>
        <v>937634.21408833517</v>
      </c>
      <c r="G308" s="650">
        <f>F305+F305*G307</f>
        <v>613387.92185730452</v>
      </c>
      <c r="H308" s="650">
        <f t="shared" ref="H308:J308" si="135">G308+G308*H307</f>
        <v>613387.92185730452</v>
      </c>
      <c r="I308" s="650">
        <f t="shared" si="135"/>
        <v>613387.92185730452</v>
      </c>
      <c r="J308" s="650">
        <f t="shared" si="135"/>
        <v>613387.92185730452</v>
      </c>
      <c r="K308" s="651">
        <f>SUM(D308:F308)</f>
        <v>2580974.6025368059</v>
      </c>
      <c r="L308" s="1106">
        <f>SUM(G308:J308)</f>
        <v>2453551.6874292181</v>
      </c>
      <c r="N308" s="1492" t="s">
        <v>1934</v>
      </c>
      <c r="O308" s="1642"/>
    </row>
    <row r="309" spans="1:16">
      <c r="A309" s="614"/>
      <c r="C309" s="547"/>
      <c r="D309" s="613"/>
      <c r="E309" s="613"/>
      <c r="F309" s="613"/>
      <c r="G309" s="613"/>
      <c r="H309" s="613"/>
      <c r="I309" s="613"/>
      <c r="J309" s="613"/>
      <c r="K309" s="605"/>
      <c r="L309" s="1106"/>
    </row>
    <row r="310" spans="1:16">
      <c r="A310" s="631" t="str">
        <f>'NSP Summary Budget (16-18)'!A48</f>
        <v>1.4.2</v>
      </c>
      <c r="B310" s="632" t="str">
        <f>'NSP Summary Budget (16-18)'!B48</f>
        <v>Facility costs, TB laboratories</v>
      </c>
      <c r="C310" s="633"/>
      <c r="D310" s="634"/>
      <c r="E310" s="634"/>
      <c r="F310" s="634"/>
      <c r="G310" s="969"/>
      <c r="H310" s="969"/>
      <c r="I310" s="969"/>
      <c r="J310" s="969"/>
      <c r="K310" s="635"/>
      <c r="L310" s="1106"/>
    </row>
    <row r="311" spans="1:16">
      <c r="A311" s="639"/>
      <c r="B311" s="739" t="s">
        <v>1663</v>
      </c>
      <c r="C311" s="641">
        <f>'Govt &amp; External'!E72</f>
        <v>741457.92751981877</v>
      </c>
      <c r="D311" s="642"/>
      <c r="E311" s="642"/>
      <c r="F311" s="642">
        <v>741457.92751981877</v>
      </c>
      <c r="G311" s="642"/>
      <c r="H311" s="642"/>
      <c r="I311" s="642"/>
      <c r="J311" s="642"/>
      <c r="K311" s="638"/>
      <c r="L311" s="1106"/>
    </row>
    <row r="312" spans="1:16">
      <c r="A312" s="639"/>
      <c r="B312" s="640" t="s">
        <v>1092</v>
      </c>
      <c r="C312" s="643">
        <v>0.9</v>
      </c>
      <c r="D312" s="644"/>
      <c r="E312" s="644"/>
      <c r="F312" s="667">
        <v>0.9</v>
      </c>
      <c r="G312" s="644"/>
      <c r="H312" s="644"/>
      <c r="I312" s="644"/>
      <c r="J312" s="644"/>
      <c r="K312" s="638"/>
      <c r="L312" s="1106"/>
    </row>
    <row r="313" spans="1:16">
      <c r="A313" s="639"/>
      <c r="B313" s="640" t="s">
        <v>1093</v>
      </c>
      <c r="C313" s="645"/>
      <c r="D313" s="1450">
        <v>0.1</v>
      </c>
      <c r="E313" s="1450">
        <v>0.08</v>
      </c>
      <c r="F313" s="1450">
        <v>0.05</v>
      </c>
      <c r="G313" s="646">
        <v>0.1</v>
      </c>
      <c r="H313" s="646">
        <v>0.05</v>
      </c>
      <c r="I313" s="646">
        <v>0.05</v>
      </c>
      <c r="J313" s="646">
        <v>0.05</v>
      </c>
      <c r="K313" s="638"/>
      <c r="L313" s="1106"/>
    </row>
    <row r="314" spans="1:16">
      <c r="A314" s="647"/>
      <c r="B314" s="648" t="s">
        <v>1077</v>
      </c>
      <c r="C314" s="649"/>
      <c r="D314" s="1449">
        <f>(C311/C312)+(C311/C312)*D313</f>
        <v>906226.35585755622</v>
      </c>
      <c r="E314" s="1449">
        <f>D314+D314*E313</f>
        <v>978724.46432616073</v>
      </c>
      <c r="F314" s="1449">
        <f>E314+E314*F313</f>
        <v>1027660.6875424688</v>
      </c>
      <c r="G314" s="650">
        <f>(F311/F312)+(F311/F312)*G313</f>
        <v>906226.35585755622</v>
      </c>
      <c r="H314" s="650">
        <f t="shared" ref="H314:J314" si="136">G314+G314*H313</f>
        <v>951537.67365043401</v>
      </c>
      <c r="I314" s="650">
        <f t="shared" si="136"/>
        <v>999114.55733295577</v>
      </c>
      <c r="J314" s="650">
        <f t="shared" si="136"/>
        <v>1049070.2851996035</v>
      </c>
      <c r="K314" s="651">
        <f>SUM(D314:F314)</f>
        <v>2912611.507726186</v>
      </c>
      <c r="L314" s="1106">
        <f>SUM(G314:J314)</f>
        <v>3905948.8720405498</v>
      </c>
      <c r="M314" s="615"/>
      <c r="N314" s="1494" t="s">
        <v>1934</v>
      </c>
      <c r="O314" s="615"/>
      <c r="P314" s="615"/>
    </row>
    <row r="315" spans="1:16">
      <c r="A315" s="611"/>
      <c r="C315" s="547"/>
      <c r="D315" s="613"/>
      <c r="E315" s="613"/>
      <c r="F315" s="613"/>
      <c r="G315" s="613"/>
      <c r="H315" s="613"/>
      <c r="I315" s="613"/>
      <c r="J315" s="613"/>
      <c r="K315" s="605"/>
      <c r="L315" s="1106"/>
    </row>
    <row r="316" spans="1:16" ht="28.5" customHeight="1">
      <c r="A316" s="589">
        <f>'NSP Summary Budget (16-18)'!A50</f>
        <v>2.1</v>
      </c>
      <c r="B316" s="1783" t="str">
        <f>'NSP Summary Budget (16-18)'!B50</f>
        <v>Supply of anti-TB drugs and drug management system</v>
      </c>
      <c r="C316" s="1783"/>
      <c r="D316" s="590"/>
      <c r="E316" s="590"/>
      <c r="F316" s="590"/>
      <c r="G316" s="590"/>
      <c r="H316" s="590"/>
      <c r="I316" s="590"/>
      <c r="J316" s="590"/>
      <c r="K316" s="590"/>
      <c r="L316" s="1487">
        <f>SUM(L318:L375)</f>
        <v>4511615.4000000004</v>
      </c>
    </row>
    <row r="317" spans="1:16">
      <c r="A317" s="611"/>
      <c r="B317" s="602"/>
      <c r="C317" s="546"/>
      <c r="D317" s="605"/>
      <c r="E317" s="605"/>
      <c r="F317" s="605"/>
      <c r="G317" s="605"/>
      <c r="H317" s="605"/>
      <c r="I317" s="605"/>
      <c r="J317" s="605"/>
      <c r="K317" s="605"/>
      <c r="L317" s="1106"/>
    </row>
    <row r="318" spans="1:16">
      <c r="A318" s="652" t="str">
        <f>'NSP Summary Budget (16-18)'!A51</f>
        <v>2.1.1</v>
      </c>
      <c r="B318" s="632" t="str">
        <f>'NSP Summary Budget (16-18)'!B51</f>
        <v>Anti-TB drugs, first line treatment</v>
      </c>
      <c r="C318" s="633"/>
      <c r="D318" s="634"/>
      <c r="E318" s="634"/>
      <c r="F318" s="634"/>
      <c r="G318" s="969"/>
      <c r="H318" s="969"/>
      <c r="I318" s="969"/>
      <c r="J318" s="969"/>
      <c r="K318" s="635"/>
      <c r="L318" s="1106"/>
    </row>
    <row r="319" spans="1:16">
      <c r="A319" s="653"/>
      <c r="B319" s="640" t="str">
        <f>B51</f>
        <v>Cost of TB drugs, first-line treatment</v>
      </c>
      <c r="C319" s="669">
        <f>C51</f>
        <v>35.6</v>
      </c>
      <c r="D319" s="670">
        <f t="shared" ref="D319:F319" si="137">C319</f>
        <v>35.6</v>
      </c>
      <c r="E319" s="670">
        <f t="shared" si="137"/>
        <v>35.6</v>
      </c>
      <c r="F319" s="670">
        <f t="shared" si="137"/>
        <v>35.6</v>
      </c>
      <c r="G319" s="670">
        <f t="shared" ref="G319" si="138">F319</f>
        <v>35.6</v>
      </c>
      <c r="H319" s="670">
        <f t="shared" ref="H319" si="139">G319</f>
        <v>35.6</v>
      </c>
      <c r="I319" s="670">
        <f t="shared" ref="I319" si="140">H319</f>
        <v>35.6</v>
      </c>
      <c r="J319" s="670">
        <f t="shared" ref="J319" si="141">I319</f>
        <v>35.6</v>
      </c>
      <c r="K319" s="638"/>
      <c r="L319" s="1106"/>
    </row>
    <row r="320" spans="1:16">
      <c r="A320" s="653"/>
      <c r="B320" s="640" t="s">
        <v>1375</v>
      </c>
      <c r="C320" s="641"/>
      <c r="D320" s="642">
        <f>CALCULATIONS!F183</f>
        <v>2770</v>
      </c>
      <c r="E320" s="642">
        <f>CALCULATIONS!G183</f>
        <v>2529</v>
      </c>
      <c r="F320" s="642">
        <f>CALCULATIONS!H183</f>
        <v>2398</v>
      </c>
      <c r="G320" s="642">
        <f>CALCULATIONS!I183</f>
        <v>2296</v>
      </c>
      <c r="H320" s="642">
        <f>CALCULATIONS!J183</f>
        <v>2212</v>
      </c>
      <c r="I320" s="642">
        <f>CALCULATIONS!K183</f>
        <v>2142</v>
      </c>
      <c r="J320" s="642">
        <f>CALCULATIONS!L183</f>
        <v>2084</v>
      </c>
      <c r="K320" s="638"/>
      <c r="L320" s="1106"/>
    </row>
    <row r="321" spans="1:14">
      <c r="A321" s="655"/>
      <c r="B321" s="648" t="s">
        <v>1077</v>
      </c>
      <c r="C321" s="657"/>
      <c r="D321" s="650">
        <f>D319*D320</f>
        <v>98612</v>
      </c>
      <c r="E321" s="650">
        <f t="shared" ref="E321:J321" si="142">E319*E320</f>
        <v>90032.400000000009</v>
      </c>
      <c r="F321" s="650">
        <f t="shared" si="142"/>
        <v>85368.8</v>
      </c>
      <c r="G321" s="650">
        <f t="shared" si="142"/>
        <v>81737.600000000006</v>
      </c>
      <c r="H321" s="650">
        <f t="shared" si="142"/>
        <v>78747.199999999997</v>
      </c>
      <c r="I321" s="650">
        <f t="shared" si="142"/>
        <v>76255.199999999997</v>
      </c>
      <c r="J321" s="650">
        <f t="shared" si="142"/>
        <v>74190.400000000009</v>
      </c>
      <c r="K321" s="651">
        <f>SUM(D321:F321)</f>
        <v>274013.2</v>
      </c>
      <c r="L321" s="1106">
        <f>SUM(G321:J321)</f>
        <v>310930.40000000002</v>
      </c>
      <c r="N321" s="1492" t="s">
        <v>1934</v>
      </c>
    </row>
    <row r="322" spans="1:14">
      <c r="A322" s="611"/>
      <c r="B322" s="548"/>
      <c r="C322" s="546"/>
      <c r="D322" s="550"/>
      <c r="E322" s="550"/>
      <c r="F322" s="550"/>
      <c r="G322" s="550"/>
      <c r="H322" s="550"/>
      <c r="I322" s="550"/>
      <c r="J322" s="550"/>
      <c r="K322" s="550"/>
      <c r="L322" s="1106"/>
    </row>
    <row r="323" spans="1:14">
      <c r="A323" s="652" t="str">
        <f>'NSP Summary Budget (16-18)'!A52</f>
        <v>2.1.2</v>
      </c>
      <c r="B323" s="632" t="str">
        <f>'NSP Summary Budget (16-18)'!B52</f>
        <v>Anti-TB drugs, PDR treatment</v>
      </c>
      <c r="C323" s="633"/>
      <c r="D323" s="634"/>
      <c r="E323" s="634"/>
      <c r="F323" s="634"/>
      <c r="G323" s="969"/>
      <c r="H323" s="969"/>
      <c r="I323" s="969"/>
      <c r="J323" s="969"/>
      <c r="K323" s="635"/>
      <c r="L323" s="1106"/>
    </row>
    <row r="324" spans="1:14">
      <c r="A324" s="653"/>
      <c r="B324" s="640" t="str">
        <f>B52</f>
        <v>Cost of TB drugs, PDR treatment</v>
      </c>
      <c r="C324" s="641">
        <f>C52</f>
        <v>289</v>
      </c>
      <c r="D324" s="642">
        <f t="shared" ref="D324:F324" si="143">C324</f>
        <v>289</v>
      </c>
      <c r="E324" s="642">
        <f t="shared" si="143"/>
        <v>289</v>
      </c>
      <c r="F324" s="642">
        <f t="shared" si="143"/>
        <v>289</v>
      </c>
      <c r="G324" s="642">
        <f t="shared" ref="G324" si="144">F324</f>
        <v>289</v>
      </c>
      <c r="H324" s="642">
        <f t="shared" ref="H324" si="145">G324</f>
        <v>289</v>
      </c>
      <c r="I324" s="642">
        <f t="shared" ref="I324" si="146">H324</f>
        <v>289</v>
      </c>
      <c r="J324" s="642">
        <f t="shared" ref="J324" si="147">I324</f>
        <v>289</v>
      </c>
      <c r="K324" s="638"/>
      <c r="L324" s="1106"/>
    </row>
    <row r="325" spans="1:14">
      <c r="A325" s="653"/>
      <c r="B325" s="640" t="s">
        <v>1098</v>
      </c>
      <c r="C325" s="641"/>
      <c r="D325" s="642">
        <f>CALCULATIONS!F184</f>
        <v>131</v>
      </c>
      <c r="E325" s="642">
        <f>CALCULATIONS!G184</f>
        <v>113</v>
      </c>
      <c r="F325" s="642">
        <f>CALCULATIONS!H184</f>
        <v>103</v>
      </c>
      <c r="G325" s="642">
        <f>CALCULATIONS!I184</f>
        <v>94</v>
      </c>
      <c r="H325" s="642">
        <f>CALCULATIONS!J184</f>
        <v>84</v>
      </c>
      <c r="I325" s="642">
        <f>CALCULATIONS!K184</f>
        <v>80</v>
      </c>
      <c r="J325" s="642">
        <f>CALCULATIONS!L184</f>
        <v>77</v>
      </c>
      <c r="K325" s="638"/>
      <c r="L325" s="1106"/>
    </row>
    <row r="326" spans="1:14">
      <c r="A326" s="655"/>
      <c r="B326" s="648" t="s">
        <v>1077</v>
      </c>
      <c r="C326" s="657"/>
      <c r="D326" s="650">
        <f>D324*D325</f>
        <v>37859</v>
      </c>
      <c r="E326" s="650">
        <f t="shared" ref="E326:J326" si="148">E324*E325</f>
        <v>32657</v>
      </c>
      <c r="F326" s="650">
        <f t="shared" si="148"/>
        <v>29767</v>
      </c>
      <c r="G326" s="650">
        <f t="shared" si="148"/>
        <v>27166</v>
      </c>
      <c r="H326" s="650">
        <f t="shared" si="148"/>
        <v>24276</v>
      </c>
      <c r="I326" s="650">
        <f t="shared" si="148"/>
        <v>23120</v>
      </c>
      <c r="J326" s="650">
        <f t="shared" si="148"/>
        <v>22253</v>
      </c>
      <c r="K326" s="651">
        <f>SUM(D326:F326)</f>
        <v>100283</v>
      </c>
      <c r="L326" s="1106">
        <f>SUM(G326:J326)</f>
        <v>96815</v>
      </c>
      <c r="N326" s="1492" t="s">
        <v>1934</v>
      </c>
    </row>
    <row r="327" spans="1:14">
      <c r="A327" s="611"/>
      <c r="B327" s="548"/>
      <c r="C327" s="546"/>
      <c r="D327" s="550"/>
      <c r="E327" s="550"/>
      <c r="F327" s="550"/>
      <c r="G327" s="550"/>
      <c r="H327" s="550"/>
      <c r="I327" s="550"/>
      <c r="J327" s="550"/>
      <c r="K327" s="550"/>
      <c r="L327" s="1106"/>
    </row>
    <row r="328" spans="1:14" ht="14.45" customHeight="1">
      <c r="A328" s="652" t="str">
        <f>'NSP Summary Budget (16-18)'!A53</f>
        <v>2.1.3</v>
      </c>
      <c r="B328" s="632" t="str">
        <f>'NSP Summary Budget (16-18)'!B53</f>
        <v>Anti-TB drugs, MDR treatment (standard regimen)</v>
      </c>
      <c r="C328" s="633"/>
      <c r="D328" s="634"/>
      <c r="E328" s="634"/>
      <c r="F328" s="634"/>
      <c r="G328" s="969"/>
      <c r="H328" s="969"/>
      <c r="I328" s="969"/>
      <c r="J328" s="969"/>
      <c r="K328" s="635"/>
      <c r="L328" s="1106"/>
    </row>
    <row r="329" spans="1:14">
      <c r="A329" s="653"/>
      <c r="B329" s="640" t="str">
        <f>B53</f>
        <v>Cost of TB drugs, MDR treatment (standard regimen)</v>
      </c>
      <c r="C329" s="641">
        <f>C53</f>
        <v>1910</v>
      </c>
      <c r="D329" s="642">
        <f t="shared" ref="D329" si="149">C329</f>
        <v>1910</v>
      </c>
      <c r="E329" s="642">
        <f t="shared" ref="E329" si="150">D329</f>
        <v>1910</v>
      </c>
      <c r="F329" s="642">
        <f t="shared" ref="F329" si="151">E329</f>
        <v>1910</v>
      </c>
      <c r="G329" s="642">
        <f t="shared" ref="G329" si="152">F329</f>
        <v>1910</v>
      </c>
      <c r="H329" s="642">
        <f t="shared" ref="H329" si="153">G329</f>
        <v>1910</v>
      </c>
      <c r="I329" s="642">
        <f t="shared" ref="I329" si="154">H329</f>
        <v>1910</v>
      </c>
      <c r="J329" s="642">
        <f t="shared" ref="J329" si="155">I329</f>
        <v>1910</v>
      </c>
      <c r="K329" s="638"/>
      <c r="L329" s="1106"/>
    </row>
    <row r="330" spans="1:14">
      <c r="A330" s="653"/>
      <c r="B330" s="640" t="s">
        <v>1379</v>
      </c>
      <c r="C330" s="641"/>
      <c r="D330" s="642">
        <f>'TB drugs cost'!F99</f>
        <v>264</v>
      </c>
      <c r="E330" s="642">
        <f>'TB drugs cost'!G99</f>
        <v>246</v>
      </c>
      <c r="F330" s="642">
        <f>'TB drugs cost'!H99</f>
        <v>238</v>
      </c>
      <c r="G330" s="642">
        <f>'TB drugs cost'!I99</f>
        <v>233</v>
      </c>
      <c r="H330" s="642">
        <f>'TB drugs cost'!J99</f>
        <v>228</v>
      </c>
      <c r="I330" s="642">
        <f>'TB drugs cost'!K99</f>
        <v>224</v>
      </c>
      <c r="J330" s="642">
        <f>'TB drugs cost'!L99</f>
        <v>220</v>
      </c>
      <c r="K330" s="638"/>
      <c r="L330" s="1106"/>
    </row>
    <row r="331" spans="1:14">
      <c r="A331" s="655"/>
      <c r="B331" s="648" t="s">
        <v>1077</v>
      </c>
      <c r="C331" s="657"/>
      <c r="D331" s="650">
        <f>D329*D330</f>
        <v>504240</v>
      </c>
      <c r="E331" s="650">
        <f t="shared" ref="E331:J331" si="156">E329*E330</f>
        <v>469860</v>
      </c>
      <c r="F331" s="650">
        <f t="shared" si="156"/>
        <v>454580</v>
      </c>
      <c r="G331" s="650">
        <f t="shared" si="156"/>
        <v>445030</v>
      </c>
      <c r="H331" s="650">
        <f t="shared" si="156"/>
        <v>435480</v>
      </c>
      <c r="I331" s="650">
        <f t="shared" si="156"/>
        <v>427840</v>
      </c>
      <c r="J331" s="650">
        <f t="shared" si="156"/>
        <v>420200</v>
      </c>
      <c r="K331" s="651">
        <f>SUM(D331:F331)</f>
        <v>1428680</v>
      </c>
      <c r="L331" s="1106">
        <f>SUM(G331:J331)</f>
        <v>1728550</v>
      </c>
      <c r="M331" s="1492" t="s">
        <v>1933</v>
      </c>
      <c r="N331" s="1492" t="s">
        <v>1934</v>
      </c>
    </row>
    <row r="332" spans="1:14">
      <c r="A332" s="611"/>
      <c r="B332" s="548"/>
      <c r="C332" s="546"/>
      <c r="D332" s="550"/>
      <c r="E332" s="550"/>
      <c r="F332" s="550"/>
      <c r="G332" s="550"/>
      <c r="H332" s="550"/>
      <c r="I332" s="550"/>
      <c r="J332" s="550"/>
      <c r="K332" s="550"/>
      <c r="L332" s="1106"/>
    </row>
    <row r="333" spans="1:14">
      <c r="A333" s="652" t="str">
        <f>'NSP Summary Budget (16-18)'!A54</f>
        <v>2.1.4</v>
      </c>
      <c r="B333" s="632" t="str">
        <f>'NSP Summary Budget (16-18)'!B54</f>
        <v>Anti-TB drugs, MDR treatment (shortened regimen)</v>
      </c>
      <c r="C333" s="633"/>
      <c r="D333" s="634"/>
      <c r="E333" s="634"/>
      <c r="F333" s="634"/>
      <c r="G333" s="969"/>
      <c r="H333" s="969"/>
      <c r="I333" s="969"/>
      <c r="J333" s="969"/>
      <c r="K333" s="635"/>
      <c r="L333" s="1106"/>
    </row>
    <row r="334" spans="1:14">
      <c r="A334" s="653"/>
      <c r="B334" s="640" t="str">
        <f>B54</f>
        <v>Cost of TB drugs, MDR treatment (shortened regimen)</v>
      </c>
      <c r="C334" s="641">
        <f>C54</f>
        <v>1210</v>
      </c>
      <c r="D334" s="642">
        <f t="shared" ref="D334:F334" si="157">C334</f>
        <v>1210</v>
      </c>
      <c r="E334" s="642">
        <f t="shared" si="157"/>
        <v>1210</v>
      </c>
      <c r="F334" s="642">
        <f t="shared" si="157"/>
        <v>1210</v>
      </c>
      <c r="G334" s="642">
        <f t="shared" ref="G334" si="158">F334</f>
        <v>1210</v>
      </c>
      <c r="H334" s="642">
        <f t="shared" ref="H334" si="159">G334</f>
        <v>1210</v>
      </c>
      <c r="I334" s="642">
        <f t="shared" ref="I334" si="160">H334</f>
        <v>1210</v>
      </c>
      <c r="J334" s="642">
        <f t="shared" ref="J334" si="161">I334</f>
        <v>1210</v>
      </c>
      <c r="K334" s="638"/>
      <c r="L334" s="1106"/>
    </row>
    <row r="335" spans="1:14">
      <c r="A335" s="653"/>
      <c r="B335" s="640" t="s">
        <v>1380</v>
      </c>
      <c r="C335" s="641"/>
      <c r="D335" s="642">
        <f>'TB drugs cost'!F100</f>
        <v>29</v>
      </c>
      <c r="E335" s="642">
        <f>'TB drugs cost'!G100</f>
        <v>27</v>
      </c>
      <c r="F335" s="642">
        <f>'TB drugs cost'!H100</f>
        <v>27</v>
      </c>
      <c r="G335" s="642">
        <f>'TB drugs cost'!I100</f>
        <v>26</v>
      </c>
      <c r="H335" s="642">
        <f>'TB drugs cost'!J100</f>
        <v>25</v>
      </c>
      <c r="I335" s="642">
        <f>'TB drugs cost'!K100</f>
        <v>25</v>
      </c>
      <c r="J335" s="642">
        <f>'TB drugs cost'!L100</f>
        <v>25</v>
      </c>
      <c r="K335" s="638"/>
      <c r="L335" s="1106"/>
    </row>
    <row r="336" spans="1:14">
      <c r="A336" s="655"/>
      <c r="B336" s="648" t="s">
        <v>1077</v>
      </c>
      <c r="C336" s="657"/>
      <c r="D336" s="650">
        <f>D334*D335</f>
        <v>35090</v>
      </c>
      <c r="E336" s="650">
        <f t="shared" ref="E336" si="162">E334*E335</f>
        <v>32670</v>
      </c>
      <c r="F336" s="650">
        <f t="shared" ref="F336:J336" si="163">F334*F335</f>
        <v>32670</v>
      </c>
      <c r="G336" s="650">
        <f t="shared" si="163"/>
        <v>31460</v>
      </c>
      <c r="H336" s="650">
        <f t="shared" si="163"/>
        <v>30250</v>
      </c>
      <c r="I336" s="650">
        <f t="shared" si="163"/>
        <v>30250</v>
      </c>
      <c r="J336" s="650">
        <f t="shared" si="163"/>
        <v>30250</v>
      </c>
      <c r="K336" s="651">
        <f>SUM(D336:F336)</f>
        <v>100430</v>
      </c>
      <c r="L336" s="1106">
        <f>SUM(G336:J336)</f>
        <v>122210</v>
      </c>
      <c r="M336" s="1492" t="s">
        <v>1933</v>
      </c>
      <c r="N336" s="1492" t="s">
        <v>1934</v>
      </c>
    </row>
    <row r="337" spans="1:14">
      <c r="A337" s="611"/>
      <c r="B337" s="548"/>
      <c r="C337" s="546"/>
      <c r="D337" s="550"/>
      <c r="E337" s="550"/>
      <c r="F337" s="550"/>
      <c r="G337" s="550"/>
      <c r="H337" s="550"/>
      <c r="I337" s="550"/>
      <c r="J337" s="550"/>
      <c r="K337" s="550"/>
      <c r="L337" s="1106"/>
    </row>
    <row r="338" spans="1:14">
      <c r="A338" s="652" t="str">
        <f>'NSP Summary Budget (16-18)'!A55</f>
        <v>2.1.5</v>
      </c>
      <c r="B338" s="632" t="str">
        <f>'NSP Summary Budget (16-18)'!B55</f>
        <v>Anti-TB drugs, 'pre-XDR' and XDR treatment</v>
      </c>
      <c r="C338" s="633"/>
      <c r="D338" s="634"/>
      <c r="E338" s="634"/>
      <c r="F338" s="634"/>
      <c r="G338" s="969"/>
      <c r="H338" s="969"/>
      <c r="I338" s="969"/>
      <c r="J338" s="969"/>
      <c r="K338" s="635"/>
      <c r="L338" s="1106"/>
    </row>
    <row r="339" spans="1:14">
      <c r="A339" s="653"/>
      <c r="B339" s="640" t="str">
        <f>B55</f>
        <v>Cost of TB drugs, 'pre-XDR' and XDR treatment</v>
      </c>
      <c r="C339" s="641">
        <f>C55</f>
        <v>3890</v>
      </c>
      <c r="D339" s="642">
        <f t="shared" ref="D339:F339" si="164">C339</f>
        <v>3890</v>
      </c>
      <c r="E339" s="642">
        <f t="shared" si="164"/>
        <v>3890</v>
      </c>
      <c r="F339" s="642">
        <f t="shared" si="164"/>
        <v>3890</v>
      </c>
      <c r="G339" s="642">
        <f t="shared" ref="G339" si="165">F339</f>
        <v>3890</v>
      </c>
      <c r="H339" s="642">
        <f t="shared" ref="H339" si="166">G339</f>
        <v>3890</v>
      </c>
      <c r="I339" s="642">
        <f t="shared" ref="I339" si="167">H339</f>
        <v>3890</v>
      </c>
      <c r="J339" s="642">
        <f t="shared" ref="J339" si="168">I339</f>
        <v>3890</v>
      </c>
      <c r="K339" s="638"/>
      <c r="L339" s="1106"/>
    </row>
    <row r="340" spans="1:14">
      <c r="A340" s="653"/>
      <c r="B340" s="640" t="s">
        <v>1381</v>
      </c>
      <c r="C340" s="641"/>
      <c r="D340" s="642">
        <f>CALCULATIONS!F186+CALCULATIONS!F187</f>
        <v>130</v>
      </c>
      <c r="E340" s="642">
        <f>CALCULATIONS!G186+CALCULATIONS!G187</f>
        <v>125</v>
      </c>
      <c r="F340" s="642">
        <f>CALCULATIONS!H186+CALCULATIONS!H187</f>
        <v>126</v>
      </c>
      <c r="G340" s="642">
        <f>CALCULATIONS!I186+CALCULATIONS!I187</f>
        <v>127</v>
      </c>
      <c r="H340" s="642">
        <f>CALCULATIONS!J186+CALCULATIONS!J187</f>
        <v>127</v>
      </c>
      <c r="I340" s="642">
        <f>CALCULATIONS!K186+CALCULATIONS!K187</f>
        <v>124</v>
      </c>
      <c r="J340" s="642">
        <f>CALCULATIONS!L186+CALCULATIONS!L187</f>
        <v>121</v>
      </c>
      <c r="K340" s="638"/>
      <c r="L340" s="1106"/>
    </row>
    <row r="341" spans="1:14">
      <c r="A341" s="655"/>
      <c r="B341" s="648" t="s">
        <v>1077</v>
      </c>
      <c r="C341" s="657"/>
      <c r="D341" s="650">
        <f>D339*D340</f>
        <v>505700</v>
      </c>
      <c r="E341" s="650">
        <f t="shared" ref="E341" si="169">E339*E340</f>
        <v>486250</v>
      </c>
      <c r="F341" s="650">
        <f t="shared" ref="F341:J341" si="170">F339*F340</f>
        <v>490140</v>
      </c>
      <c r="G341" s="650">
        <f t="shared" si="170"/>
        <v>494030</v>
      </c>
      <c r="H341" s="650">
        <f t="shared" si="170"/>
        <v>494030</v>
      </c>
      <c r="I341" s="650">
        <f t="shared" si="170"/>
        <v>482360</v>
      </c>
      <c r="J341" s="650">
        <f t="shared" si="170"/>
        <v>470690</v>
      </c>
      <c r="K341" s="651">
        <f>SUM(D341:F341)</f>
        <v>1482090</v>
      </c>
      <c r="L341" s="1106">
        <f>SUM(G341:J341)</f>
        <v>1941110</v>
      </c>
      <c r="M341" s="1492" t="s">
        <v>1933</v>
      </c>
      <c r="N341" s="1492" t="s">
        <v>1934</v>
      </c>
    </row>
    <row r="342" spans="1:14">
      <c r="A342" s="611"/>
      <c r="B342" s="548"/>
      <c r="C342" s="546"/>
      <c r="D342" s="550"/>
      <c r="E342" s="550"/>
      <c r="F342" s="550"/>
      <c r="G342" s="550"/>
      <c r="H342" s="550"/>
      <c r="I342" s="550"/>
      <c r="J342" s="550"/>
      <c r="K342" s="550"/>
      <c r="L342" s="1106"/>
    </row>
    <row r="343" spans="1:14">
      <c r="A343" s="652" t="str">
        <f>'NSP Summary Budget (16-18)'!A56</f>
        <v>2.1.6</v>
      </c>
      <c r="B343" s="632" t="str">
        <f>'NSP Summary Budget (16-18)'!B56</f>
        <v>In-country supply management of anti-TB drugs</v>
      </c>
      <c r="C343" s="633"/>
      <c r="D343" s="634"/>
      <c r="E343" s="634"/>
      <c r="F343" s="634"/>
      <c r="G343" s="969"/>
      <c r="H343" s="969"/>
      <c r="I343" s="969"/>
      <c r="J343" s="969"/>
      <c r="K343" s="635"/>
      <c r="L343" s="1106"/>
    </row>
    <row r="344" spans="1:14">
      <c r="A344" s="653"/>
      <c r="B344" s="640" t="str">
        <f>B56</f>
        <v>Annual in-country PSM costs for anti-TB drugs</v>
      </c>
      <c r="C344" s="964">
        <f>C56</f>
        <v>6000</v>
      </c>
      <c r="D344" s="965">
        <f>C344</f>
        <v>6000</v>
      </c>
      <c r="E344" s="965">
        <f>D344</f>
        <v>6000</v>
      </c>
      <c r="F344" s="965">
        <f>E344</f>
        <v>6000</v>
      </c>
      <c r="G344" s="965">
        <f t="shared" ref="G344:J344" si="171">F344</f>
        <v>6000</v>
      </c>
      <c r="H344" s="965">
        <f t="shared" si="171"/>
        <v>6000</v>
      </c>
      <c r="I344" s="965">
        <f t="shared" si="171"/>
        <v>6000</v>
      </c>
      <c r="J344" s="965">
        <f t="shared" si="171"/>
        <v>6000</v>
      </c>
      <c r="K344" s="638"/>
      <c r="L344" s="1106"/>
    </row>
    <row r="345" spans="1:14">
      <c r="A345" s="655"/>
      <c r="B345" s="648" t="s">
        <v>1077</v>
      </c>
      <c r="C345" s="657"/>
      <c r="D345" s="650">
        <f>D344</f>
        <v>6000</v>
      </c>
      <c r="E345" s="650">
        <f t="shared" ref="E345:J345" si="172">E344</f>
        <v>6000</v>
      </c>
      <c r="F345" s="650">
        <f t="shared" si="172"/>
        <v>6000</v>
      </c>
      <c r="G345" s="650">
        <f t="shared" si="172"/>
        <v>6000</v>
      </c>
      <c r="H345" s="650">
        <f t="shared" si="172"/>
        <v>6000</v>
      </c>
      <c r="I345" s="650">
        <f t="shared" si="172"/>
        <v>6000</v>
      </c>
      <c r="J345" s="650">
        <f t="shared" si="172"/>
        <v>6000</v>
      </c>
      <c r="K345" s="651">
        <f>SUM(D345:F345)</f>
        <v>18000</v>
      </c>
      <c r="L345" s="1106">
        <f>SUM(G345:J345)</f>
        <v>24000</v>
      </c>
      <c r="M345" s="1492" t="s">
        <v>1933</v>
      </c>
      <c r="N345" s="1492" t="s">
        <v>1934</v>
      </c>
    </row>
    <row r="346" spans="1:14">
      <c r="A346" s="611"/>
      <c r="B346" s="548"/>
      <c r="C346" s="546"/>
      <c r="D346" s="550"/>
      <c r="E346" s="550"/>
      <c r="F346" s="550"/>
      <c r="G346" s="550"/>
      <c r="H346" s="550"/>
      <c r="I346" s="550"/>
      <c r="J346" s="550"/>
      <c r="K346" s="550"/>
      <c r="L346" s="1106"/>
    </row>
    <row r="347" spans="1:14">
      <c r="A347" s="652" t="str">
        <f>'NSP Summary Budget (16-18)'!A57</f>
        <v>2.1.7</v>
      </c>
      <c r="B347" s="661" t="str">
        <f>'NSP Summary Budget (16-18)'!B57</f>
        <v xml:space="preserve">External technical assistance in drug management, centralized procurement and pharmacovigiliance </v>
      </c>
      <c r="C347" s="633"/>
      <c r="D347" s="634"/>
      <c r="E347" s="634"/>
      <c r="F347" s="634"/>
      <c r="G347" s="969"/>
      <c r="H347" s="969"/>
      <c r="I347" s="969"/>
      <c r="J347" s="969"/>
      <c r="K347" s="635"/>
      <c r="L347" s="1106"/>
    </row>
    <row r="348" spans="1:14">
      <c r="A348" s="653"/>
      <c r="B348" s="640" t="str">
        <f>B9</f>
        <v>Cost of 1 external TA unit</v>
      </c>
      <c r="C348" s="641">
        <f>TA!F26</f>
        <v>15000</v>
      </c>
      <c r="D348" s="642">
        <f>C348</f>
        <v>15000</v>
      </c>
      <c r="E348" s="642">
        <f>D348</f>
        <v>15000</v>
      </c>
      <c r="F348" s="642">
        <f>E348</f>
        <v>15000</v>
      </c>
      <c r="G348" s="642">
        <f t="shared" ref="G348:J348" si="173">F348</f>
        <v>15000</v>
      </c>
      <c r="H348" s="642">
        <f t="shared" si="173"/>
        <v>15000</v>
      </c>
      <c r="I348" s="642">
        <f t="shared" si="173"/>
        <v>15000</v>
      </c>
      <c r="J348" s="642">
        <f t="shared" si="173"/>
        <v>15000</v>
      </c>
      <c r="K348" s="638"/>
      <c r="L348" s="1106"/>
    </row>
    <row r="349" spans="1:14">
      <c r="A349" s="653"/>
      <c r="B349" s="654" t="s">
        <v>1444</v>
      </c>
      <c r="C349" s="636"/>
      <c r="D349" s="760">
        <v>2</v>
      </c>
      <c r="E349" s="760">
        <v>1</v>
      </c>
      <c r="F349" s="760">
        <v>1</v>
      </c>
      <c r="G349" s="760">
        <v>1</v>
      </c>
      <c r="H349" s="760">
        <v>1</v>
      </c>
      <c r="I349" s="760">
        <v>1</v>
      </c>
      <c r="J349" s="760">
        <v>1</v>
      </c>
      <c r="K349" s="638"/>
      <c r="L349" s="1106"/>
    </row>
    <row r="350" spans="1:14">
      <c r="A350" s="655"/>
      <c r="B350" s="648" t="s">
        <v>1077</v>
      </c>
      <c r="C350" s="656"/>
      <c r="D350" s="650">
        <f>D348*D349</f>
        <v>30000</v>
      </c>
      <c r="E350" s="650">
        <f t="shared" ref="E350:J350" si="174">E348*E349</f>
        <v>15000</v>
      </c>
      <c r="F350" s="650">
        <f t="shared" si="174"/>
        <v>15000</v>
      </c>
      <c r="G350" s="650">
        <f t="shared" si="174"/>
        <v>15000</v>
      </c>
      <c r="H350" s="650">
        <f t="shared" si="174"/>
        <v>15000</v>
      </c>
      <c r="I350" s="650">
        <f t="shared" si="174"/>
        <v>15000</v>
      </c>
      <c r="J350" s="650">
        <f t="shared" si="174"/>
        <v>15000</v>
      </c>
      <c r="K350" s="651">
        <f>SUM(D350:F350)</f>
        <v>60000</v>
      </c>
      <c r="L350" s="1106">
        <f>SUM(G350:J350)</f>
        <v>60000</v>
      </c>
      <c r="M350" s="1492" t="s">
        <v>1933</v>
      </c>
    </row>
    <row r="351" spans="1:14">
      <c r="A351" s="611"/>
      <c r="B351" s="602"/>
      <c r="C351" s="546"/>
      <c r="D351" s="605"/>
      <c r="E351" s="605"/>
      <c r="F351" s="605"/>
      <c r="G351" s="605"/>
      <c r="H351" s="605"/>
      <c r="I351" s="605"/>
      <c r="J351" s="605"/>
      <c r="K351" s="605"/>
      <c r="L351" s="1106"/>
    </row>
    <row r="352" spans="1:14">
      <c r="A352" s="652" t="str">
        <f>'NSP Summary Budget (16-18)'!A58</f>
        <v>2.1.8</v>
      </c>
      <c r="B352" s="632" t="str">
        <f>'NSP Summary Budget (16-18)'!B58</f>
        <v>National consultants, drug management</v>
      </c>
      <c r="C352" s="633"/>
      <c r="D352" s="634"/>
      <c r="E352" s="634"/>
      <c r="F352" s="634"/>
      <c r="G352" s="969"/>
      <c r="H352" s="969"/>
      <c r="I352" s="969"/>
      <c r="J352" s="969"/>
      <c r="K352" s="635"/>
      <c r="L352" s="1106"/>
    </row>
    <row r="353" spans="1:13">
      <c r="A353" s="653"/>
      <c r="B353" s="654" t="s">
        <v>1079</v>
      </c>
      <c r="C353" s="636"/>
      <c r="D353" s="637">
        <f>1*6+1*6</f>
        <v>12</v>
      </c>
      <c r="E353" s="637">
        <f>1*6+1*12</f>
        <v>18</v>
      </c>
      <c r="F353" s="637">
        <f>1*12</f>
        <v>12</v>
      </c>
      <c r="G353" s="637">
        <f t="shared" ref="G353:J353" si="175">1*12</f>
        <v>12</v>
      </c>
      <c r="H353" s="637">
        <f t="shared" si="175"/>
        <v>12</v>
      </c>
      <c r="I353" s="637">
        <f t="shared" si="175"/>
        <v>12</v>
      </c>
      <c r="J353" s="637">
        <f t="shared" si="175"/>
        <v>12</v>
      </c>
      <c r="K353" s="638"/>
      <c r="L353" s="1106"/>
    </row>
    <row r="354" spans="1:13">
      <c r="A354" s="653"/>
      <c r="B354" s="654" t="str">
        <f>B10</f>
        <v>Average cost of national consultant per month (gross)</v>
      </c>
      <c r="C354" s="641">
        <f>C10</f>
        <v>600</v>
      </c>
      <c r="D354" s="642">
        <f>C354</f>
        <v>600</v>
      </c>
      <c r="E354" s="642">
        <f>D354</f>
        <v>600</v>
      </c>
      <c r="F354" s="642">
        <f>E354</f>
        <v>600</v>
      </c>
      <c r="G354" s="642">
        <f t="shared" ref="G354:J354" si="176">F354</f>
        <v>600</v>
      </c>
      <c r="H354" s="642">
        <f t="shared" si="176"/>
        <v>600</v>
      </c>
      <c r="I354" s="642">
        <f t="shared" si="176"/>
        <v>600</v>
      </c>
      <c r="J354" s="642">
        <f t="shared" si="176"/>
        <v>600</v>
      </c>
      <c r="K354" s="638"/>
      <c r="L354" s="1106"/>
    </row>
    <row r="355" spans="1:13">
      <c r="A355" s="655"/>
      <c r="B355" s="648" t="s">
        <v>1077</v>
      </c>
      <c r="C355" s="657"/>
      <c r="D355" s="650">
        <f>D353*D354</f>
        <v>7200</v>
      </c>
      <c r="E355" s="650">
        <f t="shared" ref="E355:J355" si="177">E353*E354</f>
        <v>10800</v>
      </c>
      <c r="F355" s="650">
        <f t="shared" si="177"/>
        <v>7200</v>
      </c>
      <c r="G355" s="650">
        <f t="shared" si="177"/>
        <v>7200</v>
      </c>
      <c r="H355" s="650">
        <f t="shared" si="177"/>
        <v>7200</v>
      </c>
      <c r="I355" s="650">
        <f t="shared" si="177"/>
        <v>7200</v>
      </c>
      <c r="J355" s="650">
        <f t="shared" si="177"/>
        <v>7200</v>
      </c>
      <c r="K355" s="651">
        <f>SUM(D355:F355)</f>
        <v>25200</v>
      </c>
      <c r="L355" s="1106">
        <f>SUM(G355:J355)</f>
        <v>28800</v>
      </c>
      <c r="M355" s="1492" t="s">
        <v>1933</v>
      </c>
    </row>
    <row r="356" spans="1:13">
      <c r="A356" s="611"/>
      <c r="B356" s="602"/>
      <c r="C356" s="546"/>
      <c r="D356" s="605"/>
      <c r="E356" s="605"/>
      <c r="F356" s="605"/>
      <c r="G356" s="605"/>
      <c r="H356" s="605"/>
      <c r="I356" s="605"/>
      <c r="J356" s="605"/>
      <c r="K356" s="605"/>
      <c r="L356" s="1106"/>
    </row>
    <row r="357" spans="1:13">
      <c r="A357" s="652" t="str">
        <f>'NSP Summary Budget (16-18)'!A59</f>
        <v>2.1.9</v>
      </c>
      <c r="B357" s="632" t="str">
        <f>'NSP Summary Budget (16-18)'!B59</f>
        <v>Training in drug management, international</v>
      </c>
      <c r="C357" s="633"/>
      <c r="D357" s="634"/>
      <c r="E357" s="634"/>
      <c r="F357" s="634"/>
      <c r="G357" s="969"/>
      <c r="H357" s="969"/>
      <c r="I357" s="969"/>
      <c r="J357" s="969"/>
      <c r="K357" s="635"/>
      <c r="L357" s="1106"/>
    </row>
    <row r="358" spans="1:13" ht="30">
      <c r="A358" s="653"/>
      <c r="B358" s="640" t="str">
        <f>B16</f>
        <v>Average cost of participation in international training, per person</v>
      </c>
      <c r="C358" s="641">
        <f>Training!F149</f>
        <v>3600</v>
      </c>
      <c r="D358" s="642">
        <f t="shared" ref="D358:F358" si="178">C358</f>
        <v>3600</v>
      </c>
      <c r="E358" s="642">
        <f t="shared" si="178"/>
        <v>3600</v>
      </c>
      <c r="F358" s="642">
        <f t="shared" si="178"/>
        <v>3600</v>
      </c>
      <c r="G358" s="642">
        <f t="shared" ref="G358" si="179">F358</f>
        <v>3600</v>
      </c>
      <c r="H358" s="642">
        <f t="shared" ref="H358" si="180">G358</f>
        <v>3600</v>
      </c>
      <c r="I358" s="642">
        <f t="shared" ref="I358" si="181">H358</f>
        <v>3600</v>
      </c>
      <c r="J358" s="642">
        <f t="shared" ref="J358" si="182">I358</f>
        <v>3600</v>
      </c>
      <c r="K358" s="638"/>
      <c r="L358" s="1106"/>
    </row>
    <row r="359" spans="1:13">
      <c r="A359" s="653"/>
      <c r="B359" s="640" t="s">
        <v>1451</v>
      </c>
      <c r="C359" s="636"/>
      <c r="D359" s="637">
        <v>2</v>
      </c>
      <c r="E359" s="637">
        <v>2</v>
      </c>
      <c r="F359" s="637">
        <v>2</v>
      </c>
      <c r="G359" s="637">
        <v>2</v>
      </c>
      <c r="H359" s="637">
        <v>2</v>
      </c>
      <c r="I359" s="637">
        <v>2</v>
      </c>
      <c r="J359" s="637">
        <v>2</v>
      </c>
      <c r="K359" s="638"/>
      <c r="L359" s="1106"/>
    </row>
    <row r="360" spans="1:13">
      <c r="A360" s="655"/>
      <c r="B360" s="648" t="s">
        <v>1077</v>
      </c>
      <c r="C360" s="657"/>
      <c r="D360" s="650">
        <f>D358*D359</f>
        <v>7200</v>
      </c>
      <c r="E360" s="650">
        <f t="shared" ref="E360:J360" si="183">E358*E359</f>
        <v>7200</v>
      </c>
      <c r="F360" s="650">
        <f t="shared" si="183"/>
        <v>7200</v>
      </c>
      <c r="G360" s="650">
        <f t="shared" si="183"/>
        <v>7200</v>
      </c>
      <c r="H360" s="650">
        <f t="shared" si="183"/>
        <v>7200</v>
      </c>
      <c r="I360" s="650">
        <f t="shared" si="183"/>
        <v>7200</v>
      </c>
      <c r="J360" s="650">
        <f t="shared" si="183"/>
        <v>7200</v>
      </c>
      <c r="K360" s="651">
        <f>SUM(D360:F360)</f>
        <v>21600</v>
      </c>
      <c r="L360" s="1106">
        <f>SUM(G360:J360)</f>
        <v>28800</v>
      </c>
      <c r="M360" s="1492" t="s">
        <v>1933</v>
      </c>
    </row>
    <row r="361" spans="1:13">
      <c r="A361" s="611"/>
      <c r="B361" s="548"/>
      <c r="C361" s="546"/>
      <c r="D361" s="550"/>
      <c r="E361" s="550"/>
      <c r="F361" s="550"/>
      <c r="G361" s="550"/>
      <c r="H361" s="550"/>
      <c r="I361" s="550"/>
      <c r="J361" s="550"/>
      <c r="K361" s="550"/>
      <c r="L361" s="1106"/>
    </row>
    <row r="362" spans="1:13">
      <c r="A362" s="652" t="str">
        <f>'NSP Summary Budget (16-18)'!A60</f>
        <v>2.1.10</v>
      </c>
      <c r="B362" s="632" t="str">
        <f>'NSP Summary Budget (16-18)'!B60</f>
        <v>Training in drug management, local</v>
      </c>
      <c r="C362" s="633"/>
      <c r="D362" s="634"/>
      <c r="E362" s="634"/>
      <c r="F362" s="634"/>
      <c r="G362" s="969"/>
      <c r="H362" s="969"/>
      <c r="I362" s="969"/>
      <c r="J362" s="969"/>
      <c r="K362" s="635"/>
      <c r="L362" s="1106"/>
    </row>
    <row r="363" spans="1:13">
      <c r="A363" s="653"/>
      <c r="B363" s="640" t="str">
        <f>B12</f>
        <v>Average cost of training, central level</v>
      </c>
      <c r="C363" s="641">
        <f>Training!G168</f>
        <v>3500</v>
      </c>
      <c r="D363" s="642">
        <f t="shared" ref="D363" si="184">C363</f>
        <v>3500</v>
      </c>
      <c r="E363" s="642">
        <f t="shared" ref="E363" si="185">D363</f>
        <v>3500</v>
      </c>
      <c r="F363" s="642">
        <f t="shared" ref="F363" si="186">E363</f>
        <v>3500</v>
      </c>
      <c r="G363" s="642">
        <f t="shared" ref="G363" si="187">F363</f>
        <v>3500</v>
      </c>
      <c r="H363" s="642">
        <f t="shared" ref="H363" si="188">G363</f>
        <v>3500</v>
      </c>
      <c r="I363" s="642">
        <f t="shared" ref="I363" si="189">H363</f>
        <v>3500</v>
      </c>
      <c r="J363" s="642">
        <f t="shared" ref="J363" si="190">I363</f>
        <v>3500</v>
      </c>
      <c r="K363" s="638"/>
      <c r="L363" s="1106"/>
    </row>
    <row r="364" spans="1:13">
      <c r="A364" s="653"/>
      <c r="B364" s="640" t="str">
        <f>B13</f>
        <v>Average cost of training, regional level</v>
      </c>
      <c r="C364" s="641"/>
      <c r="D364" s="642"/>
      <c r="E364" s="642"/>
      <c r="F364" s="642"/>
      <c r="G364" s="642"/>
      <c r="H364" s="642"/>
      <c r="I364" s="642"/>
      <c r="J364" s="642"/>
      <c r="K364" s="638"/>
      <c r="L364" s="1106"/>
    </row>
    <row r="365" spans="1:13">
      <c r="A365" s="653"/>
      <c r="B365" s="654" t="s">
        <v>1080</v>
      </c>
      <c r="C365" s="636"/>
      <c r="D365" s="637">
        <v>2</v>
      </c>
      <c r="E365" s="637">
        <v>2</v>
      </c>
      <c r="F365" s="637">
        <v>2</v>
      </c>
      <c r="G365" s="637">
        <v>2</v>
      </c>
      <c r="H365" s="637">
        <v>2</v>
      </c>
      <c r="I365" s="637">
        <v>2</v>
      </c>
      <c r="J365" s="637">
        <v>2</v>
      </c>
      <c r="K365" s="638"/>
      <c r="L365" s="1106"/>
    </row>
    <row r="366" spans="1:13">
      <c r="A366" s="653"/>
      <c r="B366" s="654" t="s">
        <v>1081</v>
      </c>
      <c r="C366" s="636"/>
      <c r="D366" s="637"/>
      <c r="E366" s="637"/>
      <c r="F366" s="637"/>
      <c r="G366" s="637"/>
      <c r="H366" s="637"/>
      <c r="I366" s="637"/>
      <c r="J366" s="637"/>
      <c r="K366" s="638"/>
      <c r="L366" s="1106"/>
    </row>
    <row r="367" spans="1:13">
      <c r="A367" s="655"/>
      <c r="B367" s="648" t="s">
        <v>1077</v>
      </c>
      <c r="C367" s="657"/>
      <c r="D367" s="650">
        <f>D363*D365+D364*D366</f>
        <v>7000</v>
      </c>
      <c r="E367" s="650">
        <f t="shared" ref="E367:J367" si="191">E363*E365+E364*E366</f>
        <v>7000</v>
      </c>
      <c r="F367" s="650">
        <f t="shared" si="191"/>
        <v>7000</v>
      </c>
      <c r="G367" s="650">
        <f t="shared" si="191"/>
        <v>7000</v>
      </c>
      <c r="H367" s="650">
        <f t="shared" si="191"/>
        <v>7000</v>
      </c>
      <c r="I367" s="650">
        <f t="shared" si="191"/>
        <v>7000</v>
      </c>
      <c r="J367" s="650">
        <f t="shared" si="191"/>
        <v>7000</v>
      </c>
      <c r="K367" s="651">
        <f>SUM(D367:F367)</f>
        <v>21000</v>
      </c>
      <c r="L367" s="1106">
        <f>SUM(G367:J367)</f>
        <v>28000</v>
      </c>
      <c r="M367" s="1492" t="s">
        <v>1933</v>
      </c>
    </row>
    <row r="368" spans="1:13">
      <c r="A368" s="611"/>
      <c r="B368" s="548"/>
      <c r="C368" s="546"/>
      <c r="D368" s="550"/>
      <c r="E368" s="550"/>
      <c r="F368" s="550"/>
      <c r="G368" s="550"/>
      <c r="H368" s="550"/>
      <c r="I368" s="550"/>
      <c r="J368" s="550"/>
      <c r="K368" s="550"/>
      <c r="L368" s="1106"/>
    </row>
    <row r="369" spans="1:14">
      <c r="A369" s="652" t="str">
        <f>'NSP Summary Budget (16-18)'!A61</f>
        <v>2.1.11</v>
      </c>
      <c r="B369" s="632" t="str">
        <f>'NSP Summary Budget (16-18)'!B61</f>
        <v>In-country quality assurance of TB drugs</v>
      </c>
      <c r="C369" s="633"/>
      <c r="D369" s="634"/>
      <c r="E369" s="634"/>
      <c r="F369" s="634"/>
      <c r="G369" s="969"/>
      <c r="H369" s="969"/>
      <c r="I369" s="969"/>
      <c r="J369" s="969"/>
      <c r="K369" s="635"/>
      <c r="L369" s="1106"/>
    </row>
    <row r="370" spans="1:14">
      <c r="A370" s="653"/>
      <c r="B370" s="640" t="str">
        <f>B57</f>
        <v>Annual cost of in-country quality assurance of TB drugs</v>
      </c>
      <c r="C370" s="641">
        <f>C57</f>
        <v>20000</v>
      </c>
      <c r="D370" s="642">
        <f>C370</f>
        <v>20000</v>
      </c>
      <c r="E370" s="642">
        <f>D370</f>
        <v>20000</v>
      </c>
      <c r="F370" s="642">
        <f>E370</f>
        <v>20000</v>
      </c>
      <c r="G370" s="642">
        <f t="shared" ref="G370:J370" si="192">F370</f>
        <v>20000</v>
      </c>
      <c r="H370" s="642">
        <f t="shared" si="192"/>
        <v>20000</v>
      </c>
      <c r="I370" s="642">
        <f t="shared" si="192"/>
        <v>20000</v>
      </c>
      <c r="J370" s="642">
        <f t="shared" si="192"/>
        <v>20000</v>
      </c>
      <c r="K370" s="638"/>
      <c r="L370" s="1106"/>
    </row>
    <row r="371" spans="1:14">
      <c r="A371" s="655"/>
      <c r="B371" s="648" t="s">
        <v>1077</v>
      </c>
      <c r="C371" s="656"/>
      <c r="D371" s="650">
        <f>SUM(D370)</f>
        <v>20000</v>
      </c>
      <c r="E371" s="650">
        <f t="shared" ref="E371:J371" si="193">SUM(E370)</f>
        <v>20000</v>
      </c>
      <c r="F371" s="650">
        <f t="shared" si="193"/>
        <v>20000</v>
      </c>
      <c r="G371" s="650">
        <f t="shared" si="193"/>
        <v>20000</v>
      </c>
      <c r="H371" s="650">
        <f t="shared" si="193"/>
        <v>20000</v>
      </c>
      <c r="I371" s="650">
        <f t="shared" si="193"/>
        <v>20000</v>
      </c>
      <c r="J371" s="650">
        <f t="shared" si="193"/>
        <v>20000</v>
      </c>
      <c r="K371" s="651">
        <f>SUM(D371:F371)</f>
        <v>60000</v>
      </c>
      <c r="L371" s="1106">
        <f>SUM(G371:J371)</f>
        <v>80000</v>
      </c>
      <c r="M371" s="1492" t="s">
        <v>1933</v>
      </c>
    </row>
    <row r="372" spans="1:14">
      <c r="A372" s="611"/>
      <c r="B372" s="548"/>
      <c r="C372" s="549"/>
      <c r="D372" s="550"/>
      <c r="E372" s="550"/>
      <c r="F372" s="550"/>
      <c r="G372" s="550"/>
      <c r="H372" s="550"/>
      <c r="I372" s="550"/>
      <c r="J372" s="550"/>
      <c r="K372" s="550"/>
      <c r="L372" s="1106"/>
    </row>
    <row r="373" spans="1:14" ht="45">
      <c r="A373" s="652" t="str">
        <f>'NSP Summary Budget (16-18)'!A62</f>
        <v>2.1.12</v>
      </c>
      <c r="B373" s="632" t="str">
        <f>'NSP Summary Budget (16-18)'!B62</f>
        <v>Clinical supervision of implementation of new drugs and treatment regimens for M/XDR-TB: mobile consilium</v>
      </c>
      <c r="C373" s="633"/>
      <c r="D373" s="634"/>
      <c r="E373" s="634"/>
      <c r="F373" s="634"/>
      <c r="G373" s="969"/>
      <c r="H373" s="969"/>
      <c r="I373" s="969"/>
      <c r="J373" s="969"/>
      <c r="K373" s="635"/>
      <c r="L373" s="1106"/>
    </row>
    <row r="374" spans="1:14">
      <c r="A374" s="653"/>
      <c r="B374" s="640" t="str">
        <f>B58</f>
        <v>Annual cost of 'mobile consilium'</v>
      </c>
      <c r="C374" s="964">
        <f>C58</f>
        <v>15600</v>
      </c>
      <c r="D374" s="965">
        <f>C374</f>
        <v>15600</v>
      </c>
      <c r="E374" s="965">
        <f>D374</f>
        <v>15600</v>
      </c>
      <c r="F374" s="965">
        <f>E374</f>
        <v>15600</v>
      </c>
      <c r="G374" s="965">
        <f t="shared" ref="G374:J374" si="194">F374</f>
        <v>15600</v>
      </c>
      <c r="H374" s="965">
        <f t="shared" si="194"/>
        <v>15600</v>
      </c>
      <c r="I374" s="965">
        <f t="shared" si="194"/>
        <v>15600</v>
      </c>
      <c r="J374" s="965">
        <f t="shared" si="194"/>
        <v>15600</v>
      </c>
      <c r="K374" s="638"/>
      <c r="L374" s="1106"/>
    </row>
    <row r="375" spans="1:14">
      <c r="A375" s="655"/>
      <c r="B375" s="648" t="s">
        <v>1077</v>
      </c>
      <c r="C375" s="657"/>
      <c r="D375" s="650">
        <f>D374</f>
        <v>15600</v>
      </c>
      <c r="E375" s="650">
        <f t="shared" ref="E375" si="195">E374</f>
        <v>15600</v>
      </c>
      <c r="F375" s="650">
        <f t="shared" ref="F375:J375" si="196">F374</f>
        <v>15600</v>
      </c>
      <c r="G375" s="650">
        <f t="shared" si="196"/>
        <v>15600</v>
      </c>
      <c r="H375" s="650">
        <f t="shared" si="196"/>
        <v>15600</v>
      </c>
      <c r="I375" s="650">
        <f t="shared" si="196"/>
        <v>15600</v>
      </c>
      <c r="J375" s="650">
        <f t="shared" si="196"/>
        <v>15600</v>
      </c>
      <c r="K375" s="651">
        <f>SUM(D375:F375)</f>
        <v>46800</v>
      </c>
      <c r="L375" s="1106">
        <f>SUM(G375:J375)</f>
        <v>62400</v>
      </c>
      <c r="M375" s="1492" t="s">
        <v>1933</v>
      </c>
    </row>
    <row r="376" spans="1:14">
      <c r="A376" s="611"/>
      <c r="B376" s="548"/>
      <c r="C376" s="549"/>
      <c r="D376" s="550"/>
      <c r="E376" s="550"/>
      <c r="F376" s="550"/>
      <c r="G376" s="550"/>
      <c r="H376" s="550"/>
      <c r="I376" s="550"/>
      <c r="J376" s="550"/>
      <c r="K376" s="550"/>
      <c r="L376" s="1106"/>
    </row>
    <row r="377" spans="1:14" ht="28.5" customHeight="1">
      <c r="A377" s="589">
        <f>'NSP Summary Budget (16-18)'!A63</f>
        <v>2.2000000000000002</v>
      </c>
      <c r="B377" s="1783" t="str">
        <f>'NSP Summary Budget (16-18)'!B63</f>
        <v>Patient support to improve adherence to TB treatment</v>
      </c>
      <c r="C377" s="1783"/>
      <c r="D377" s="590"/>
      <c r="E377" s="590"/>
      <c r="F377" s="590"/>
      <c r="G377" s="590"/>
      <c r="H377" s="590"/>
      <c r="I377" s="590"/>
      <c r="J377" s="590"/>
      <c r="K377" s="590"/>
      <c r="L377" s="1490">
        <f>L401+L409+L417+L425+L449+L457+L465+L473+L478+L483+L488+L493+L498</f>
        <v>3785598.88</v>
      </c>
    </row>
    <row r="378" spans="1:14">
      <c r="A378" s="611"/>
      <c r="B378" s="602"/>
      <c r="C378" s="546"/>
      <c r="D378" s="605"/>
      <c r="E378" s="605"/>
      <c r="F378" s="605"/>
      <c r="G378" s="605"/>
      <c r="H378" s="605"/>
      <c r="I378" s="605"/>
      <c r="J378" s="605"/>
      <c r="K378" s="605"/>
      <c r="L378" s="1106"/>
      <c r="M378" s="946"/>
      <c r="N378" s="946"/>
    </row>
    <row r="379" spans="1:14">
      <c r="A379" s="967" t="str">
        <f>'NSP Summary Budget (16-18)'!A64</f>
        <v>2.2.1</v>
      </c>
      <c r="B379" s="968" t="str">
        <f>'NSP Summary Budget (16-18)'!B64</f>
        <v>Incentives for TB patients</v>
      </c>
      <c r="C379" s="950"/>
      <c r="D379" s="969"/>
      <c r="E379" s="969"/>
      <c r="F379" s="969"/>
      <c r="G379" s="969"/>
      <c r="H379" s="969"/>
      <c r="I379" s="969"/>
      <c r="J379" s="969"/>
      <c r="K379" s="969"/>
      <c r="L379" s="1106"/>
      <c r="M379" s="946"/>
      <c r="N379" s="946"/>
    </row>
    <row r="380" spans="1:14">
      <c r="A380" s="653"/>
      <c r="B380" s="654"/>
      <c r="C380" s="636"/>
      <c r="D380" s="637"/>
      <c r="E380" s="637"/>
      <c r="F380" s="637"/>
      <c r="G380" s="637"/>
      <c r="H380" s="637"/>
      <c r="I380" s="637"/>
      <c r="J380" s="637"/>
      <c r="K380" s="637"/>
      <c r="L380" s="1106"/>
      <c r="M380" s="946"/>
      <c r="N380" s="946"/>
    </row>
    <row r="381" spans="1:14" s="584" customFormat="1" ht="32.1" customHeight="1">
      <c r="A381" s="673"/>
      <c r="B381" s="674" t="s">
        <v>1511</v>
      </c>
      <c r="C381" s="675" t="s">
        <v>274</v>
      </c>
      <c r="D381" s="675" t="s">
        <v>1512</v>
      </c>
      <c r="E381" s="675" t="s">
        <v>1513</v>
      </c>
      <c r="F381" s="675" t="s">
        <v>1514</v>
      </c>
      <c r="G381" s="675"/>
      <c r="H381" s="675"/>
      <c r="I381" s="675"/>
      <c r="J381" s="675"/>
      <c r="K381" s="675" t="s">
        <v>1515</v>
      </c>
      <c r="L381" s="1106"/>
      <c r="M381" s="946"/>
      <c r="N381" s="946"/>
    </row>
    <row r="382" spans="1:14" s="584" customFormat="1">
      <c r="A382" s="673"/>
      <c r="B382" s="676" t="s">
        <v>1099</v>
      </c>
      <c r="C382" s="677">
        <f>'TB drugs cost'!C212</f>
        <v>8734</v>
      </c>
      <c r="D382" s="677">
        <f>'TB drugs cost'!C213</f>
        <v>347</v>
      </c>
      <c r="E382" s="677">
        <f>'TB drugs cost'!C214</f>
        <v>905</v>
      </c>
      <c r="F382" s="677">
        <f>'TB drugs cost'!C215</f>
        <v>101</v>
      </c>
      <c r="G382" s="677"/>
      <c r="H382" s="677"/>
      <c r="I382" s="677"/>
      <c r="J382" s="677"/>
      <c r="K382" s="677">
        <f>'TB drugs cost'!C216</f>
        <v>499</v>
      </c>
      <c r="L382" s="1106"/>
      <c r="M382" s="946"/>
      <c r="N382" s="946"/>
    </row>
    <row r="383" spans="1:14" s="584" customFormat="1">
      <c r="A383" s="673"/>
      <c r="B383" s="676" t="s">
        <v>1100</v>
      </c>
      <c r="C383" s="678">
        <v>0.8</v>
      </c>
      <c r="D383" s="678">
        <v>0.9</v>
      </c>
      <c r="E383" s="678">
        <v>0.95</v>
      </c>
      <c r="F383" s="678">
        <v>0.95</v>
      </c>
      <c r="G383" s="678"/>
      <c r="H383" s="678"/>
      <c r="I383" s="678"/>
      <c r="J383" s="678"/>
      <c r="K383" s="678">
        <v>1</v>
      </c>
      <c r="L383" s="1106"/>
      <c r="M383" s="946"/>
      <c r="N383" s="946"/>
    </row>
    <row r="384" spans="1:14" s="584" customFormat="1">
      <c r="A384" s="673"/>
      <c r="B384" s="676" t="s">
        <v>1101</v>
      </c>
      <c r="C384" s="677">
        <f>C382*C383</f>
        <v>6987.2000000000007</v>
      </c>
      <c r="D384" s="677">
        <f t="shared" ref="D384:K384" si="197">D382*D383</f>
        <v>312.3</v>
      </c>
      <c r="E384" s="677">
        <f t="shared" si="197"/>
        <v>859.75</v>
      </c>
      <c r="F384" s="677">
        <f t="shared" ref="F384" si="198">F382*F383</f>
        <v>95.949999999999989</v>
      </c>
      <c r="G384" s="677"/>
      <c r="H384" s="677"/>
      <c r="I384" s="677"/>
      <c r="J384" s="677"/>
      <c r="K384" s="677">
        <f t="shared" si="197"/>
        <v>499</v>
      </c>
      <c r="L384" s="1106"/>
      <c r="M384" s="946"/>
      <c r="N384" s="946"/>
    </row>
    <row r="385" spans="1:21" s="584" customFormat="1">
      <c r="A385" s="673"/>
      <c r="B385" s="676" t="s">
        <v>1102</v>
      </c>
      <c r="C385" s="679">
        <v>6</v>
      </c>
      <c r="D385" s="679">
        <v>10</v>
      </c>
      <c r="E385" s="679">
        <v>20</v>
      </c>
      <c r="F385" s="679">
        <v>9</v>
      </c>
      <c r="G385" s="679"/>
      <c r="H385" s="679"/>
      <c r="I385" s="679"/>
      <c r="J385" s="679"/>
      <c r="K385" s="679">
        <v>24</v>
      </c>
      <c r="L385" s="1106"/>
      <c r="M385" s="946"/>
      <c r="N385" s="946"/>
    </row>
    <row r="386" spans="1:21" s="584" customFormat="1">
      <c r="A386" s="673"/>
      <c r="B386" s="676" t="s">
        <v>1504</v>
      </c>
      <c r="C386" s="679">
        <v>1</v>
      </c>
      <c r="D386" s="679">
        <v>1</v>
      </c>
      <c r="E386" s="679">
        <v>1</v>
      </c>
      <c r="F386" s="679">
        <v>1</v>
      </c>
      <c r="G386" s="679"/>
      <c r="H386" s="679"/>
      <c r="I386" s="679"/>
      <c r="J386" s="679"/>
      <c r="K386" s="679">
        <v>1</v>
      </c>
      <c r="L386" s="1106"/>
      <c r="M386" s="946"/>
      <c r="N386" s="946"/>
    </row>
    <row r="387" spans="1:21" s="584" customFormat="1">
      <c r="A387" s="673"/>
      <c r="B387" s="676" t="s">
        <v>1103</v>
      </c>
      <c r="C387" s="678">
        <v>0.9</v>
      </c>
      <c r="D387" s="678">
        <v>0.8</v>
      </c>
      <c r="E387" s="678">
        <v>0.7</v>
      </c>
      <c r="F387" s="678">
        <v>0.8</v>
      </c>
      <c r="G387" s="678"/>
      <c r="H387" s="678"/>
      <c r="I387" s="678"/>
      <c r="J387" s="678"/>
      <c r="K387" s="678">
        <v>0.7</v>
      </c>
      <c r="L387" s="1106"/>
      <c r="M387" s="946"/>
      <c r="N387" s="946"/>
    </row>
    <row r="388" spans="1:21" s="584" customFormat="1">
      <c r="A388" s="673"/>
      <c r="B388" s="676" t="s">
        <v>1505</v>
      </c>
      <c r="C388" s="677">
        <f>C384*C385*C386*C387</f>
        <v>37730.880000000005</v>
      </c>
      <c r="D388" s="677">
        <f t="shared" ref="D388:K388" si="199">D384*D385*D386*D387</f>
        <v>2498.4</v>
      </c>
      <c r="E388" s="677">
        <f t="shared" si="199"/>
        <v>12036.5</v>
      </c>
      <c r="F388" s="677">
        <f t="shared" ref="F388" si="200">F384*F385*F386*F387</f>
        <v>690.84</v>
      </c>
      <c r="G388" s="677"/>
      <c r="H388" s="677"/>
      <c r="I388" s="677"/>
      <c r="J388" s="677"/>
      <c r="K388" s="677">
        <f t="shared" si="199"/>
        <v>8383.1999999999989</v>
      </c>
      <c r="L388" s="1106"/>
      <c r="M388" s="946"/>
      <c r="N388" s="946"/>
    </row>
    <row r="389" spans="1:21" s="584" customFormat="1">
      <c r="A389" s="673"/>
      <c r="B389" s="676" t="str">
        <f>B59</f>
        <v>Cost of 1 incentive package (per month), first-line treatment</v>
      </c>
      <c r="C389" s="680">
        <f>C59</f>
        <v>15</v>
      </c>
      <c r="D389" s="680">
        <f>C60</f>
        <v>40</v>
      </c>
      <c r="E389" s="680">
        <f>C61</f>
        <v>60</v>
      </c>
      <c r="F389" s="680">
        <f>E389</f>
        <v>60</v>
      </c>
      <c r="G389" s="680"/>
      <c r="H389" s="680"/>
      <c r="I389" s="680"/>
      <c r="J389" s="680"/>
      <c r="K389" s="680">
        <f>E389</f>
        <v>60</v>
      </c>
      <c r="L389" s="1106"/>
      <c r="M389" s="946"/>
      <c r="N389" s="946"/>
    </row>
    <row r="390" spans="1:21" s="584" customFormat="1">
      <c r="A390" s="673"/>
      <c r="B390" s="681" t="s">
        <v>1506</v>
      </c>
      <c r="C390" s="682">
        <f>C388*C389</f>
        <v>565963.20000000007</v>
      </c>
      <c r="D390" s="682">
        <f t="shared" ref="D390:K390" si="201">D388*D389</f>
        <v>99936</v>
      </c>
      <c r="E390" s="682">
        <f t="shared" si="201"/>
        <v>722190</v>
      </c>
      <c r="F390" s="682">
        <f t="shared" ref="F390" si="202">F388*F389</f>
        <v>41450.400000000001</v>
      </c>
      <c r="G390" s="682"/>
      <c r="H390" s="682"/>
      <c r="I390" s="682"/>
      <c r="J390" s="682"/>
      <c r="K390" s="682">
        <f t="shared" si="201"/>
        <v>502991.99999999994</v>
      </c>
      <c r="L390" s="1106"/>
      <c r="M390" s="946"/>
      <c r="N390" s="946"/>
    </row>
    <row r="391" spans="1:21" s="584" customFormat="1">
      <c r="A391" s="673"/>
      <c r="B391" s="681" t="s">
        <v>1507</v>
      </c>
      <c r="C391" s="683">
        <f>C390/C384</f>
        <v>81</v>
      </c>
      <c r="D391" s="683">
        <f t="shared" ref="D391:K391" si="203">D390/D384</f>
        <v>320</v>
      </c>
      <c r="E391" s="683">
        <f t="shared" si="203"/>
        <v>840</v>
      </c>
      <c r="F391" s="683">
        <f t="shared" ref="F391" si="204">F390/F384</f>
        <v>432.00000000000006</v>
      </c>
      <c r="G391" s="683"/>
      <c r="H391" s="683"/>
      <c r="I391" s="683"/>
      <c r="J391" s="683"/>
      <c r="K391" s="683">
        <f t="shared" si="203"/>
        <v>1007.9999999999999</v>
      </c>
      <c r="L391" s="1106"/>
      <c r="M391" s="946"/>
      <c r="N391" s="946"/>
    </row>
    <row r="392" spans="1:21" s="584" customFormat="1">
      <c r="A392" s="673"/>
      <c r="B392" s="684"/>
      <c r="C392" s="685"/>
      <c r="D392" s="679"/>
      <c r="E392" s="679"/>
      <c r="F392" s="679"/>
      <c r="G392" s="679"/>
      <c r="H392" s="679"/>
      <c r="I392" s="679"/>
      <c r="J392" s="679"/>
      <c r="K392" s="679"/>
      <c r="L392" s="1106"/>
      <c r="M392" s="946"/>
      <c r="N392" s="946"/>
    </row>
    <row r="393" spans="1:21" s="584" customFormat="1">
      <c r="A393" s="673"/>
      <c r="B393" s="686" t="s">
        <v>1517</v>
      </c>
      <c r="C393" s="685"/>
      <c r="D393" s="679"/>
      <c r="E393" s="679"/>
      <c r="F393" s="679"/>
      <c r="G393" s="679"/>
      <c r="H393" s="679"/>
      <c r="I393" s="679"/>
      <c r="J393" s="679"/>
      <c r="K393" s="679"/>
      <c r="L393" s="1106"/>
      <c r="M393" s="946"/>
      <c r="N393" s="946"/>
    </row>
    <row r="394" spans="1:21" s="584" customFormat="1">
      <c r="A394" s="673"/>
      <c r="B394" s="684"/>
      <c r="C394" s="685"/>
      <c r="D394" s="679"/>
      <c r="E394" s="679"/>
      <c r="F394" s="679"/>
      <c r="G394" s="679"/>
      <c r="H394" s="679"/>
      <c r="I394" s="679"/>
      <c r="J394" s="679"/>
      <c r="K394" s="679"/>
      <c r="L394" s="1106"/>
      <c r="M394" s="946"/>
      <c r="N394" s="946"/>
    </row>
    <row r="395" spans="1:21" s="584" customFormat="1">
      <c r="A395" s="673"/>
      <c r="B395" s="594" t="s">
        <v>1508</v>
      </c>
      <c r="C395" s="595"/>
      <c r="D395" s="595" t="s">
        <v>979</v>
      </c>
      <c r="E395" s="595" t="s">
        <v>980</v>
      </c>
      <c r="F395" s="595" t="s">
        <v>1360</v>
      </c>
      <c r="G395" s="595" t="s">
        <v>1862</v>
      </c>
      <c r="H395" s="595" t="s">
        <v>1863</v>
      </c>
      <c r="I395" s="595" t="s">
        <v>1864</v>
      </c>
      <c r="J395" s="595" t="s">
        <v>1865</v>
      </c>
      <c r="K395" s="687"/>
      <c r="L395" s="1106"/>
      <c r="M395" s="946"/>
      <c r="N395" s="946"/>
    </row>
    <row r="396" spans="1:21" s="584" customFormat="1">
      <c r="A396" s="673"/>
      <c r="B396" s="688" t="s">
        <v>274</v>
      </c>
      <c r="C396" s="689"/>
      <c r="D396" s="689">
        <f>CALCULATIONS!F183</f>
        <v>2770</v>
      </c>
      <c r="E396" s="689">
        <f>CALCULATIONS!G183</f>
        <v>2529</v>
      </c>
      <c r="F396" s="689">
        <f>CALCULATIONS!H183</f>
        <v>2398</v>
      </c>
      <c r="G396" s="689">
        <f>CALCULATIONS!I183</f>
        <v>2296</v>
      </c>
      <c r="H396" s="689">
        <f>CALCULATIONS!J183</f>
        <v>2212</v>
      </c>
      <c r="I396" s="689">
        <f>CALCULATIONS!K183</f>
        <v>2142</v>
      </c>
      <c r="J396" s="689">
        <f>CALCULATIONS!L183</f>
        <v>2084</v>
      </c>
      <c r="K396" s="687"/>
      <c r="L396" s="1106"/>
      <c r="M396" s="946"/>
      <c r="N396" s="946"/>
    </row>
    <row r="397" spans="1:21" s="584" customFormat="1">
      <c r="A397" s="673"/>
      <c r="B397" s="688" t="s">
        <v>1512</v>
      </c>
      <c r="C397" s="689"/>
      <c r="D397" s="689">
        <f>CALCULATIONS!F184</f>
        <v>131</v>
      </c>
      <c r="E397" s="689">
        <f>CALCULATIONS!G184</f>
        <v>113</v>
      </c>
      <c r="F397" s="689">
        <f>CALCULATIONS!H184</f>
        <v>103</v>
      </c>
      <c r="G397" s="689">
        <f>CALCULATIONS!I184</f>
        <v>94</v>
      </c>
      <c r="H397" s="689">
        <f>CALCULATIONS!J184</f>
        <v>84</v>
      </c>
      <c r="I397" s="689">
        <f>CALCULATIONS!K184</f>
        <v>80</v>
      </c>
      <c r="J397" s="689">
        <f>CALCULATIONS!L184</f>
        <v>77</v>
      </c>
      <c r="K397" s="687"/>
      <c r="L397" s="1106"/>
      <c r="M397" s="946"/>
      <c r="N397" s="946"/>
      <c r="O397" s="1626" t="s">
        <v>2137</v>
      </c>
      <c r="P397" s="1626" t="s">
        <v>2138</v>
      </c>
      <c r="Q397" s="1626">
        <v>2019</v>
      </c>
      <c r="R397" s="1626">
        <v>2020</v>
      </c>
      <c r="S397" s="1626">
        <v>2021</v>
      </c>
      <c r="T397" s="1626">
        <v>2022</v>
      </c>
      <c r="U397" s="1626" t="s">
        <v>4</v>
      </c>
    </row>
    <row r="398" spans="1:21" s="584" customFormat="1">
      <c r="A398" s="673"/>
      <c r="B398" s="688" t="s">
        <v>1513</v>
      </c>
      <c r="C398" s="689"/>
      <c r="D398" s="689">
        <f>'TB drugs cost'!F99</f>
        <v>264</v>
      </c>
      <c r="E398" s="689">
        <f>'TB drugs cost'!G99</f>
        <v>246</v>
      </c>
      <c r="F398" s="689">
        <f>'TB drugs cost'!H99</f>
        <v>238</v>
      </c>
      <c r="G398" s="689">
        <f>'TB drugs cost'!I99</f>
        <v>233</v>
      </c>
      <c r="H398" s="689">
        <f>'TB drugs cost'!J99</f>
        <v>228</v>
      </c>
      <c r="I398" s="689">
        <f>'TB drugs cost'!K99</f>
        <v>224</v>
      </c>
      <c r="J398" s="689">
        <f>'TB drugs cost'!L99</f>
        <v>220</v>
      </c>
      <c r="K398" s="687"/>
      <c r="L398" s="1106"/>
      <c r="M398" s="946"/>
      <c r="N398" s="946"/>
      <c r="O398" s="1632" t="s">
        <v>274</v>
      </c>
      <c r="P398" s="1608">
        <f>D396</f>
        <v>2770</v>
      </c>
      <c r="Q398" s="1633">
        <f>G396</f>
        <v>2296</v>
      </c>
      <c r="R398" s="1633">
        <f t="shared" ref="R398:T398" si="205">H396</f>
        <v>2212</v>
      </c>
      <c r="S398" s="1633">
        <f t="shared" si="205"/>
        <v>2142</v>
      </c>
      <c r="T398" s="1633">
        <f t="shared" si="205"/>
        <v>2084</v>
      </c>
      <c r="U398" s="1634">
        <f>Q398+R398+S398+T398</f>
        <v>8734</v>
      </c>
    </row>
    <row r="399" spans="1:21" s="584" customFormat="1">
      <c r="A399" s="673"/>
      <c r="B399" s="688" t="s">
        <v>1514</v>
      </c>
      <c r="C399" s="689"/>
      <c r="D399" s="689">
        <f>'TB drugs cost'!F100</f>
        <v>29</v>
      </c>
      <c r="E399" s="689">
        <f>'TB drugs cost'!G100</f>
        <v>27</v>
      </c>
      <c r="F399" s="689">
        <f>'TB drugs cost'!H100</f>
        <v>27</v>
      </c>
      <c r="G399" s="689">
        <f>'TB drugs cost'!I100</f>
        <v>26</v>
      </c>
      <c r="H399" s="689">
        <f>'TB drugs cost'!J100</f>
        <v>25</v>
      </c>
      <c r="I399" s="689">
        <f>'TB drugs cost'!K100</f>
        <v>25</v>
      </c>
      <c r="J399" s="689">
        <f>'TB drugs cost'!L100</f>
        <v>25</v>
      </c>
      <c r="K399" s="687"/>
      <c r="L399" s="1106"/>
      <c r="M399" s="946"/>
      <c r="N399" s="946"/>
      <c r="O399" s="1632" t="s">
        <v>2139</v>
      </c>
      <c r="P399" s="1608">
        <f>D397</f>
        <v>131</v>
      </c>
      <c r="Q399" s="1633">
        <f>G397</f>
        <v>94</v>
      </c>
      <c r="R399" s="1633">
        <f t="shared" ref="R399:T399" si="206">H397</f>
        <v>84</v>
      </c>
      <c r="S399" s="1633">
        <f t="shared" si="206"/>
        <v>80</v>
      </c>
      <c r="T399" s="1633">
        <f t="shared" si="206"/>
        <v>77</v>
      </c>
      <c r="U399" s="1634">
        <f t="shared" ref="U399:U403" si="207">Q399+R399+S399+T399</f>
        <v>335</v>
      </c>
    </row>
    <row r="400" spans="1:21" s="584" customFormat="1">
      <c r="A400" s="673"/>
      <c r="B400" s="688" t="s">
        <v>1503</v>
      </c>
      <c r="C400" s="689"/>
      <c r="D400" s="689">
        <f>SUM(CALCULATIONS!F186:F187)</f>
        <v>130</v>
      </c>
      <c r="E400" s="689">
        <f>SUM(CALCULATIONS!G186:G187)</f>
        <v>125</v>
      </c>
      <c r="F400" s="689">
        <f>SUM(CALCULATIONS!H186:H187)</f>
        <v>126</v>
      </c>
      <c r="G400" s="689">
        <f>SUM(CALCULATIONS!I186:I187)</f>
        <v>127</v>
      </c>
      <c r="H400" s="689">
        <f>SUM(CALCULATIONS!J186:J187)</f>
        <v>127</v>
      </c>
      <c r="I400" s="689">
        <f>SUM(CALCULATIONS!K186:K187)</f>
        <v>124</v>
      </c>
      <c r="J400" s="689">
        <f>SUM(CALCULATIONS!L186:L187)</f>
        <v>121</v>
      </c>
      <c r="K400" s="687"/>
      <c r="L400" s="1106"/>
      <c r="M400" s="946"/>
      <c r="N400" s="946"/>
      <c r="O400" s="1632" t="s">
        <v>2140</v>
      </c>
      <c r="P400" s="1607">
        <f>P401+P402+P403</f>
        <v>423</v>
      </c>
      <c r="Q400" s="1607">
        <f>Q401+Q402+Q403</f>
        <v>387</v>
      </c>
      <c r="R400" s="1607">
        <f t="shared" ref="R400:T400" si="208">R401+R402+R403</f>
        <v>382</v>
      </c>
      <c r="S400" s="1607">
        <f t="shared" si="208"/>
        <v>375</v>
      </c>
      <c r="T400" s="1607">
        <f t="shared" si="208"/>
        <v>367</v>
      </c>
      <c r="U400" s="1634">
        <f t="shared" si="207"/>
        <v>1511</v>
      </c>
    </row>
    <row r="401" spans="1:21" s="584" customFormat="1" ht="25.5">
      <c r="A401" s="673"/>
      <c r="B401" s="690" t="s">
        <v>4</v>
      </c>
      <c r="C401" s="689"/>
      <c r="D401" s="691">
        <f>SUM(D396:D400)</f>
        <v>3324</v>
      </c>
      <c r="E401" s="691">
        <f t="shared" ref="E401:J401" si="209">SUM(E396:E400)</f>
        <v>3040</v>
      </c>
      <c r="F401" s="691">
        <f t="shared" si="209"/>
        <v>2892</v>
      </c>
      <c r="G401" s="691">
        <f t="shared" si="209"/>
        <v>2776</v>
      </c>
      <c r="H401" s="691">
        <f t="shared" si="209"/>
        <v>2676</v>
      </c>
      <c r="I401" s="691">
        <f t="shared" si="209"/>
        <v>2595</v>
      </c>
      <c r="J401" s="691">
        <f t="shared" si="209"/>
        <v>2527</v>
      </c>
      <c r="K401" s="970">
        <f>SUM(D401:F401)</f>
        <v>9256</v>
      </c>
      <c r="L401" s="1106"/>
      <c r="M401" s="946"/>
      <c r="N401" s="946"/>
      <c r="O401" s="1631" t="s">
        <v>2141</v>
      </c>
      <c r="P401" s="1608">
        <f>D398</f>
        <v>264</v>
      </c>
      <c r="Q401" s="1633">
        <f>G398</f>
        <v>233</v>
      </c>
      <c r="R401" s="1633">
        <f t="shared" ref="R401:T401" si="210">H398</f>
        <v>228</v>
      </c>
      <c r="S401" s="1633">
        <f t="shared" si="210"/>
        <v>224</v>
      </c>
      <c r="T401" s="1633">
        <f t="shared" si="210"/>
        <v>220</v>
      </c>
      <c r="U401" s="1634">
        <f t="shared" si="207"/>
        <v>905</v>
      </c>
    </row>
    <row r="402" spans="1:21" s="584" customFormat="1">
      <c r="A402" s="673"/>
      <c r="B402" s="684"/>
      <c r="C402" s="685"/>
      <c r="D402" s="692"/>
      <c r="E402" s="692"/>
      <c r="F402" s="692"/>
      <c r="G402" s="1387"/>
      <c r="H402" s="1387"/>
      <c r="I402" s="1387"/>
      <c r="J402" s="1387"/>
      <c r="K402" s="687"/>
      <c r="L402" s="1106"/>
      <c r="M402" s="946"/>
      <c r="N402" s="946"/>
      <c r="O402" s="1631" t="s">
        <v>2142</v>
      </c>
      <c r="P402" s="1608">
        <f>D400</f>
        <v>130</v>
      </c>
      <c r="Q402" s="1633">
        <f>G400</f>
        <v>127</v>
      </c>
      <c r="R402" s="1633">
        <f t="shared" ref="R402:T402" si="211">H400</f>
        <v>127</v>
      </c>
      <c r="S402" s="1633">
        <f t="shared" si="211"/>
        <v>124</v>
      </c>
      <c r="T402" s="1633">
        <f t="shared" si="211"/>
        <v>121</v>
      </c>
      <c r="U402" s="1634">
        <f t="shared" si="207"/>
        <v>499</v>
      </c>
    </row>
    <row r="403" spans="1:21" s="584" customFormat="1">
      <c r="A403" s="673"/>
      <c r="B403" s="594" t="s">
        <v>1509</v>
      </c>
      <c r="C403" s="595"/>
      <c r="D403" s="595" t="str">
        <f t="shared" ref="D403:E403" si="212">D395</f>
        <v>Year 1</v>
      </c>
      <c r="E403" s="595" t="str">
        <f t="shared" si="212"/>
        <v>Year 2</v>
      </c>
      <c r="F403" s="595" t="str">
        <f t="shared" ref="F403" si="213">F395</f>
        <v>Year 3</v>
      </c>
      <c r="G403" s="595" t="s">
        <v>1862</v>
      </c>
      <c r="H403" s="595" t="s">
        <v>1863</v>
      </c>
      <c r="I403" s="595" t="s">
        <v>1864</v>
      </c>
      <c r="J403" s="595" t="s">
        <v>1865</v>
      </c>
      <c r="K403" s="687"/>
      <c r="L403" s="1106"/>
      <c r="M403" s="946"/>
      <c r="N403" s="946"/>
      <c r="O403" s="1631" t="s">
        <v>2143</v>
      </c>
      <c r="P403" s="1608">
        <f>D399</f>
        <v>29</v>
      </c>
      <c r="Q403" s="1635">
        <v>27</v>
      </c>
      <c r="R403" s="1635">
        <v>27</v>
      </c>
      <c r="S403" s="1635">
        <v>27</v>
      </c>
      <c r="T403" s="1635">
        <v>26</v>
      </c>
      <c r="U403" s="1634">
        <f t="shared" si="207"/>
        <v>107</v>
      </c>
    </row>
    <row r="404" spans="1:21" s="584" customFormat="1">
      <c r="A404" s="673"/>
      <c r="B404" s="688" t="str">
        <f>B396</f>
        <v>First-line treatment</v>
      </c>
      <c r="C404" s="689"/>
      <c r="D404" s="689">
        <f>D396*$C383</f>
        <v>2216</v>
      </c>
      <c r="E404" s="689">
        <f>E396*$C383</f>
        <v>2023.2</v>
      </c>
      <c r="F404" s="689">
        <f>F396*$C383</f>
        <v>1918.4</v>
      </c>
      <c r="G404" s="689">
        <f t="shared" ref="G404:J404" si="214">G396*$C383</f>
        <v>1836.8000000000002</v>
      </c>
      <c r="H404" s="689">
        <f t="shared" si="214"/>
        <v>1769.6000000000001</v>
      </c>
      <c r="I404" s="689">
        <f t="shared" si="214"/>
        <v>1713.6000000000001</v>
      </c>
      <c r="J404" s="689">
        <f t="shared" si="214"/>
        <v>1667.2</v>
      </c>
      <c r="K404" s="687"/>
      <c r="L404" s="1106"/>
      <c r="M404" s="946"/>
      <c r="N404" s="946"/>
      <c r="O404" s="1627" t="s">
        <v>2144</v>
      </c>
      <c r="P404" s="1608">
        <f>P398+P399+P400</f>
        <v>3324</v>
      </c>
      <c r="Q404" s="1608">
        <f>Q398+Q399+Q400</f>
        <v>2777</v>
      </c>
      <c r="R404" s="1608">
        <f t="shared" ref="R404:T404" si="215">R398+R399+R400</f>
        <v>2678</v>
      </c>
      <c r="S404" s="1608">
        <f t="shared" si="215"/>
        <v>2597</v>
      </c>
      <c r="T404" s="1608">
        <f t="shared" si="215"/>
        <v>2528</v>
      </c>
      <c r="U404" s="1608">
        <f>Q404+R404+S404+T404</f>
        <v>10580</v>
      </c>
    </row>
    <row r="405" spans="1:21" s="584" customFormat="1">
      <c r="A405" s="673"/>
      <c r="B405" s="688" t="str">
        <f t="shared" ref="B405:B408" si="216">B397</f>
        <v>PDR</v>
      </c>
      <c r="C405" s="689"/>
      <c r="D405" s="689">
        <f>D397*$D383</f>
        <v>117.9</v>
      </c>
      <c r="E405" s="689">
        <f t="shared" ref="E405:J405" si="217">E397*$D383</f>
        <v>101.7</v>
      </c>
      <c r="F405" s="689">
        <f t="shared" si="217"/>
        <v>92.7</v>
      </c>
      <c r="G405" s="689">
        <f t="shared" si="217"/>
        <v>84.600000000000009</v>
      </c>
      <c r="H405" s="689">
        <f t="shared" si="217"/>
        <v>75.600000000000009</v>
      </c>
      <c r="I405" s="689">
        <f t="shared" si="217"/>
        <v>72</v>
      </c>
      <c r="J405" s="689">
        <f t="shared" si="217"/>
        <v>69.3</v>
      </c>
      <c r="K405" s="687"/>
      <c r="L405" s="1106"/>
      <c r="M405" s="946"/>
      <c r="N405" s="946"/>
    </row>
    <row r="406" spans="1:21" s="584" customFormat="1">
      <c r="A406" s="673"/>
      <c r="B406" s="688" t="str">
        <f t="shared" si="216"/>
        <v>MDR, standard</v>
      </c>
      <c r="C406" s="689"/>
      <c r="D406" s="689">
        <f>D398*$E383</f>
        <v>250.79999999999998</v>
      </c>
      <c r="E406" s="689">
        <f t="shared" ref="E406:J406" si="218">E398*$E383</f>
        <v>233.7</v>
      </c>
      <c r="F406" s="689">
        <f t="shared" si="218"/>
        <v>226.1</v>
      </c>
      <c r="G406" s="689">
        <f t="shared" si="218"/>
        <v>221.35</v>
      </c>
      <c r="H406" s="689">
        <f t="shared" si="218"/>
        <v>216.6</v>
      </c>
      <c r="I406" s="689">
        <f t="shared" si="218"/>
        <v>212.79999999999998</v>
      </c>
      <c r="J406" s="689">
        <f t="shared" si="218"/>
        <v>209</v>
      </c>
      <c r="K406" s="687"/>
      <c r="L406" s="1106"/>
      <c r="M406" s="946"/>
      <c r="N406" s="946"/>
    </row>
    <row r="407" spans="1:21" s="584" customFormat="1">
      <c r="A407" s="673"/>
      <c r="B407" s="688" t="str">
        <f t="shared" si="216"/>
        <v>MDR, shortened</v>
      </c>
      <c r="C407" s="689"/>
      <c r="D407" s="689">
        <f>D399*$F383</f>
        <v>27.549999999999997</v>
      </c>
      <c r="E407" s="689">
        <f t="shared" ref="E407:J407" si="219">E399*$F383</f>
        <v>25.65</v>
      </c>
      <c r="F407" s="689">
        <f t="shared" si="219"/>
        <v>25.65</v>
      </c>
      <c r="G407" s="689">
        <f t="shared" si="219"/>
        <v>24.7</v>
      </c>
      <c r="H407" s="689">
        <f t="shared" si="219"/>
        <v>23.75</v>
      </c>
      <c r="I407" s="689">
        <f t="shared" si="219"/>
        <v>23.75</v>
      </c>
      <c r="J407" s="689">
        <f t="shared" si="219"/>
        <v>23.75</v>
      </c>
      <c r="K407" s="687"/>
      <c r="L407" s="1106"/>
      <c r="M407" s="946"/>
      <c r="N407" s="946"/>
    </row>
    <row r="408" spans="1:21" s="584" customFormat="1">
      <c r="A408" s="673"/>
      <c r="B408" s="688" t="str">
        <f t="shared" si="216"/>
        <v>pre-XDR and XDR-TB</v>
      </c>
      <c r="C408" s="689"/>
      <c r="D408" s="689">
        <f>D400*$K383</f>
        <v>130</v>
      </c>
      <c r="E408" s="689">
        <f>E400*$K383</f>
        <v>125</v>
      </c>
      <c r="F408" s="689">
        <f>F400*$K383</f>
        <v>126</v>
      </c>
      <c r="G408" s="689">
        <f t="shared" ref="G408:J408" si="220">G400*$K383</f>
        <v>127</v>
      </c>
      <c r="H408" s="689">
        <f t="shared" si="220"/>
        <v>127</v>
      </c>
      <c r="I408" s="689">
        <f t="shared" si="220"/>
        <v>124</v>
      </c>
      <c r="J408" s="689">
        <f t="shared" si="220"/>
        <v>121</v>
      </c>
      <c r="K408" s="687"/>
      <c r="L408" s="1106"/>
      <c r="M408" s="946"/>
      <c r="N408" s="946"/>
    </row>
    <row r="409" spans="1:21" s="584" customFormat="1">
      <c r="A409" s="673"/>
      <c r="B409" s="690" t="s">
        <v>4</v>
      </c>
      <c r="C409" s="689"/>
      <c r="D409" s="691">
        <f>SUM(D404:D408)</f>
        <v>2742.2500000000005</v>
      </c>
      <c r="E409" s="691">
        <f t="shared" ref="E409:J409" si="221">SUM(E404:E408)</f>
        <v>2509.25</v>
      </c>
      <c r="F409" s="691">
        <f t="shared" si="221"/>
        <v>2388.8500000000004</v>
      </c>
      <c r="G409" s="691">
        <f t="shared" si="221"/>
        <v>2294.4499999999998</v>
      </c>
      <c r="H409" s="691">
        <f t="shared" si="221"/>
        <v>2212.5500000000002</v>
      </c>
      <c r="I409" s="691">
        <f t="shared" si="221"/>
        <v>2146.15</v>
      </c>
      <c r="J409" s="691">
        <f t="shared" si="221"/>
        <v>2090.25</v>
      </c>
      <c r="K409" s="970">
        <f>SUM(D409:F409)</f>
        <v>7640.35</v>
      </c>
      <c r="L409" s="1106"/>
      <c r="M409" s="946"/>
      <c r="N409" s="946"/>
    </row>
    <row r="410" spans="1:21" s="584" customFormat="1">
      <c r="A410" s="673"/>
      <c r="B410" s="684"/>
      <c r="C410" s="685"/>
      <c r="D410" s="692"/>
      <c r="E410" s="692"/>
      <c r="F410" s="692"/>
      <c r="G410" s="692"/>
      <c r="H410" s="692"/>
      <c r="I410" s="692"/>
      <c r="J410" s="692"/>
      <c r="K410" s="687"/>
      <c r="L410" s="1106"/>
      <c r="M410" s="946"/>
      <c r="N410" s="946"/>
    </row>
    <row r="411" spans="1:21" s="584" customFormat="1">
      <c r="A411" s="673"/>
      <c r="B411" s="594" t="s">
        <v>1510</v>
      </c>
      <c r="C411" s="595"/>
      <c r="D411" s="595" t="str">
        <f t="shared" ref="D411:F411" si="222">D395</f>
        <v>Year 1</v>
      </c>
      <c r="E411" s="595" t="str">
        <f t="shared" si="222"/>
        <v>Year 2</v>
      </c>
      <c r="F411" s="595" t="str">
        <f t="shared" si="222"/>
        <v>Year 3</v>
      </c>
      <c r="G411" s="595" t="s">
        <v>1862</v>
      </c>
      <c r="H411" s="595" t="s">
        <v>1863</v>
      </c>
      <c r="I411" s="595" t="s">
        <v>1864</v>
      </c>
      <c r="J411" s="595" t="s">
        <v>1865</v>
      </c>
      <c r="K411" s="687"/>
      <c r="L411" s="1106"/>
      <c r="M411" s="946"/>
      <c r="N411" s="946"/>
    </row>
    <row r="412" spans="1:21" s="584" customFormat="1">
      <c r="A412" s="673"/>
      <c r="B412" s="688" t="str">
        <f>B404</f>
        <v>First-line treatment</v>
      </c>
      <c r="C412" s="689"/>
      <c r="D412" s="689">
        <f>D404*$C385*$C386*$C387</f>
        <v>11966.4</v>
      </c>
      <c r="E412" s="689">
        <f t="shared" ref="E412:J412" si="223">E404*$C385*$C386*$C387</f>
        <v>10925.28</v>
      </c>
      <c r="F412" s="689">
        <f t="shared" si="223"/>
        <v>10359.360000000002</v>
      </c>
      <c r="G412" s="689">
        <f t="shared" si="223"/>
        <v>9918.7200000000012</v>
      </c>
      <c r="H412" s="689">
        <f t="shared" si="223"/>
        <v>9555.84</v>
      </c>
      <c r="I412" s="689">
        <f t="shared" si="223"/>
        <v>9253.44</v>
      </c>
      <c r="J412" s="689">
        <f t="shared" si="223"/>
        <v>9002.880000000001</v>
      </c>
      <c r="K412" s="687"/>
      <c r="L412" s="1106"/>
      <c r="M412" s="946"/>
      <c r="N412" s="946"/>
    </row>
    <row r="413" spans="1:21" s="584" customFormat="1">
      <c r="A413" s="673"/>
      <c r="B413" s="688" t="str">
        <f t="shared" ref="B413:B416" si="224">B405</f>
        <v>PDR</v>
      </c>
      <c r="C413" s="689"/>
      <c r="D413" s="689">
        <f>D405*$D385*$D386*$D387</f>
        <v>943.2</v>
      </c>
      <c r="E413" s="689">
        <f t="shared" ref="E413:J413" si="225">E405*$D385*$D386*$D387</f>
        <v>813.6</v>
      </c>
      <c r="F413" s="689">
        <f t="shared" si="225"/>
        <v>741.6</v>
      </c>
      <c r="G413" s="689">
        <f t="shared" si="225"/>
        <v>676.80000000000018</v>
      </c>
      <c r="H413" s="689">
        <f t="shared" si="225"/>
        <v>604.80000000000007</v>
      </c>
      <c r="I413" s="689">
        <f t="shared" si="225"/>
        <v>576</v>
      </c>
      <c r="J413" s="689">
        <f t="shared" si="225"/>
        <v>554.4</v>
      </c>
      <c r="K413" s="687"/>
      <c r="L413" s="1106"/>
      <c r="M413" s="946"/>
      <c r="N413" s="946"/>
    </row>
    <row r="414" spans="1:21" s="584" customFormat="1">
      <c r="A414" s="673"/>
      <c r="B414" s="688" t="str">
        <f t="shared" si="224"/>
        <v>MDR, standard</v>
      </c>
      <c r="C414" s="689"/>
      <c r="D414" s="689">
        <f>D406*$E385*$E386*$E387</f>
        <v>3511.2</v>
      </c>
      <c r="E414" s="689">
        <f t="shared" ref="E414:J414" si="226">E406*$E385*$E386*$E387</f>
        <v>3271.7999999999997</v>
      </c>
      <c r="F414" s="689">
        <f t="shared" si="226"/>
        <v>3165.3999999999996</v>
      </c>
      <c r="G414" s="689">
        <f t="shared" si="226"/>
        <v>3098.8999999999996</v>
      </c>
      <c r="H414" s="689">
        <f t="shared" si="226"/>
        <v>3032.3999999999996</v>
      </c>
      <c r="I414" s="689">
        <f t="shared" si="226"/>
        <v>2979.2</v>
      </c>
      <c r="J414" s="689">
        <f t="shared" si="226"/>
        <v>2926</v>
      </c>
      <c r="K414" s="687"/>
      <c r="L414" s="1106"/>
      <c r="M414" s="946"/>
      <c r="N414" s="946"/>
    </row>
    <row r="415" spans="1:21" s="584" customFormat="1">
      <c r="A415" s="673"/>
      <c r="B415" s="688" t="str">
        <f t="shared" si="224"/>
        <v>MDR, shortened</v>
      </c>
      <c r="C415" s="689"/>
      <c r="D415" s="689">
        <f>D407*$F385*$F386*$F387</f>
        <v>198.36</v>
      </c>
      <c r="E415" s="689">
        <f t="shared" ref="E415:J415" si="227">E407*$F385*$F386*$F387</f>
        <v>184.68</v>
      </c>
      <c r="F415" s="689">
        <f t="shared" si="227"/>
        <v>184.68</v>
      </c>
      <c r="G415" s="689">
        <f t="shared" si="227"/>
        <v>177.84</v>
      </c>
      <c r="H415" s="689">
        <f t="shared" si="227"/>
        <v>171</v>
      </c>
      <c r="I415" s="689">
        <f t="shared" si="227"/>
        <v>171</v>
      </c>
      <c r="J415" s="689">
        <f t="shared" si="227"/>
        <v>171</v>
      </c>
      <c r="K415" s="687"/>
      <c r="L415" s="1106"/>
      <c r="M415" s="946"/>
      <c r="N415" s="946"/>
    </row>
    <row r="416" spans="1:21" s="584" customFormat="1">
      <c r="A416" s="673"/>
      <c r="B416" s="688" t="str">
        <f t="shared" si="224"/>
        <v>pre-XDR and XDR-TB</v>
      </c>
      <c r="C416" s="689"/>
      <c r="D416" s="689">
        <f>D408*$K385*$K386*$K387</f>
        <v>2184</v>
      </c>
      <c r="E416" s="689">
        <f>E408*$K385*$K386*$K387</f>
        <v>2100</v>
      </c>
      <c r="F416" s="689">
        <f>F408*$K385*$K386*$K387</f>
        <v>2116.7999999999997</v>
      </c>
      <c r="G416" s="689">
        <f t="shared" ref="G416:J416" si="228">G408*$K385*$K386*$K387</f>
        <v>2133.6</v>
      </c>
      <c r="H416" s="689">
        <f t="shared" si="228"/>
        <v>2133.6</v>
      </c>
      <c r="I416" s="689">
        <f t="shared" si="228"/>
        <v>2083.1999999999998</v>
      </c>
      <c r="J416" s="689">
        <f t="shared" si="228"/>
        <v>2032.8</v>
      </c>
      <c r="K416" s="687"/>
      <c r="L416" s="1106"/>
      <c r="M416" s="946"/>
      <c r="N416" s="946"/>
    </row>
    <row r="417" spans="1:14" s="584" customFormat="1">
      <c r="A417" s="673"/>
      <c r="B417" s="690" t="s">
        <v>4</v>
      </c>
      <c r="C417" s="689"/>
      <c r="D417" s="691">
        <f>SUM(D412:D416)</f>
        <v>18803.16</v>
      </c>
      <c r="E417" s="691">
        <f t="shared" ref="E417" si="229">SUM(E412:E416)</f>
        <v>17295.36</v>
      </c>
      <c r="F417" s="691">
        <f t="shared" ref="F417:J417" si="230">SUM(F412:F416)</f>
        <v>16567.840000000004</v>
      </c>
      <c r="G417" s="691">
        <f t="shared" si="230"/>
        <v>16005.86</v>
      </c>
      <c r="H417" s="691">
        <f t="shared" si="230"/>
        <v>15497.64</v>
      </c>
      <c r="I417" s="691">
        <f t="shared" si="230"/>
        <v>15062.84</v>
      </c>
      <c r="J417" s="691">
        <f t="shared" si="230"/>
        <v>14687.08</v>
      </c>
      <c r="K417" s="970">
        <f>SUM(D417:F417)</f>
        <v>52666.360000000008</v>
      </c>
      <c r="L417" s="1106"/>
      <c r="M417" s="946"/>
      <c r="N417" s="946"/>
    </row>
    <row r="418" spans="1:14" s="584" customFormat="1">
      <c r="A418" s="673"/>
      <c r="B418" s="693"/>
      <c r="C418" s="665"/>
      <c r="D418" s="694"/>
      <c r="E418" s="694"/>
      <c r="F418" s="694"/>
      <c r="G418" s="694"/>
      <c r="H418" s="694"/>
      <c r="I418" s="694"/>
      <c r="J418" s="694"/>
      <c r="K418" s="679"/>
      <c r="L418" s="1106"/>
      <c r="M418" s="946"/>
      <c r="N418" s="946"/>
    </row>
    <row r="419" spans="1:14" s="584" customFormat="1">
      <c r="A419" s="673"/>
      <c r="B419" s="591" t="s">
        <v>1516</v>
      </c>
      <c r="C419" s="591"/>
      <c r="D419" s="591" t="str">
        <f t="shared" ref="D419:F419" si="231">D403</f>
        <v>Year 1</v>
      </c>
      <c r="E419" s="591" t="str">
        <f t="shared" si="231"/>
        <v>Year 2</v>
      </c>
      <c r="F419" s="591" t="str">
        <f t="shared" si="231"/>
        <v>Year 3</v>
      </c>
      <c r="G419" s="595" t="s">
        <v>1862</v>
      </c>
      <c r="H419" s="595" t="s">
        <v>1863</v>
      </c>
      <c r="I419" s="595" t="s">
        <v>1864</v>
      </c>
      <c r="J419" s="595" t="s">
        <v>1865</v>
      </c>
      <c r="K419" s="687"/>
      <c r="L419" s="1106"/>
      <c r="M419" s="946"/>
      <c r="N419" s="946"/>
    </row>
    <row r="420" spans="1:14" s="584" customFormat="1">
      <c r="A420" s="673"/>
      <c r="B420" s="695" t="str">
        <f>B412</f>
        <v>First-line treatment</v>
      </c>
      <c r="C420" s="696"/>
      <c r="D420" s="696">
        <f>D412*$C389</f>
        <v>179496</v>
      </c>
      <c r="E420" s="696">
        <f t="shared" ref="E420:J420" si="232">E412*$C389</f>
        <v>163879.20000000001</v>
      </c>
      <c r="F420" s="696">
        <f t="shared" si="232"/>
        <v>155390.40000000002</v>
      </c>
      <c r="G420" s="696">
        <f t="shared" si="232"/>
        <v>148780.80000000002</v>
      </c>
      <c r="H420" s="696">
        <f t="shared" si="232"/>
        <v>143337.60000000001</v>
      </c>
      <c r="I420" s="696">
        <f t="shared" si="232"/>
        <v>138801.60000000001</v>
      </c>
      <c r="J420" s="696">
        <f t="shared" si="232"/>
        <v>135043.20000000001</v>
      </c>
      <c r="K420" s="687"/>
      <c r="L420" s="1106"/>
      <c r="M420" s="946"/>
      <c r="N420" s="946"/>
    </row>
    <row r="421" spans="1:14" s="584" customFormat="1">
      <c r="A421" s="673"/>
      <c r="B421" s="695" t="str">
        <f t="shared" ref="B421:B424" si="233">B413</f>
        <v>PDR</v>
      </c>
      <c r="C421" s="696"/>
      <c r="D421" s="696">
        <f>D413*$D389</f>
        <v>37728</v>
      </c>
      <c r="E421" s="696">
        <f t="shared" ref="E421:J421" si="234">E413*$D389</f>
        <v>32544</v>
      </c>
      <c r="F421" s="696">
        <f t="shared" si="234"/>
        <v>29664</v>
      </c>
      <c r="G421" s="696">
        <f t="shared" si="234"/>
        <v>27072.000000000007</v>
      </c>
      <c r="H421" s="696">
        <f t="shared" si="234"/>
        <v>24192.000000000004</v>
      </c>
      <c r="I421" s="696">
        <f t="shared" si="234"/>
        <v>23040</v>
      </c>
      <c r="J421" s="696">
        <f t="shared" si="234"/>
        <v>22176</v>
      </c>
      <c r="K421" s="687"/>
      <c r="L421" s="1106"/>
      <c r="M421" s="946"/>
      <c r="N421" s="946"/>
    </row>
    <row r="422" spans="1:14" s="584" customFormat="1">
      <c r="A422" s="673"/>
      <c r="B422" s="695" t="str">
        <f t="shared" si="233"/>
        <v>MDR, standard</v>
      </c>
      <c r="C422" s="696"/>
      <c r="D422" s="696">
        <f>D414*$E389</f>
        <v>210672</v>
      </c>
      <c r="E422" s="696">
        <f t="shared" ref="E422:J422" si="235">E414*$E389</f>
        <v>196307.99999999997</v>
      </c>
      <c r="F422" s="696">
        <f t="shared" si="235"/>
        <v>189923.99999999997</v>
      </c>
      <c r="G422" s="696">
        <f t="shared" si="235"/>
        <v>185933.99999999997</v>
      </c>
      <c r="H422" s="696">
        <f t="shared" si="235"/>
        <v>181943.99999999997</v>
      </c>
      <c r="I422" s="696">
        <f t="shared" si="235"/>
        <v>178752</v>
      </c>
      <c r="J422" s="696">
        <f t="shared" si="235"/>
        <v>175560</v>
      </c>
      <c r="K422" s="687"/>
      <c r="L422" s="1106"/>
      <c r="M422" s="946"/>
      <c r="N422" s="946"/>
    </row>
    <row r="423" spans="1:14" s="584" customFormat="1">
      <c r="A423" s="673"/>
      <c r="B423" s="695" t="str">
        <f t="shared" si="233"/>
        <v>MDR, shortened</v>
      </c>
      <c r="C423" s="696"/>
      <c r="D423" s="696">
        <f>D415*$F389</f>
        <v>11901.6</v>
      </c>
      <c r="E423" s="696">
        <f t="shared" ref="E423:J423" si="236">E415*$F389</f>
        <v>11080.800000000001</v>
      </c>
      <c r="F423" s="696">
        <f t="shared" si="236"/>
        <v>11080.800000000001</v>
      </c>
      <c r="G423" s="696">
        <f t="shared" si="236"/>
        <v>10670.4</v>
      </c>
      <c r="H423" s="696">
        <f t="shared" si="236"/>
        <v>10260</v>
      </c>
      <c r="I423" s="696">
        <f t="shared" si="236"/>
        <v>10260</v>
      </c>
      <c r="J423" s="696">
        <f t="shared" si="236"/>
        <v>10260</v>
      </c>
      <c r="K423" s="687"/>
      <c r="L423" s="1106"/>
      <c r="M423" s="946"/>
      <c r="N423" s="946"/>
    </row>
    <row r="424" spans="1:14" s="584" customFormat="1">
      <c r="A424" s="673"/>
      <c r="B424" s="695" t="str">
        <f t="shared" si="233"/>
        <v>pre-XDR and XDR-TB</v>
      </c>
      <c r="C424" s="696"/>
      <c r="D424" s="696">
        <f>D416*$K389</f>
        <v>131040</v>
      </c>
      <c r="E424" s="696">
        <f>E416*$K389</f>
        <v>126000</v>
      </c>
      <c r="F424" s="696">
        <f>F416*$K389</f>
        <v>127007.99999999999</v>
      </c>
      <c r="G424" s="696">
        <f t="shared" ref="G424:J424" si="237">G416*$K389</f>
        <v>128016</v>
      </c>
      <c r="H424" s="696">
        <f t="shared" si="237"/>
        <v>128016</v>
      </c>
      <c r="I424" s="696">
        <f t="shared" si="237"/>
        <v>124991.99999999999</v>
      </c>
      <c r="J424" s="696">
        <f t="shared" si="237"/>
        <v>121968</v>
      </c>
      <c r="K424" s="687"/>
      <c r="L424" s="1106"/>
      <c r="M424" s="946"/>
      <c r="N424" s="946"/>
    </row>
    <row r="425" spans="1:14" s="584" customFormat="1">
      <c r="A425" s="697"/>
      <c r="B425" s="698" t="s">
        <v>4</v>
      </c>
      <c r="C425" s="699"/>
      <c r="D425" s="700">
        <f>SUM(D420:D424)</f>
        <v>570837.6</v>
      </c>
      <c r="E425" s="700">
        <f t="shared" ref="E425" si="238">SUM(E420:E424)</f>
        <v>529812</v>
      </c>
      <c r="F425" s="700">
        <f t="shared" ref="F425:J425" si="239">SUM(F420:F424)</f>
        <v>513067.2</v>
      </c>
      <c r="G425" s="700">
        <f t="shared" si="239"/>
        <v>500473.2</v>
      </c>
      <c r="H425" s="700">
        <f t="shared" si="239"/>
        <v>487749.6</v>
      </c>
      <c r="I425" s="700">
        <f t="shared" si="239"/>
        <v>475845.6</v>
      </c>
      <c r="J425" s="700">
        <f t="shared" si="239"/>
        <v>465007.2</v>
      </c>
      <c r="K425" s="650">
        <f>SUM(D425:F425)</f>
        <v>1613716.8</v>
      </c>
      <c r="L425" s="1106">
        <f>SUM(G425:J425)</f>
        <v>1929075.5999999999</v>
      </c>
      <c r="M425" s="1493" t="s">
        <v>1933</v>
      </c>
      <c r="N425" s="1493" t="s">
        <v>1934</v>
      </c>
    </row>
    <row r="426" spans="1:14" s="584" customFormat="1">
      <c r="A426" s="576"/>
      <c r="B426" s="617"/>
      <c r="C426" s="588"/>
      <c r="D426" s="616"/>
      <c r="E426" s="616"/>
      <c r="F426" s="616"/>
      <c r="G426" s="616"/>
      <c r="H426" s="616"/>
      <c r="I426" s="616"/>
      <c r="J426" s="616"/>
      <c r="K426" s="616"/>
      <c r="L426" s="1106"/>
      <c r="M426" s="946"/>
      <c r="N426" s="946"/>
    </row>
    <row r="427" spans="1:14">
      <c r="A427" s="652" t="str">
        <f>'NSP Summary Budget (16-18)'!A65</f>
        <v>2.2.2</v>
      </c>
      <c r="B427" s="632" t="str">
        <f>'NSP Summary Budget (16-18)'!B65</f>
        <v>Enablers for TB patients</v>
      </c>
      <c r="C427" s="633"/>
      <c r="D427" s="634"/>
      <c r="E427" s="634"/>
      <c r="F427" s="634"/>
      <c r="G427" s="969"/>
      <c r="H427" s="969"/>
      <c r="I427" s="969"/>
      <c r="J427" s="969"/>
      <c r="K427" s="634"/>
      <c r="L427" s="1106"/>
      <c r="M427" s="946"/>
      <c r="N427" s="946"/>
    </row>
    <row r="428" spans="1:14">
      <c r="A428" s="653"/>
      <c r="B428" s="654"/>
      <c r="C428" s="636"/>
      <c r="D428" s="637"/>
      <c r="E428" s="637"/>
      <c r="F428" s="637"/>
      <c r="G428" s="637"/>
      <c r="H428" s="637"/>
      <c r="I428" s="637"/>
      <c r="J428" s="637"/>
      <c r="K428" s="637"/>
      <c r="L428" s="1106"/>
      <c r="M428" s="946"/>
      <c r="N428" s="946"/>
    </row>
    <row r="429" spans="1:14" s="584" customFormat="1" ht="32.1" customHeight="1">
      <c r="A429" s="673"/>
      <c r="B429" s="674" t="s">
        <v>1511</v>
      </c>
      <c r="C429" s="675" t="s">
        <v>274</v>
      </c>
      <c r="D429" s="675" t="s">
        <v>1512</v>
      </c>
      <c r="E429" s="675" t="s">
        <v>1513</v>
      </c>
      <c r="F429" s="675" t="s">
        <v>1514</v>
      </c>
      <c r="G429" s="675"/>
      <c r="H429" s="675"/>
      <c r="I429" s="675"/>
      <c r="J429" s="675"/>
      <c r="K429" s="675" t="s">
        <v>1515</v>
      </c>
      <c r="L429" s="1106"/>
      <c r="M429" s="946"/>
      <c r="N429" s="946"/>
    </row>
    <row r="430" spans="1:14" s="584" customFormat="1">
      <c r="A430" s="673"/>
      <c r="B430" s="676" t="s">
        <v>1099</v>
      </c>
      <c r="C430" s="677">
        <f>C382</f>
        <v>8734</v>
      </c>
      <c r="D430" s="677">
        <f t="shared" ref="D430:K430" si="240">D382</f>
        <v>347</v>
      </c>
      <c r="E430" s="677">
        <f t="shared" si="240"/>
        <v>905</v>
      </c>
      <c r="F430" s="677">
        <f t="shared" si="240"/>
        <v>101</v>
      </c>
      <c r="G430" s="677"/>
      <c r="H430" s="677"/>
      <c r="I430" s="677"/>
      <c r="J430" s="677"/>
      <c r="K430" s="677">
        <f t="shared" si="240"/>
        <v>499</v>
      </c>
      <c r="L430" s="1106"/>
      <c r="M430" s="946"/>
      <c r="N430" s="946"/>
    </row>
    <row r="431" spans="1:14" s="584" customFormat="1">
      <c r="A431" s="673"/>
      <c r="B431" s="676" t="s">
        <v>1104</v>
      </c>
      <c r="C431" s="678">
        <v>0.1</v>
      </c>
      <c r="D431" s="678">
        <v>0.15</v>
      </c>
      <c r="E431" s="678">
        <v>0.2</v>
      </c>
      <c r="F431" s="678">
        <v>0.2</v>
      </c>
      <c r="G431" s="678"/>
      <c r="H431" s="678"/>
      <c r="I431" s="678"/>
      <c r="J431" s="678"/>
      <c r="K431" s="678">
        <v>0.3</v>
      </c>
      <c r="L431" s="1106">
        <f t="shared" ref="L431:L439" si="241">SUM(G431:J431)</f>
        <v>0</v>
      </c>
      <c r="M431" s="946"/>
      <c r="N431" s="946"/>
    </row>
    <row r="432" spans="1:14" s="584" customFormat="1">
      <c r="A432" s="673"/>
      <c r="B432" s="676" t="s">
        <v>1105</v>
      </c>
      <c r="C432" s="677">
        <f>C430*C431</f>
        <v>873.40000000000009</v>
      </c>
      <c r="D432" s="677">
        <f t="shared" ref="D432:K432" si="242">D430*D431</f>
        <v>52.05</v>
      </c>
      <c r="E432" s="677">
        <f t="shared" si="242"/>
        <v>181</v>
      </c>
      <c r="F432" s="677">
        <f t="shared" si="242"/>
        <v>20.200000000000003</v>
      </c>
      <c r="G432" s="677"/>
      <c r="H432" s="677"/>
      <c r="I432" s="677"/>
      <c r="J432" s="677"/>
      <c r="K432" s="677">
        <f t="shared" si="242"/>
        <v>149.69999999999999</v>
      </c>
      <c r="L432" s="1106">
        <f t="shared" si="241"/>
        <v>0</v>
      </c>
      <c r="M432" s="946"/>
      <c r="N432" s="946"/>
    </row>
    <row r="433" spans="1:14" s="584" customFormat="1">
      <c r="A433" s="673"/>
      <c r="B433" s="676" t="s">
        <v>1102</v>
      </c>
      <c r="C433" s="679">
        <f>C385</f>
        <v>6</v>
      </c>
      <c r="D433" s="679">
        <f t="shared" ref="D433:K433" si="243">D385</f>
        <v>10</v>
      </c>
      <c r="E433" s="679">
        <f t="shared" si="243"/>
        <v>20</v>
      </c>
      <c r="F433" s="679">
        <f t="shared" si="243"/>
        <v>9</v>
      </c>
      <c r="G433" s="679"/>
      <c r="H433" s="679"/>
      <c r="I433" s="679"/>
      <c r="J433" s="679"/>
      <c r="K433" s="679">
        <f t="shared" si="243"/>
        <v>24</v>
      </c>
      <c r="L433" s="1106">
        <f t="shared" si="241"/>
        <v>0</v>
      </c>
      <c r="M433" s="946"/>
      <c r="N433" s="946"/>
    </row>
    <row r="434" spans="1:14" s="584" customFormat="1">
      <c r="A434" s="673"/>
      <c r="B434" s="676" t="s">
        <v>1106</v>
      </c>
      <c r="C434" s="679">
        <v>12</v>
      </c>
      <c r="D434" s="679">
        <v>20</v>
      </c>
      <c r="E434" s="679">
        <v>20</v>
      </c>
      <c r="F434" s="679">
        <v>20</v>
      </c>
      <c r="G434" s="679"/>
      <c r="H434" s="679"/>
      <c r="I434" s="679"/>
      <c r="J434" s="679"/>
      <c r="K434" s="679">
        <v>20</v>
      </c>
      <c r="L434" s="1106">
        <f t="shared" si="241"/>
        <v>0</v>
      </c>
      <c r="M434" s="946"/>
      <c r="N434" s="946"/>
    </row>
    <row r="435" spans="1:14" s="584" customFormat="1">
      <c r="A435" s="673"/>
      <c r="B435" s="676" t="s">
        <v>1103</v>
      </c>
      <c r="C435" s="678">
        <f>C387-0.1</f>
        <v>0.8</v>
      </c>
      <c r="D435" s="678">
        <f t="shared" ref="D435:K435" si="244">D387-0.1</f>
        <v>0.70000000000000007</v>
      </c>
      <c r="E435" s="678">
        <f t="shared" si="244"/>
        <v>0.6</v>
      </c>
      <c r="F435" s="678">
        <f t="shared" si="244"/>
        <v>0.70000000000000007</v>
      </c>
      <c r="G435" s="678"/>
      <c r="H435" s="678"/>
      <c r="I435" s="678"/>
      <c r="J435" s="678"/>
      <c r="K435" s="678">
        <f t="shared" si="244"/>
        <v>0.6</v>
      </c>
      <c r="L435" s="1106">
        <f t="shared" si="241"/>
        <v>0</v>
      </c>
      <c r="M435" s="946"/>
      <c r="N435" s="946"/>
    </row>
    <row r="436" spans="1:14" s="584" customFormat="1">
      <c r="A436" s="673"/>
      <c r="B436" s="676" t="s">
        <v>1519</v>
      </c>
      <c r="C436" s="677">
        <f>C432*C433*C434*C435</f>
        <v>50307.840000000004</v>
      </c>
      <c r="D436" s="677">
        <f t="shared" ref="D436:K436" si="245">D432*D433*D434*D435</f>
        <v>7287.0000000000009</v>
      </c>
      <c r="E436" s="677">
        <f t="shared" si="245"/>
        <v>43440</v>
      </c>
      <c r="F436" s="677">
        <f t="shared" si="245"/>
        <v>2545.2000000000003</v>
      </c>
      <c r="G436" s="677"/>
      <c r="H436" s="677"/>
      <c r="I436" s="677"/>
      <c r="J436" s="677"/>
      <c r="K436" s="677">
        <f t="shared" si="245"/>
        <v>43113.599999999999</v>
      </c>
      <c r="L436" s="1106">
        <f t="shared" si="241"/>
        <v>0</v>
      </c>
      <c r="M436" s="946"/>
      <c r="N436" s="946"/>
    </row>
    <row r="437" spans="1:14" s="584" customFormat="1">
      <c r="A437" s="673"/>
      <c r="B437" s="676" t="str">
        <f>B62</f>
        <v>Cost of 1 enabler (transportation) payment</v>
      </c>
      <c r="C437" s="680">
        <f>C62</f>
        <v>2</v>
      </c>
      <c r="D437" s="680">
        <f>C437</f>
        <v>2</v>
      </c>
      <c r="E437" s="680">
        <f t="shared" ref="E437" si="246">D437</f>
        <v>2</v>
      </c>
      <c r="F437" s="680">
        <f t="shared" ref="F437" si="247">E437</f>
        <v>2</v>
      </c>
      <c r="G437" s="680"/>
      <c r="H437" s="680"/>
      <c r="I437" s="680"/>
      <c r="J437" s="680"/>
      <c r="K437" s="680">
        <f>E437</f>
        <v>2</v>
      </c>
      <c r="L437" s="1106">
        <f t="shared" si="241"/>
        <v>0</v>
      </c>
      <c r="M437" s="946"/>
      <c r="N437" s="946"/>
    </row>
    <row r="438" spans="1:14" s="584" customFormat="1">
      <c r="A438" s="673"/>
      <c r="B438" s="681" t="s">
        <v>1520</v>
      </c>
      <c r="C438" s="682">
        <f>C436*C437</f>
        <v>100615.68000000001</v>
      </c>
      <c r="D438" s="682">
        <f t="shared" ref="D438:K438" si="248">D436*D437</f>
        <v>14574.000000000002</v>
      </c>
      <c r="E438" s="682">
        <f t="shared" si="248"/>
        <v>86880</v>
      </c>
      <c r="F438" s="682">
        <f t="shared" si="248"/>
        <v>5090.4000000000005</v>
      </c>
      <c r="G438" s="682"/>
      <c r="H438" s="682"/>
      <c r="I438" s="682"/>
      <c r="J438" s="682"/>
      <c r="K438" s="682">
        <f t="shared" si="248"/>
        <v>86227.199999999997</v>
      </c>
      <c r="L438" s="1106">
        <f t="shared" si="241"/>
        <v>0</v>
      </c>
      <c r="M438" s="946"/>
      <c r="N438" s="946"/>
    </row>
    <row r="439" spans="1:14" s="584" customFormat="1">
      <c r="A439" s="673"/>
      <c r="B439" s="681" t="s">
        <v>1521</v>
      </c>
      <c r="C439" s="683">
        <f>C438/C432</f>
        <v>115.2</v>
      </c>
      <c r="D439" s="683">
        <f t="shared" ref="D439:K439" si="249">D438/D432</f>
        <v>280.00000000000006</v>
      </c>
      <c r="E439" s="683">
        <f t="shared" si="249"/>
        <v>480</v>
      </c>
      <c r="F439" s="683">
        <f t="shared" si="249"/>
        <v>252</v>
      </c>
      <c r="G439" s="683"/>
      <c r="H439" s="683"/>
      <c r="I439" s="683"/>
      <c r="J439" s="683"/>
      <c r="K439" s="683">
        <f t="shared" si="249"/>
        <v>576</v>
      </c>
      <c r="L439" s="1106">
        <f t="shared" si="241"/>
        <v>0</v>
      </c>
      <c r="M439" s="946"/>
      <c r="N439" s="946"/>
    </row>
    <row r="440" spans="1:14" s="584" customFormat="1">
      <c r="A440" s="673"/>
      <c r="B440" s="684"/>
      <c r="C440" s="685"/>
      <c r="D440" s="679"/>
      <c r="E440" s="679"/>
      <c r="F440" s="679"/>
      <c r="G440" s="679"/>
      <c r="H440" s="679"/>
      <c r="I440" s="679"/>
      <c r="J440" s="679"/>
      <c r="K440" s="679"/>
      <c r="L440" s="1106"/>
      <c r="M440" s="946"/>
      <c r="N440" s="946"/>
    </row>
    <row r="441" spans="1:14" s="584" customFormat="1">
      <c r="A441" s="673"/>
      <c r="B441" s="686" t="s">
        <v>1517</v>
      </c>
      <c r="C441" s="685"/>
      <c r="D441" s="679"/>
      <c r="E441" s="679"/>
      <c r="F441" s="679"/>
      <c r="G441" s="679"/>
      <c r="H441" s="679"/>
      <c r="I441" s="679"/>
      <c r="J441" s="679"/>
      <c r="K441" s="679"/>
      <c r="L441" s="1106"/>
      <c r="M441" s="946"/>
      <c r="N441" s="946"/>
    </row>
    <row r="442" spans="1:14" s="584" customFormat="1">
      <c r="A442" s="673"/>
      <c r="B442" s="684"/>
      <c r="C442" s="685"/>
      <c r="D442" s="679"/>
      <c r="E442" s="679"/>
      <c r="F442" s="679"/>
      <c r="G442" s="679"/>
      <c r="H442" s="679"/>
      <c r="I442" s="679"/>
      <c r="J442" s="679"/>
      <c r="K442" s="679"/>
      <c r="L442" s="1106"/>
      <c r="M442" s="946"/>
      <c r="N442" s="946"/>
    </row>
    <row r="443" spans="1:14" s="584" customFormat="1">
      <c r="A443" s="673"/>
      <c r="B443" s="594" t="s">
        <v>1508</v>
      </c>
      <c r="C443" s="595"/>
      <c r="D443" s="595" t="s">
        <v>979</v>
      </c>
      <c r="E443" s="595" t="s">
        <v>980</v>
      </c>
      <c r="F443" s="595" t="s">
        <v>1360</v>
      </c>
      <c r="G443" s="595" t="s">
        <v>1862</v>
      </c>
      <c r="H443" s="595" t="s">
        <v>1863</v>
      </c>
      <c r="I443" s="595" t="s">
        <v>1864</v>
      </c>
      <c r="J443" s="595" t="s">
        <v>1865</v>
      </c>
      <c r="K443" s="687"/>
      <c r="L443" s="1106"/>
      <c r="M443" s="946"/>
      <c r="N443" s="946"/>
    </row>
    <row r="444" spans="1:14" s="584" customFormat="1">
      <c r="A444" s="673"/>
      <c r="B444" s="688" t="s">
        <v>274</v>
      </c>
      <c r="C444" s="689"/>
      <c r="D444" s="689">
        <f>D396</f>
        <v>2770</v>
      </c>
      <c r="E444" s="689">
        <f t="shared" ref="E444:J444" si="250">E396</f>
        <v>2529</v>
      </c>
      <c r="F444" s="689">
        <f t="shared" si="250"/>
        <v>2398</v>
      </c>
      <c r="G444" s="689">
        <f t="shared" si="250"/>
        <v>2296</v>
      </c>
      <c r="H444" s="689">
        <f t="shared" si="250"/>
        <v>2212</v>
      </c>
      <c r="I444" s="689">
        <f t="shared" si="250"/>
        <v>2142</v>
      </c>
      <c r="J444" s="689">
        <f t="shared" si="250"/>
        <v>2084</v>
      </c>
      <c r="K444" s="687"/>
      <c r="L444" s="1106"/>
      <c r="M444" s="946"/>
      <c r="N444" s="946"/>
    </row>
    <row r="445" spans="1:14" s="584" customFormat="1">
      <c r="A445" s="673"/>
      <c r="B445" s="688" t="s">
        <v>1512</v>
      </c>
      <c r="C445" s="689"/>
      <c r="D445" s="689">
        <f t="shared" ref="D445:J445" si="251">D397</f>
        <v>131</v>
      </c>
      <c r="E445" s="689">
        <f t="shared" si="251"/>
        <v>113</v>
      </c>
      <c r="F445" s="689">
        <f t="shared" si="251"/>
        <v>103</v>
      </c>
      <c r="G445" s="689">
        <f t="shared" si="251"/>
        <v>94</v>
      </c>
      <c r="H445" s="689">
        <f t="shared" si="251"/>
        <v>84</v>
      </c>
      <c r="I445" s="689">
        <f t="shared" si="251"/>
        <v>80</v>
      </c>
      <c r="J445" s="689">
        <f t="shared" si="251"/>
        <v>77</v>
      </c>
      <c r="K445" s="687"/>
      <c r="L445" s="1106"/>
      <c r="M445" s="946"/>
      <c r="N445" s="946"/>
    </row>
    <row r="446" spans="1:14" s="584" customFormat="1">
      <c r="A446" s="673"/>
      <c r="B446" s="688" t="s">
        <v>1513</v>
      </c>
      <c r="C446" s="689"/>
      <c r="D446" s="689">
        <f t="shared" ref="D446:J446" si="252">D398</f>
        <v>264</v>
      </c>
      <c r="E446" s="689">
        <f t="shared" si="252"/>
        <v>246</v>
      </c>
      <c r="F446" s="689">
        <f t="shared" si="252"/>
        <v>238</v>
      </c>
      <c r="G446" s="689">
        <f t="shared" si="252"/>
        <v>233</v>
      </c>
      <c r="H446" s="689">
        <f t="shared" si="252"/>
        <v>228</v>
      </c>
      <c r="I446" s="689">
        <f t="shared" si="252"/>
        <v>224</v>
      </c>
      <c r="J446" s="689">
        <f t="shared" si="252"/>
        <v>220</v>
      </c>
      <c r="K446" s="687"/>
      <c r="L446" s="1106"/>
      <c r="M446" s="946"/>
      <c r="N446" s="946"/>
    </row>
    <row r="447" spans="1:14" s="584" customFormat="1">
      <c r="A447" s="673"/>
      <c r="B447" s="688" t="s">
        <v>1514</v>
      </c>
      <c r="C447" s="689"/>
      <c r="D447" s="689">
        <f t="shared" ref="D447:J447" si="253">D399</f>
        <v>29</v>
      </c>
      <c r="E447" s="689">
        <f t="shared" si="253"/>
        <v>27</v>
      </c>
      <c r="F447" s="689">
        <f t="shared" si="253"/>
        <v>27</v>
      </c>
      <c r="G447" s="689">
        <f t="shared" si="253"/>
        <v>26</v>
      </c>
      <c r="H447" s="689">
        <f t="shared" si="253"/>
        <v>25</v>
      </c>
      <c r="I447" s="689">
        <f t="shared" si="253"/>
        <v>25</v>
      </c>
      <c r="J447" s="689">
        <f t="shared" si="253"/>
        <v>25</v>
      </c>
      <c r="K447" s="687"/>
      <c r="L447" s="1106"/>
      <c r="M447" s="946"/>
      <c r="N447" s="946"/>
    </row>
    <row r="448" spans="1:14" s="584" customFormat="1">
      <c r="A448" s="673"/>
      <c r="B448" s="688" t="s">
        <v>1503</v>
      </c>
      <c r="C448" s="689"/>
      <c r="D448" s="689">
        <f t="shared" ref="D448:J448" si="254">D400</f>
        <v>130</v>
      </c>
      <c r="E448" s="689">
        <f t="shared" si="254"/>
        <v>125</v>
      </c>
      <c r="F448" s="689">
        <f t="shared" si="254"/>
        <v>126</v>
      </c>
      <c r="G448" s="689">
        <f t="shared" si="254"/>
        <v>127</v>
      </c>
      <c r="H448" s="689">
        <f t="shared" si="254"/>
        <v>127</v>
      </c>
      <c r="I448" s="689">
        <f t="shared" si="254"/>
        <v>124</v>
      </c>
      <c r="J448" s="689">
        <f t="shared" si="254"/>
        <v>121</v>
      </c>
      <c r="K448" s="687"/>
      <c r="L448" s="1106"/>
      <c r="M448" s="946"/>
      <c r="N448" s="946"/>
    </row>
    <row r="449" spans="1:14" s="584" customFormat="1">
      <c r="A449" s="673"/>
      <c r="B449" s="690" t="s">
        <v>4</v>
      </c>
      <c r="C449" s="689"/>
      <c r="D449" s="691">
        <f>SUM(D444:D448)</f>
        <v>3324</v>
      </c>
      <c r="E449" s="691">
        <f t="shared" ref="E449" si="255">SUM(E444:E448)</f>
        <v>3040</v>
      </c>
      <c r="F449" s="691">
        <f t="shared" ref="F449:J449" si="256">SUM(F444:F448)</f>
        <v>2892</v>
      </c>
      <c r="G449" s="691">
        <f t="shared" si="256"/>
        <v>2776</v>
      </c>
      <c r="H449" s="691">
        <f t="shared" si="256"/>
        <v>2676</v>
      </c>
      <c r="I449" s="691">
        <f t="shared" si="256"/>
        <v>2595</v>
      </c>
      <c r="J449" s="691">
        <f t="shared" si="256"/>
        <v>2527</v>
      </c>
      <c r="K449" s="593">
        <f>SUM(D449:F449)</f>
        <v>9256</v>
      </c>
      <c r="L449" s="1106"/>
      <c r="M449" s="946"/>
      <c r="N449" s="946"/>
    </row>
    <row r="450" spans="1:14" s="584" customFormat="1">
      <c r="A450" s="673"/>
      <c r="B450" s="684"/>
      <c r="C450" s="685"/>
      <c r="D450" s="692"/>
      <c r="E450" s="692"/>
      <c r="F450" s="692"/>
      <c r="G450" s="692"/>
      <c r="H450" s="692"/>
      <c r="I450" s="692"/>
      <c r="J450" s="692"/>
      <c r="K450" s="687"/>
      <c r="L450" s="1106"/>
      <c r="M450" s="946"/>
      <c r="N450" s="946"/>
    </row>
    <row r="451" spans="1:14" s="584" customFormat="1">
      <c r="A451" s="673"/>
      <c r="B451" s="594" t="s">
        <v>1522</v>
      </c>
      <c r="C451" s="595"/>
      <c r="D451" s="595" t="str">
        <f t="shared" ref="D451:F451" si="257">D443</f>
        <v>Year 1</v>
      </c>
      <c r="E451" s="595" t="str">
        <f t="shared" si="257"/>
        <v>Year 2</v>
      </c>
      <c r="F451" s="595" t="str">
        <f t="shared" si="257"/>
        <v>Year 3</v>
      </c>
      <c r="G451" s="595" t="s">
        <v>1862</v>
      </c>
      <c r="H451" s="595" t="s">
        <v>1863</v>
      </c>
      <c r="I451" s="595" t="s">
        <v>1864</v>
      </c>
      <c r="J451" s="595" t="s">
        <v>1865</v>
      </c>
      <c r="K451" s="687"/>
      <c r="L451" s="1106"/>
      <c r="M451" s="946"/>
      <c r="N451" s="946"/>
    </row>
    <row r="452" spans="1:14" s="584" customFormat="1">
      <c r="A452" s="673"/>
      <c r="B452" s="688" t="str">
        <f>B444</f>
        <v>First-line treatment</v>
      </c>
      <c r="C452" s="689"/>
      <c r="D452" s="689">
        <f>D444*$C431</f>
        <v>277</v>
      </c>
      <c r="E452" s="689">
        <f>E444*$C431</f>
        <v>252.9</v>
      </c>
      <c r="F452" s="689">
        <f>F444*$C431</f>
        <v>239.8</v>
      </c>
      <c r="G452" s="689">
        <f t="shared" ref="G452:J452" si="258">G444*$C431</f>
        <v>229.60000000000002</v>
      </c>
      <c r="H452" s="689">
        <f t="shared" si="258"/>
        <v>221.20000000000002</v>
      </c>
      <c r="I452" s="689">
        <f t="shared" si="258"/>
        <v>214.20000000000002</v>
      </c>
      <c r="J452" s="689">
        <f t="shared" si="258"/>
        <v>208.4</v>
      </c>
      <c r="K452" s="687"/>
      <c r="L452" s="1106"/>
      <c r="M452" s="946"/>
      <c r="N452" s="946"/>
    </row>
    <row r="453" spans="1:14" s="584" customFormat="1">
      <c r="A453" s="673"/>
      <c r="B453" s="688" t="str">
        <f t="shared" ref="B453:B456" si="259">B445</f>
        <v>PDR</v>
      </c>
      <c r="C453" s="689"/>
      <c r="D453" s="689">
        <f>D445*$D431</f>
        <v>19.649999999999999</v>
      </c>
      <c r="E453" s="689">
        <f t="shared" ref="E453:J453" si="260">E445*$D431</f>
        <v>16.95</v>
      </c>
      <c r="F453" s="689">
        <f t="shared" si="260"/>
        <v>15.45</v>
      </c>
      <c r="G453" s="689">
        <f t="shared" si="260"/>
        <v>14.1</v>
      </c>
      <c r="H453" s="689">
        <f t="shared" si="260"/>
        <v>12.6</v>
      </c>
      <c r="I453" s="689">
        <f t="shared" si="260"/>
        <v>12</v>
      </c>
      <c r="J453" s="689">
        <f t="shared" si="260"/>
        <v>11.549999999999999</v>
      </c>
      <c r="K453" s="687"/>
      <c r="L453" s="1106"/>
      <c r="M453" s="946"/>
      <c r="N453" s="946"/>
    </row>
    <row r="454" spans="1:14" s="584" customFormat="1">
      <c r="A454" s="673"/>
      <c r="B454" s="688" t="str">
        <f t="shared" si="259"/>
        <v>MDR, standard</v>
      </c>
      <c r="C454" s="689"/>
      <c r="D454" s="689">
        <f>D446*$E431</f>
        <v>52.800000000000004</v>
      </c>
      <c r="E454" s="689">
        <f t="shared" ref="E454:J454" si="261">E446*$E431</f>
        <v>49.2</v>
      </c>
      <c r="F454" s="689">
        <f t="shared" si="261"/>
        <v>47.6</v>
      </c>
      <c r="G454" s="689">
        <f t="shared" si="261"/>
        <v>46.6</v>
      </c>
      <c r="H454" s="689">
        <f t="shared" si="261"/>
        <v>45.6</v>
      </c>
      <c r="I454" s="689">
        <f t="shared" si="261"/>
        <v>44.800000000000004</v>
      </c>
      <c r="J454" s="689">
        <f t="shared" si="261"/>
        <v>44</v>
      </c>
      <c r="K454" s="687"/>
      <c r="L454" s="1106"/>
      <c r="M454" s="946"/>
      <c r="N454" s="946"/>
    </row>
    <row r="455" spans="1:14" s="584" customFormat="1">
      <c r="A455" s="673"/>
      <c r="B455" s="688" t="str">
        <f t="shared" si="259"/>
        <v>MDR, shortened</v>
      </c>
      <c r="C455" s="689"/>
      <c r="D455" s="689">
        <f>D447*$F431</f>
        <v>5.8000000000000007</v>
      </c>
      <c r="E455" s="689">
        <f t="shared" ref="E455:J455" si="262">E447*$F431</f>
        <v>5.4</v>
      </c>
      <c r="F455" s="689">
        <f t="shared" si="262"/>
        <v>5.4</v>
      </c>
      <c r="G455" s="689">
        <f t="shared" si="262"/>
        <v>5.2</v>
      </c>
      <c r="H455" s="689">
        <f t="shared" si="262"/>
        <v>5</v>
      </c>
      <c r="I455" s="689">
        <f t="shared" si="262"/>
        <v>5</v>
      </c>
      <c r="J455" s="689">
        <f t="shared" si="262"/>
        <v>5</v>
      </c>
      <c r="K455" s="687"/>
      <c r="L455" s="1106"/>
      <c r="M455" s="946"/>
      <c r="N455" s="946"/>
    </row>
    <row r="456" spans="1:14" s="584" customFormat="1">
      <c r="A456" s="673"/>
      <c r="B456" s="688" t="str">
        <f t="shared" si="259"/>
        <v>pre-XDR and XDR-TB</v>
      </c>
      <c r="C456" s="689"/>
      <c r="D456" s="689">
        <f>D448*$K431</f>
        <v>39</v>
      </c>
      <c r="E456" s="689">
        <f>E448*$K431</f>
        <v>37.5</v>
      </c>
      <c r="F456" s="689">
        <f>F448*$K431</f>
        <v>37.799999999999997</v>
      </c>
      <c r="G456" s="689">
        <f t="shared" ref="G456:J456" si="263">G448*$K431</f>
        <v>38.1</v>
      </c>
      <c r="H456" s="689">
        <f t="shared" si="263"/>
        <v>38.1</v>
      </c>
      <c r="I456" s="689">
        <f t="shared" si="263"/>
        <v>37.199999999999996</v>
      </c>
      <c r="J456" s="689">
        <f t="shared" si="263"/>
        <v>36.299999999999997</v>
      </c>
      <c r="K456" s="687"/>
      <c r="L456" s="1106"/>
      <c r="M456" s="946"/>
      <c r="N456" s="946"/>
    </row>
    <row r="457" spans="1:14" s="584" customFormat="1">
      <c r="A457" s="673"/>
      <c r="B457" s="690" t="s">
        <v>4</v>
      </c>
      <c r="C457" s="689"/>
      <c r="D457" s="691">
        <f>SUM(D452:D456)</f>
        <v>394.25</v>
      </c>
      <c r="E457" s="691">
        <f t="shared" ref="E457" si="264">SUM(E452:E456)</f>
        <v>361.95</v>
      </c>
      <c r="F457" s="691">
        <f t="shared" ref="F457:J457" si="265">SUM(F452:F456)</f>
        <v>346.05</v>
      </c>
      <c r="G457" s="691">
        <f t="shared" si="265"/>
        <v>333.6</v>
      </c>
      <c r="H457" s="691">
        <f t="shared" si="265"/>
        <v>322.50000000000006</v>
      </c>
      <c r="I457" s="691">
        <f t="shared" si="265"/>
        <v>313.2</v>
      </c>
      <c r="J457" s="691">
        <f t="shared" si="265"/>
        <v>305.25000000000006</v>
      </c>
      <c r="K457" s="593">
        <f>SUM(D457:F457)</f>
        <v>1102.25</v>
      </c>
      <c r="L457" s="1106"/>
      <c r="M457" s="946"/>
      <c r="N457" s="946"/>
    </row>
    <row r="458" spans="1:14" s="584" customFormat="1">
      <c r="A458" s="673"/>
      <c r="B458" s="684"/>
      <c r="C458" s="685"/>
      <c r="D458" s="692"/>
      <c r="E458" s="692"/>
      <c r="F458" s="692"/>
      <c r="G458" s="692"/>
      <c r="H458" s="692"/>
      <c r="I458" s="692"/>
      <c r="J458" s="692"/>
      <c r="K458" s="687"/>
      <c r="L458" s="1106"/>
      <c r="M458" s="946"/>
      <c r="N458" s="946"/>
    </row>
    <row r="459" spans="1:14" s="584" customFormat="1">
      <c r="A459" s="673"/>
      <c r="B459" s="594" t="s">
        <v>1523</v>
      </c>
      <c r="C459" s="595"/>
      <c r="D459" s="595" t="str">
        <f t="shared" ref="D459:F459" si="266">D443</f>
        <v>Year 1</v>
      </c>
      <c r="E459" s="595" t="str">
        <f t="shared" si="266"/>
        <v>Year 2</v>
      </c>
      <c r="F459" s="595" t="str">
        <f t="shared" si="266"/>
        <v>Year 3</v>
      </c>
      <c r="G459" s="595" t="s">
        <v>1862</v>
      </c>
      <c r="H459" s="595" t="s">
        <v>1863</v>
      </c>
      <c r="I459" s="595" t="s">
        <v>1864</v>
      </c>
      <c r="J459" s="595" t="s">
        <v>1865</v>
      </c>
      <c r="K459" s="687"/>
      <c r="L459" s="1106"/>
      <c r="M459" s="946"/>
      <c r="N459" s="946"/>
    </row>
    <row r="460" spans="1:14" s="584" customFormat="1">
      <c r="A460" s="673"/>
      <c r="B460" s="688" t="str">
        <f>B452</f>
        <v>First-line treatment</v>
      </c>
      <c r="C460" s="689"/>
      <c r="D460" s="689">
        <f>D452*$C433*$C434*$C435</f>
        <v>15955.2</v>
      </c>
      <c r="E460" s="689">
        <f t="shared" ref="E460:J460" si="267">E452*$C433*$C434*$C435</f>
        <v>14567.040000000003</v>
      </c>
      <c r="F460" s="689">
        <f t="shared" si="267"/>
        <v>13812.480000000003</v>
      </c>
      <c r="G460" s="689">
        <f t="shared" si="267"/>
        <v>13224.960000000001</v>
      </c>
      <c r="H460" s="689">
        <f t="shared" si="267"/>
        <v>12741.120000000003</v>
      </c>
      <c r="I460" s="689">
        <f t="shared" si="267"/>
        <v>12337.920000000002</v>
      </c>
      <c r="J460" s="689">
        <f t="shared" si="267"/>
        <v>12003.840000000002</v>
      </c>
      <c r="K460" s="687"/>
      <c r="L460" s="1106"/>
      <c r="M460" s="946"/>
      <c r="N460" s="946"/>
    </row>
    <row r="461" spans="1:14" s="584" customFormat="1">
      <c r="A461" s="673"/>
      <c r="B461" s="688" t="str">
        <f t="shared" ref="B461:B464" si="268">B453</f>
        <v>PDR</v>
      </c>
      <c r="C461" s="689"/>
      <c r="D461" s="689">
        <f>D453*$D433*$D434*$D435</f>
        <v>2751.0000000000005</v>
      </c>
      <c r="E461" s="689">
        <f t="shared" ref="E461:J461" si="269">E453*$D433*$D434*$D435</f>
        <v>2373</v>
      </c>
      <c r="F461" s="689">
        <f t="shared" si="269"/>
        <v>2163</v>
      </c>
      <c r="G461" s="689">
        <f t="shared" si="269"/>
        <v>1974.0000000000002</v>
      </c>
      <c r="H461" s="689">
        <f t="shared" si="269"/>
        <v>1764.0000000000002</v>
      </c>
      <c r="I461" s="689">
        <f t="shared" si="269"/>
        <v>1680.0000000000002</v>
      </c>
      <c r="J461" s="689">
        <f t="shared" si="269"/>
        <v>1616.9999999999998</v>
      </c>
      <c r="K461" s="687"/>
      <c r="L461" s="1106"/>
      <c r="M461" s="946"/>
      <c r="N461" s="946"/>
    </row>
    <row r="462" spans="1:14" s="584" customFormat="1">
      <c r="A462" s="673"/>
      <c r="B462" s="688" t="str">
        <f t="shared" si="268"/>
        <v>MDR, standard</v>
      </c>
      <c r="C462" s="689"/>
      <c r="D462" s="689">
        <f>D454*$E433*$E434*$E435</f>
        <v>12672</v>
      </c>
      <c r="E462" s="689">
        <f t="shared" ref="E462:J462" si="270">E454*$E433*$E434*$E435</f>
        <v>11808</v>
      </c>
      <c r="F462" s="689">
        <f t="shared" si="270"/>
        <v>11424</v>
      </c>
      <c r="G462" s="689">
        <f t="shared" si="270"/>
        <v>11184</v>
      </c>
      <c r="H462" s="689">
        <f t="shared" si="270"/>
        <v>10944</v>
      </c>
      <c r="I462" s="689">
        <f t="shared" si="270"/>
        <v>10752.000000000002</v>
      </c>
      <c r="J462" s="689">
        <f t="shared" si="270"/>
        <v>10560</v>
      </c>
      <c r="K462" s="687"/>
      <c r="L462" s="1106"/>
      <c r="M462" s="946"/>
      <c r="N462" s="946"/>
    </row>
    <row r="463" spans="1:14" s="584" customFormat="1">
      <c r="A463" s="673"/>
      <c r="B463" s="688" t="str">
        <f t="shared" si="268"/>
        <v>MDR, shortened</v>
      </c>
      <c r="C463" s="689"/>
      <c r="D463" s="689">
        <f>D455*$F433*$F434*$F435</f>
        <v>730.80000000000007</v>
      </c>
      <c r="E463" s="689">
        <f t="shared" ref="E463:J463" si="271">E455*$F433*$F434*$F435</f>
        <v>680.40000000000009</v>
      </c>
      <c r="F463" s="689">
        <f t="shared" si="271"/>
        <v>680.40000000000009</v>
      </c>
      <c r="G463" s="689">
        <f t="shared" si="271"/>
        <v>655.20000000000016</v>
      </c>
      <c r="H463" s="689">
        <f t="shared" si="271"/>
        <v>630.00000000000011</v>
      </c>
      <c r="I463" s="689">
        <f t="shared" si="271"/>
        <v>630.00000000000011</v>
      </c>
      <c r="J463" s="689">
        <f t="shared" si="271"/>
        <v>630.00000000000011</v>
      </c>
      <c r="K463" s="687"/>
      <c r="L463" s="1106"/>
      <c r="M463" s="946"/>
      <c r="N463" s="946"/>
    </row>
    <row r="464" spans="1:14" s="584" customFormat="1">
      <c r="A464" s="673"/>
      <c r="B464" s="688" t="str">
        <f t="shared" si="268"/>
        <v>pre-XDR and XDR-TB</v>
      </c>
      <c r="C464" s="689"/>
      <c r="D464" s="689">
        <f>D456*$K433*$K434*$K435</f>
        <v>11232</v>
      </c>
      <c r="E464" s="689">
        <f>E456*$K433*$K434*$K435</f>
        <v>10800</v>
      </c>
      <c r="F464" s="689">
        <f>F456*$K433*$K434*$K435</f>
        <v>10886.4</v>
      </c>
      <c r="G464" s="689">
        <f t="shared" ref="G464:J464" si="272">G456*$K433*$K434*$K435</f>
        <v>10972.8</v>
      </c>
      <c r="H464" s="689">
        <f t="shared" si="272"/>
        <v>10972.8</v>
      </c>
      <c r="I464" s="689">
        <f t="shared" si="272"/>
        <v>10713.6</v>
      </c>
      <c r="J464" s="689">
        <f t="shared" si="272"/>
        <v>10454.4</v>
      </c>
      <c r="K464" s="687"/>
      <c r="L464" s="1106"/>
      <c r="M464" s="946"/>
      <c r="N464" s="946"/>
    </row>
    <row r="465" spans="1:14" s="584" customFormat="1">
      <c r="A465" s="673"/>
      <c r="B465" s="690" t="s">
        <v>4</v>
      </c>
      <c r="C465" s="689"/>
      <c r="D465" s="691">
        <f>SUM(D460:D464)</f>
        <v>43341</v>
      </c>
      <c r="E465" s="691">
        <f t="shared" ref="E465" si="273">SUM(E460:E464)</f>
        <v>40228.44</v>
      </c>
      <c r="F465" s="691">
        <f t="shared" ref="F465:J465" si="274">SUM(F460:F464)</f>
        <v>38966.280000000006</v>
      </c>
      <c r="G465" s="691">
        <f t="shared" si="274"/>
        <v>38010.959999999999</v>
      </c>
      <c r="H465" s="691">
        <f t="shared" si="274"/>
        <v>37051.919999999998</v>
      </c>
      <c r="I465" s="691">
        <f t="shared" si="274"/>
        <v>36113.520000000004</v>
      </c>
      <c r="J465" s="691">
        <f t="shared" si="274"/>
        <v>35265.240000000005</v>
      </c>
      <c r="K465" s="593">
        <f>SUM(D465:F465)</f>
        <v>122535.72</v>
      </c>
      <c r="L465" s="1106"/>
      <c r="M465" s="946"/>
      <c r="N465" s="946"/>
    </row>
    <row r="466" spans="1:14" s="584" customFormat="1">
      <c r="A466" s="673"/>
      <c r="B466" s="693"/>
      <c r="C466" s="665"/>
      <c r="D466" s="694"/>
      <c r="E466" s="694"/>
      <c r="F466" s="694"/>
      <c r="G466" s="694"/>
      <c r="H466" s="694"/>
      <c r="I466" s="694"/>
      <c r="J466" s="694"/>
      <c r="K466" s="679"/>
      <c r="L466" s="1106"/>
      <c r="M466" s="946"/>
      <c r="N466" s="946"/>
    </row>
    <row r="467" spans="1:14" s="584" customFormat="1">
      <c r="A467" s="673"/>
      <c r="B467" s="591" t="s">
        <v>1525</v>
      </c>
      <c r="C467" s="591"/>
      <c r="D467" s="591" t="str">
        <f t="shared" ref="D467:F467" si="275">D451</f>
        <v>Year 1</v>
      </c>
      <c r="E467" s="591" t="str">
        <f t="shared" si="275"/>
        <v>Year 2</v>
      </c>
      <c r="F467" s="591" t="str">
        <f t="shared" si="275"/>
        <v>Year 3</v>
      </c>
      <c r="G467" s="595" t="s">
        <v>1862</v>
      </c>
      <c r="H467" s="595" t="s">
        <v>1863</v>
      </c>
      <c r="I467" s="595" t="s">
        <v>1864</v>
      </c>
      <c r="J467" s="595" t="s">
        <v>1865</v>
      </c>
      <c r="K467" s="687"/>
      <c r="L467" s="1106"/>
      <c r="M467" s="946"/>
      <c r="N467" s="946"/>
    </row>
    <row r="468" spans="1:14" s="584" customFormat="1">
      <c r="A468" s="673"/>
      <c r="B468" s="695" t="str">
        <f>B460</f>
        <v>First-line treatment</v>
      </c>
      <c r="C468" s="696"/>
      <c r="D468" s="696">
        <f>D460*$C437</f>
        <v>31910.400000000001</v>
      </c>
      <c r="E468" s="696">
        <f t="shared" ref="E468:J468" si="276">E460*$C437</f>
        <v>29134.080000000005</v>
      </c>
      <c r="F468" s="696">
        <f t="shared" si="276"/>
        <v>27624.960000000006</v>
      </c>
      <c r="G468" s="696">
        <f t="shared" si="276"/>
        <v>26449.920000000002</v>
      </c>
      <c r="H468" s="696">
        <f t="shared" si="276"/>
        <v>25482.240000000005</v>
      </c>
      <c r="I468" s="696">
        <f t="shared" si="276"/>
        <v>24675.840000000004</v>
      </c>
      <c r="J468" s="696">
        <f t="shared" si="276"/>
        <v>24007.680000000004</v>
      </c>
      <c r="K468" s="687"/>
      <c r="L468" s="1106"/>
      <c r="M468" s="946"/>
      <c r="N468" s="946"/>
    </row>
    <row r="469" spans="1:14" s="584" customFormat="1">
      <c r="A469" s="673"/>
      <c r="B469" s="695" t="str">
        <f t="shared" ref="B469:B472" si="277">B461</f>
        <v>PDR</v>
      </c>
      <c r="C469" s="696"/>
      <c r="D469" s="696">
        <f>D461*$D437</f>
        <v>5502.0000000000009</v>
      </c>
      <c r="E469" s="696">
        <f t="shared" ref="E469:J469" si="278">E461*$D437</f>
        <v>4746</v>
      </c>
      <c r="F469" s="696">
        <f t="shared" si="278"/>
        <v>4326</v>
      </c>
      <c r="G469" s="696">
        <f t="shared" si="278"/>
        <v>3948.0000000000005</v>
      </c>
      <c r="H469" s="696">
        <f t="shared" si="278"/>
        <v>3528.0000000000005</v>
      </c>
      <c r="I469" s="696">
        <f t="shared" si="278"/>
        <v>3360.0000000000005</v>
      </c>
      <c r="J469" s="696">
        <f t="shared" si="278"/>
        <v>3233.9999999999995</v>
      </c>
      <c r="K469" s="687"/>
      <c r="L469" s="1106"/>
      <c r="M469" s="946"/>
      <c r="N469" s="946"/>
    </row>
    <row r="470" spans="1:14" s="584" customFormat="1">
      <c r="A470" s="673"/>
      <c r="B470" s="695" t="str">
        <f t="shared" si="277"/>
        <v>MDR, standard</v>
      </c>
      <c r="C470" s="696"/>
      <c r="D470" s="696">
        <f>D462*$E437</f>
        <v>25344</v>
      </c>
      <c r="E470" s="696">
        <f t="shared" ref="E470:J470" si="279">E462*$E437</f>
        <v>23616</v>
      </c>
      <c r="F470" s="696">
        <f t="shared" si="279"/>
        <v>22848</v>
      </c>
      <c r="G470" s="696">
        <f t="shared" si="279"/>
        <v>22368</v>
      </c>
      <c r="H470" s="696">
        <f t="shared" si="279"/>
        <v>21888</v>
      </c>
      <c r="I470" s="696">
        <f t="shared" si="279"/>
        <v>21504.000000000004</v>
      </c>
      <c r="J470" s="696">
        <f t="shared" si="279"/>
        <v>21120</v>
      </c>
      <c r="K470" s="687"/>
      <c r="L470" s="1106"/>
      <c r="M470" s="946"/>
      <c r="N470" s="946"/>
    </row>
    <row r="471" spans="1:14" s="584" customFormat="1">
      <c r="A471" s="673"/>
      <c r="B471" s="695" t="str">
        <f t="shared" si="277"/>
        <v>MDR, shortened</v>
      </c>
      <c r="C471" s="696"/>
      <c r="D471" s="696">
        <f>D463*$F437</f>
        <v>1461.6000000000001</v>
      </c>
      <c r="E471" s="696">
        <f t="shared" ref="E471:J471" si="280">E463*$F437</f>
        <v>1360.8000000000002</v>
      </c>
      <c r="F471" s="696">
        <f t="shared" si="280"/>
        <v>1360.8000000000002</v>
      </c>
      <c r="G471" s="696">
        <f t="shared" si="280"/>
        <v>1310.4000000000003</v>
      </c>
      <c r="H471" s="696">
        <f t="shared" si="280"/>
        <v>1260.0000000000002</v>
      </c>
      <c r="I471" s="696">
        <f t="shared" si="280"/>
        <v>1260.0000000000002</v>
      </c>
      <c r="J471" s="696">
        <f t="shared" si="280"/>
        <v>1260.0000000000002</v>
      </c>
      <c r="K471" s="687"/>
      <c r="L471" s="1106"/>
      <c r="M471" s="946"/>
      <c r="N471" s="946"/>
    </row>
    <row r="472" spans="1:14" s="584" customFormat="1">
      <c r="A472" s="673"/>
      <c r="B472" s="695" t="str">
        <f t="shared" si="277"/>
        <v>pre-XDR and XDR-TB</v>
      </c>
      <c r="C472" s="696"/>
      <c r="D472" s="696">
        <f>D464*$K437</f>
        <v>22464</v>
      </c>
      <c r="E472" s="696">
        <f>E464*$K437</f>
        <v>21600</v>
      </c>
      <c r="F472" s="696">
        <f>F464*$K437</f>
        <v>21772.799999999999</v>
      </c>
      <c r="G472" s="696">
        <f t="shared" ref="G472:J472" si="281">G464*$K437</f>
        <v>21945.599999999999</v>
      </c>
      <c r="H472" s="696">
        <f t="shared" si="281"/>
        <v>21945.599999999999</v>
      </c>
      <c r="I472" s="696">
        <f t="shared" si="281"/>
        <v>21427.200000000001</v>
      </c>
      <c r="J472" s="696">
        <f t="shared" si="281"/>
        <v>20908.8</v>
      </c>
      <c r="K472" s="687"/>
      <c r="L472" s="1106"/>
      <c r="M472" s="946"/>
      <c r="N472" s="946"/>
    </row>
    <row r="473" spans="1:14" s="584" customFormat="1">
      <c r="A473" s="697"/>
      <c r="B473" s="698" t="s">
        <v>4</v>
      </c>
      <c r="C473" s="699"/>
      <c r="D473" s="700">
        <f>SUM(D468:D472)</f>
        <v>86682</v>
      </c>
      <c r="E473" s="700">
        <f t="shared" ref="E473" si="282">SUM(E468:E472)</f>
        <v>80456.88</v>
      </c>
      <c r="F473" s="700">
        <f t="shared" ref="F473:J473" si="283">SUM(F468:F472)</f>
        <v>77932.560000000012</v>
      </c>
      <c r="G473" s="700">
        <f t="shared" si="283"/>
        <v>76021.919999999998</v>
      </c>
      <c r="H473" s="700">
        <f t="shared" si="283"/>
        <v>74103.839999999997</v>
      </c>
      <c r="I473" s="700">
        <f t="shared" si="283"/>
        <v>72227.040000000008</v>
      </c>
      <c r="J473" s="700">
        <f t="shared" si="283"/>
        <v>70530.48000000001</v>
      </c>
      <c r="K473" s="650">
        <f>SUM(D473:F473)</f>
        <v>245071.44</v>
      </c>
      <c r="L473" s="1106">
        <f>SUM(G473:J473)</f>
        <v>292883.28000000003</v>
      </c>
      <c r="M473" s="1493" t="s">
        <v>1933</v>
      </c>
      <c r="N473" s="1493" t="s">
        <v>1934</v>
      </c>
    </row>
    <row r="474" spans="1:14" s="584" customFormat="1">
      <c r="A474" s="576"/>
      <c r="B474" s="617"/>
      <c r="C474" s="588"/>
      <c r="D474" s="616"/>
      <c r="E474" s="616"/>
      <c r="F474" s="616"/>
      <c r="G474" s="616"/>
      <c r="H474" s="616"/>
      <c r="I474" s="616"/>
      <c r="J474" s="616"/>
      <c r="K474" s="616"/>
      <c r="L474" s="1106"/>
      <c r="M474" s="946"/>
      <c r="N474" s="946"/>
    </row>
    <row r="475" spans="1:14">
      <c r="A475" s="967" t="str">
        <f>'NSP Summary Budget (16-18)'!A66</f>
        <v>2.2.3</v>
      </c>
      <c r="B475" s="968" t="str">
        <f>'NSP Summary Budget (16-18)'!B66</f>
        <v>Enablers for health care staff - PHC DOT nurses and fuel</v>
      </c>
      <c r="C475" s="950"/>
      <c r="D475" s="969"/>
      <c r="E475" s="969"/>
      <c r="F475" s="969"/>
      <c r="G475" s="969"/>
      <c r="H475" s="969"/>
      <c r="I475" s="969"/>
      <c r="J475" s="969"/>
      <c r="K475" s="971"/>
      <c r="L475" s="1106"/>
      <c r="M475" s="946"/>
      <c r="N475" s="946"/>
    </row>
    <row r="476" spans="1:14">
      <c r="A476" s="653"/>
      <c r="B476" s="640" t="str">
        <f>B63</f>
        <v>Annual payment to PHC DOT nurses</v>
      </c>
      <c r="C476" s="641">
        <f>C63</f>
        <v>40900</v>
      </c>
      <c r="D476" s="642">
        <f t="shared" ref="D476:F477" si="284">C476</f>
        <v>40900</v>
      </c>
      <c r="E476" s="642">
        <f t="shared" si="284"/>
        <v>40900</v>
      </c>
      <c r="F476" s="642">
        <f t="shared" si="284"/>
        <v>40900</v>
      </c>
      <c r="G476" s="642">
        <f t="shared" ref="G476:G477" si="285">F476</f>
        <v>40900</v>
      </c>
      <c r="H476" s="642">
        <f t="shared" ref="H476:H477" si="286">G476</f>
        <v>40900</v>
      </c>
      <c r="I476" s="642">
        <f t="shared" ref="I476:I477" si="287">H476</f>
        <v>40900</v>
      </c>
      <c r="J476" s="642">
        <f t="shared" ref="J476:J477" si="288">I476</f>
        <v>40900</v>
      </c>
      <c r="K476" s="638"/>
      <c r="L476" s="1106"/>
      <c r="M476" s="946"/>
      <c r="N476" s="946"/>
    </row>
    <row r="477" spans="1:14">
      <c r="A477" s="653"/>
      <c r="B477" s="640" t="str">
        <f>B64</f>
        <v>Annual cost of fuel for local transportation for DOT</v>
      </c>
      <c r="C477" s="641">
        <f>C64</f>
        <v>39600</v>
      </c>
      <c r="D477" s="642">
        <f t="shared" si="284"/>
        <v>39600</v>
      </c>
      <c r="E477" s="642">
        <f t="shared" si="284"/>
        <v>39600</v>
      </c>
      <c r="F477" s="642">
        <f t="shared" si="284"/>
        <v>39600</v>
      </c>
      <c r="G477" s="642">
        <f t="shared" si="285"/>
        <v>39600</v>
      </c>
      <c r="H477" s="642">
        <f t="shared" si="286"/>
        <v>39600</v>
      </c>
      <c r="I477" s="642">
        <f t="shared" si="287"/>
        <v>39600</v>
      </c>
      <c r="J477" s="642">
        <f t="shared" si="288"/>
        <v>39600</v>
      </c>
      <c r="K477" s="638"/>
      <c r="L477" s="1106"/>
      <c r="M477" s="946"/>
      <c r="N477" s="946"/>
    </row>
    <row r="478" spans="1:14">
      <c r="A478" s="655"/>
      <c r="B478" s="648" t="s">
        <v>1077</v>
      </c>
      <c r="C478" s="656"/>
      <c r="D478" s="650">
        <f>SUM(D476:D477)</f>
        <v>80500</v>
      </c>
      <c r="E478" s="650">
        <f t="shared" ref="E478:J478" si="289">SUM(E476:E477)</f>
        <v>80500</v>
      </c>
      <c r="F478" s="650">
        <f t="shared" si="289"/>
        <v>80500</v>
      </c>
      <c r="G478" s="650">
        <f t="shared" si="289"/>
        <v>80500</v>
      </c>
      <c r="H478" s="650">
        <f t="shared" si="289"/>
        <v>80500</v>
      </c>
      <c r="I478" s="650">
        <f t="shared" si="289"/>
        <v>80500</v>
      </c>
      <c r="J478" s="650">
        <f t="shared" si="289"/>
        <v>80500</v>
      </c>
      <c r="K478" s="651">
        <f>SUM(D478:F478)</f>
        <v>241500</v>
      </c>
      <c r="L478" s="1106">
        <f>SUM(G478:J478)</f>
        <v>322000</v>
      </c>
      <c r="M478" s="1493" t="s">
        <v>1933</v>
      </c>
      <c r="N478" s="1493" t="s">
        <v>1934</v>
      </c>
    </row>
    <row r="479" spans="1:14">
      <c r="A479" s="611"/>
      <c r="B479" s="548"/>
      <c r="C479" s="549"/>
      <c r="D479" s="550"/>
      <c r="E479" s="550"/>
      <c r="F479" s="550"/>
      <c r="G479" s="550"/>
      <c r="H479" s="550"/>
      <c r="I479" s="550"/>
      <c r="J479" s="550"/>
      <c r="K479" s="550"/>
      <c r="L479" s="1106"/>
      <c r="M479" s="946"/>
      <c r="N479" s="946"/>
    </row>
    <row r="480" spans="1:14">
      <c r="A480" s="967" t="str">
        <f>'NSP Summary Budget (16-18)'!A67</f>
        <v>2.2.4</v>
      </c>
      <c r="B480" s="968" t="str">
        <f>'NSP Summary Budget (16-18)'!B67</f>
        <v>Administration of monetary incentives</v>
      </c>
      <c r="C480" s="950"/>
      <c r="D480" s="969"/>
      <c r="E480" s="969"/>
      <c r="F480" s="969"/>
      <c r="G480" s="969"/>
      <c r="H480" s="969"/>
      <c r="I480" s="969"/>
      <c r="J480" s="969"/>
      <c r="K480" s="971"/>
      <c r="L480" s="1106"/>
      <c r="M480" s="946"/>
      <c r="N480" s="946"/>
    </row>
    <row r="481" spans="1:14" ht="30">
      <c r="A481" s="653"/>
      <c r="B481" s="640" t="str">
        <f>B65</f>
        <v xml:space="preserve">Annual HR cost for administration of monetary incentives, at PR level </v>
      </c>
      <c r="C481" s="641">
        <f>C65</f>
        <v>16600</v>
      </c>
      <c r="D481" s="642">
        <f t="shared" ref="D481:F482" si="290">C481</f>
        <v>16600</v>
      </c>
      <c r="E481" s="642">
        <f t="shared" si="290"/>
        <v>16600</v>
      </c>
      <c r="F481" s="642">
        <f t="shared" si="290"/>
        <v>16600</v>
      </c>
      <c r="G481" s="642">
        <f t="shared" ref="G481:G482" si="291">F481</f>
        <v>16600</v>
      </c>
      <c r="H481" s="642">
        <f t="shared" ref="H481:H482" si="292">G481</f>
        <v>16600</v>
      </c>
      <c r="I481" s="642">
        <f t="shared" ref="I481:I482" si="293">H481</f>
        <v>16600</v>
      </c>
      <c r="J481" s="642">
        <f t="shared" ref="J481:J482" si="294">I481</f>
        <v>16600</v>
      </c>
      <c r="K481" s="638"/>
      <c r="L481" s="1106"/>
      <c r="M481" s="946"/>
      <c r="N481" s="946"/>
    </row>
    <row r="482" spans="1:14" ht="30">
      <c r="A482" s="653"/>
      <c r="B482" s="640" t="str">
        <f>B66</f>
        <v xml:space="preserve">Annual HR cost for administration of monetary incentives, at SR level </v>
      </c>
      <c r="C482" s="641">
        <f>C66</f>
        <v>9810</v>
      </c>
      <c r="D482" s="642">
        <f t="shared" si="290"/>
        <v>9810</v>
      </c>
      <c r="E482" s="642">
        <f t="shared" si="290"/>
        <v>9810</v>
      </c>
      <c r="F482" s="642">
        <f t="shared" si="290"/>
        <v>9810</v>
      </c>
      <c r="G482" s="642">
        <f t="shared" si="291"/>
        <v>9810</v>
      </c>
      <c r="H482" s="642">
        <f t="shared" si="292"/>
        <v>9810</v>
      </c>
      <c r="I482" s="642">
        <f t="shared" si="293"/>
        <v>9810</v>
      </c>
      <c r="J482" s="642">
        <f t="shared" si="294"/>
        <v>9810</v>
      </c>
      <c r="K482" s="638"/>
      <c r="L482" s="1106"/>
      <c r="M482" s="946"/>
      <c r="N482" s="946"/>
    </row>
    <row r="483" spans="1:14">
      <c r="A483" s="655"/>
      <c r="B483" s="648" t="s">
        <v>1077</v>
      </c>
      <c r="C483" s="656"/>
      <c r="D483" s="650">
        <f>SUM(D481:D482)</f>
        <v>26410</v>
      </c>
      <c r="E483" s="650">
        <f t="shared" ref="E483" si="295">SUM(E481:E482)</f>
        <v>26410</v>
      </c>
      <c r="F483" s="650">
        <f t="shared" ref="F483:J483" si="296">SUM(F481:F482)</f>
        <v>26410</v>
      </c>
      <c r="G483" s="650">
        <f t="shared" si="296"/>
        <v>26410</v>
      </c>
      <c r="H483" s="650">
        <f t="shared" si="296"/>
        <v>26410</v>
      </c>
      <c r="I483" s="650">
        <f t="shared" si="296"/>
        <v>26410</v>
      </c>
      <c r="J483" s="650">
        <f t="shared" si="296"/>
        <v>26410</v>
      </c>
      <c r="K483" s="651">
        <f>SUM(D483:F483)</f>
        <v>79230</v>
      </c>
      <c r="L483" s="1106">
        <f>SUM(G483:J483)</f>
        <v>105640</v>
      </c>
      <c r="M483" s="1493" t="s">
        <v>1933</v>
      </c>
      <c r="N483" s="946"/>
    </row>
    <row r="484" spans="1:14">
      <c r="A484" s="611"/>
      <c r="B484" s="548"/>
      <c r="C484" s="549"/>
      <c r="D484" s="550"/>
      <c r="E484" s="550"/>
      <c r="F484" s="550"/>
      <c r="G484" s="550"/>
      <c r="H484" s="550"/>
      <c r="I484" s="550"/>
      <c r="J484" s="550"/>
      <c r="K484" s="550"/>
      <c r="L484" s="1106"/>
      <c r="M484" s="946"/>
      <c r="N484" s="946"/>
    </row>
    <row r="485" spans="1:14">
      <c r="A485" s="652" t="str">
        <f>'NSP Summary Budget (16-18)'!A68</f>
        <v>2.2.5</v>
      </c>
      <c r="B485" s="661" t="str">
        <f>'NSP Summary Budget (16-18)'!B68</f>
        <v>Psychological and social assistance to TB patients</v>
      </c>
      <c r="C485" s="633"/>
      <c r="D485" s="634"/>
      <c r="E485" s="634"/>
      <c r="F485" s="634"/>
      <c r="G485" s="969"/>
      <c r="H485" s="969"/>
      <c r="I485" s="969"/>
      <c r="J485" s="969"/>
      <c r="K485" s="635"/>
      <c r="L485" s="1106"/>
      <c r="M485" s="946"/>
      <c r="N485" s="946"/>
    </row>
    <row r="486" spans="1:14">
      <c r="A486" s="653"/>
      <c r="B486" s="640" t="str">
        <f>B67</f>
        <v>Annual cost of psycho-social assistance to TB patients</v>
      </c>
      <c r="C486" s="641">
        <f>C67</f>
        <v>160000</v>
      </c>
      <c r="D486" s="642">
        <f t="shared" ref="D486:F486" si="297">C486</f>
        <v>160000</v>
      </c>
      <c r="E486" s="642">
        <f t="shared" si="297"/>
        <v>160000</v>
      </c>
      <c r="F486" s="642">
        <f t="shared" si="297"/>
        <v>160000</v>
      </c>
      <c r="G486" s="642">
        <f t="shared" ref="G486" si="298">F486</f>
        <v>160000</v>
      </c>
      <c r="H486" s="642">
        <f t="shared" ref="H486" si="299">G486</f>
        <v>160000</v>
      </c>
      <c r="I486" s="642">
        <f t="shared" ref="I486" si="300">H486</f>
        <v>160000</v>
      </c>
      <c r="J486" s="642">
        <f t="shared" ref="J486" si="301">I486</f>
        <v>160000</v>
      </c>
      <c r="K486" s="638"/>
      <c r="L486" s="1106"/>
      <c r="M486" s="946"/>
      <c r="N486" s="946"/>
    </row>
    <row r="487" spans="1:14">
      <c r="A487" s="653"/>
      <c r="B487" s="654" t="s">
        <v>1090</v>
      </c>
      <c r="C487" s="636"/>
      <c r="D487" s="646">
        <v>0.5</v>
      </c>
      <c r="E487" s="646">
        <v>1</v>
      </c>
      <c r="F487" s="646">
        <v>1</v>
      </c>
      <c r="G487" s="646">
        <v>1</v>
      </c>
      <c r="H487" s="646">
        <v>1</v>
      </c>
      <c r="I487" s="646">
        <v>1</v>
      </c>
      <c r="J487" s="646">
        <v>1</v>
      </c>
      <c r="K487" s="638"/>
      <c r="L487" s="1106"/>
      <c r="M487" s="946"/>
      <c r="N487" s="946"/>
    </row>
    <row r="488" spans="1:14">
      <c r="A488" s="655"/>
      <c r="B488" s="648" t="s">
        <v>1077</v>
      </c>
      <c r="C488" s="656"/>
      <c r="D488" s="650">
        <f>D486*D487</f>
        <v>80000</v>
      </c>
      <c r="E488" s="650">
        <f t="shared" ref="E488:J488" si="302">E486*E487</f>
        <v>160000</v>
      </c>
      <c r="F488" s="650">
        <f t="shared" si="302"/>
        <v>160000</v>
      </c>
      <c r="G488" s="650">
        <f t="shared" si="302"/>
        <v>160000</v>
      </c>
      <c r="H488" s="650">
        <f t="shared" si="302"/>
        <v>160000</v>
      </c>
      <c r="I488" s="650">
        <f t="shared" si="302"/>
        <v>160000</v>
      </c>
      <c r="J488" s="650">
        <f t="shared" si="302"/>
        <v>160000</v>
      </c>
      <c r="K488" s="651">
        <f>SUM(D488:F488)</f>
        <v>400000</v>
      </c>
      <c r="L488" s="1106">
        <f>SUM(G488:J488)</f>
        <v>640000</v>
      </c>
      <c r="M488" s="1493" t="s">
        <v>1933</v>
      </c>
      <c r="N488" s="946"/>
    </row>
    <row r="489" spans="1:14">
      <c r="A489" s="611"/>
      <c r="B489" s="602"/>
      <c r="C489" s="546"/>
      <c r="D489" s="605"/>
      <c r="E489" s="605"/>
      <c r="F489" s="605"/>
      <c r="G489" s="605"/>
      <c r="H489" s="605"/>
      <c r="I489" s="605"/>
      <c r="J489" s="605"/>
      <c r="K489" s="605"/>
      <c r="L489" s="1106"/>
      <c r="M489" s="946"/>
      <c r="N489" s="946"/>
    </row>
    <row r="490" spans="1:14">
      <c r="A490" s="652" t="str">
        <f>'NSP Summary Budget (16-18)'!A69</f>
        <v>2.2.6</v>
      </c>
      <c r="B490" s="661" t="str">
        <f>'NSP Summary Budget (16-18)'!B69</f>
        <v>Mobile technologies for adherence support (demonstration projects)</v>
      </c>
      <c r="C490" s="633"/>
      <c r="D490" s="634"/>
      <c r="E490" s="634"/>
      <c r="F490" s="634"/>
      <c r="G490" s="969"/>
      <c r="H490" s="969"/>
      <c r="I490" s="969"/>
      <c r="J490" s="969"/>
      <c r="K490" s="635"/>
      <c r="L490" s="1106"/>
      <c r="M490" s="946"/>
      <c r="N490" s="946"/>
    </row>
    <row r="491" spans="1:14" ht="30">
      <c r="A491" s="653"/>
      <c r="B491" s="640" t="str">
        <f>B68</f>
        <v>Average annual cost of adherence support through mobile technologies</v>
      </c>
      <c r="C491" s="641">
        <f>C68</f>
        <v>60000</v>
      </c>
      <c r="D491" s="642">
        <f t="shared" ref="D491:F491" si="303">C491</f>
        <v>60000</v>
      </c>
      <c r="E491" s="642">
        <f t="shared" si="303"/>
        <v>60000</v>
      </c>
      <c r="F491" s="642">
        <f t="shared" si="303"/>
        <v>60000</v>
      </c>
      <c r="G491" s="642">
        <f t="shared" ref="G491" si="304">F491</f>
        <v>60000</v>
      </c>
      <c r="H491" s="642">
        <f t="shared" ref="H491" si="305">G491</f>
        <v>60000</v>
      </c>
      <c r="I491" s="642">
        <f t="shared" ref="I491" si="306">H491</f>
        <v>60000</v>
      </c>
      <c r="J491" s="642">
        <f t="shared" ref="J491" si="307">I491</f>
        <v>60000</v>
      </c>
      <c r="K491" s="638"/>
      <c r="L491" s="1106"/>
      <c r="M491" s="946"/>
      <c r="N491" s="946"/>
    </row>
    <row r="492" spans="1:14">
      <c r="A492" s="653"/>
      <c r="B492" s="654" t="s">
        <v>1090</v>
      </c>
      <c r="C492" s="636"/>
      <c r="D492" s="646">
        <v>0.5</v>
      </c>
      <c r="E492" s="646">
        <v>1</v>
      </c>
      <c r="F492" s="646">
        <v>1</v>
      </c>
      <c r="G492" s="646">
        <v>1</v>
      </c>
      <c r="H492" s="646">
        <v>1</v>
      </c>
      <c r="I492" s="646">
        <v>1</v>
      </c>
      <c r="J492" s="646">
        <v>1</v>
      </c>
      <c r="K492" s="638"/>
      <c r="L492" s="1106"/>
      <c r="M492" s="946"/>
      <c r="N492" s="946"/>
    </row>
    <row r="493" spans="1:14">
      <c r="A493" s="655"/>
      <c r="B493" s="648" t="s">
        <v>1077</v>
      </c>
      <c r="C493" s="656"/>
      <c r="D493" s="650">
        <f>D491*D492</f>
        <v>30000</v>
      </c>
      <c r="E493" s="650">
        <f t="shared" ref="E493" si="308">E491*E492</f>
        <v>60000</v>
      </c>
      <c r="F493" s="650">
        <f t="shared" ref="F493:J493" si="309">F491*F492</f>
        <v>60000</v>
      </c>
      <c r="G493" s="650">
        <f t="shared" si="309"/>
        <v>60000</v>
      </c>
      <c r="H493" s="650">
        <f t="shared" si="309"/>
        <v>60000</v>
      </c>
      <c r="I493" s="650">
        <f t="shared" si="309"/>
        <v>60000</v>
      </c>
      <c r="J493" s="650">
        <f t="shared" si="309"/>
        <v>60000</v>
      </c>
      <c r="K493" s="651">
        <f>SUM(D493:F493)</f>
        <v>150000</v>
      </c>
      <c r="L493" s="1106">
        <f>SUM(G493:J493)</f>
        <v>240000</v>
      </c>
      <c r="M493" s="1493" t="s">
        <v>1933</v>
      </c>
      <c r="N493" s="946"/>
    </row>
    <row r="494" spans="1:14">
      <c r="A494" s="611"/>
      <c r="B494" s="548"/>
      <c r="C494" s="549"/>
      <c r="D494" s="550"/>
      <c r="E494" s="550"/>
      <c r="F494" s="550"/>
      <c r="G494" s="550"/>
      <c r="H494" s="550"/>
      <c r="I494" s="550"/>
      <c r="J494" s="550"/>
      <c r="K494" s="550"/>
      <c r="L494" s="1106"/>
      <c r="M494" s="946"/>
      <c r="N494" s="946"/>
    </row>
    <row r="495" spans="1:14">
      <c r="A495" s="652" t="str">
        <f>'NSP Summary Budget (16-18)'!A70</f>
        <v>2.2.7</v>
      </c>
      <c r="B495" s="661" t="str">
        <f>'NSP Summary Budget (16-18)'!B70</f>
        <v>Incentives for health care staff, related to adherence to TB treatment</v>
      </c>
      <c r="C495" s="633"/>
      <c r="D495" s="634"/>
      <c r="E495" s="634"/>
      <c r="F495" s="634"/>
      <c r="G495" s="969"/>
      <c r="H495" s="969"/>
      <c r="I495" s="969"/>
      <c r="J495" s="969"/>
      <c r="K495" s="635"/>
      <c r="L495" s="1106"/>
      <c r="M495" s="946"/>
      <c r="N495" s="946"/>
    </row>
    <row r="496" spans="1:14" ht="30">
      <c r="A496" s="653"/>
      <c r="B496" s="640" t="str">
        <f>B69</f>
        <v>Annual level of motivation payments to health care providers for adherence to TB treatment</v>
      </c>
      <c r="C496" s="641">
        <f>C69</f>
        <v>80000</v>
      </c>
      <c r="D496" s="642">
        <f>C496</f>
        <v>80000</v>
      </c>
      <c r="E496" s="642">
        <f>D496</f>
        <v>80000</v>
      </c>
      <c r="F496" s="642">
        <f>E496</f>
        <v>80000</v>
      </c>
      <c r="G496" s="642">
        <f t="shared" ref="G496:J496" si="310">F496</f>
        <v>80000</v>
      </c>
      <c r="H496" s="642">
        <f t="shared" si="310"/>
        <v>80000</v>
      </c>
      <c r="I496" s="642">
        <f t="shared" si="310"/>
        <v>80000</v>
      </c>
      <c r="J496" s="642">
        <f t="shared" si="310"/>
        <v>80000</v>
      </c>
      <c r="K496" s="638"/>
      <c r="L496" s="1106"/>
      <c r="M496" s="946"/>
      <c r="N496" s="946"/>
    </row>
    <row r="497" spans="1:14">
      <c r="A497" s="653"/>
      <c r="B497" s="640" t="s">
        <v>1095</v>
      </c>
      <c r="C497" s="641"/>
      <c r="D497" s="646">
        <v>0</v>
      </c>
      <c r="E497" s="646">
        <v>0.2</v>
      </c>
      <c r="F497" s="646">
        <v>0.8</v>
      </c>
      <c r="G497" s="646">
        <v>0.8</v>
      </c>
      <c r="H497" s="646">
        <v>0.8</v>
      </c>
      <c r="I497" s="646">
        <v>0.8</v>
      </c>
      <c r="J497" s="646">
        <v>0.8</v>
      </c>
      <c r="K497" s="638"/>
      <c r="L497" s="1106"/>
      <c r="M497" s="946"/>
      <c r="N497" s="946"/>
    </row>
    <row r="498" spans="1:14">
      <c r="A498" s="655"/>
      <c r="B498" s="648" t="s">
        <v>1077</v>
      </c>
      <c r="C498" s="656"/>
      <c r="D498" s="650">
        <f>D496*D497</f>
        <v>0</v>
      </c>
      <c r="E498" s="650">
        <f t="shared" ref="E498:J498" si="311">E496*E497</f>
        <v>16000</v>
      </c>
      <c r="F498" s="650">
        <f t="shared" si="311"/>
        <v>64000</v>
      </c>
      <c r="G498" s="650">
        <f t="shared" si="311"/>
        <v>64000</v>
      </c>
      <c r="H498" s="650">
        <f t="shared" si="311"/>
        <v>64000</v>
      </c>
      <c r="I498" s="650">
        <f t="shared" si="311"/>
        <v>64000</v>
      </c>
      <c r="J498" s="650">
        <f t="shared" si="311"/>
        <v>64000</v>
      </c>
      <c r="K498" s="651">
        <f>SUM(D498:F498)</f>
        <v>80000</v>
      </c>
      <c r="L498" s="1106">
        <f t="shared" ref="L498:L556" si="312">SUM(G498:J498)</f>
        <v>256000</v>
      </c>
      <c r="M498" s="1493" t="s">
        <v>1933</v>
      </c>
      <c r="N498" s="1493" t="s">
        <v>1934</v>
      </c>
    </row>
    <row r="499" spans="1:14">
      <c r="A499" s="611"/>
      <c r="B499" s="548"/>
      <c r="C499" s="549"/>
      <c r="D499" s="550"/>
      <c r="E499" s="550"/>
      <c r="F499" s="550"/>
      <c r="G499" s="550"/>
      <c r="H499" s="550"/>
      <c r="I499" s="550"/>
      <c r="J499" s="550"/>
      <c r="K499" s="550"/>
      <c r="L499" s="1106"/>
    </row>
    <row r="500" spans="1:14" ht="28.5" customHeight="1">
      <c r="A500" s="589">
        <f>'NSP Summary Budget (16-18)'!A71</f>
        <v>2.2999999999999998</v>
      </c>
      <c r="B500" s="1783" t="str">
        <f>'NSP Summary Budget (16-18)'!B71</f>
        <v xml:space="preserve">Treatment monitoring, management of adverse drug reactions and comorbidities </v>
      </c>
      <c r="C500" s="1783"/>
      <c r="D500" s="590"/>
      <c r="E500" s="590"/>
      <c r="F500" s="590"/>
      <c r="G500" s="590"/>
      <c r="H500" s="590"/>
      <c r="I500" s="590"/>
      <c r="J500" s="590"/>
      <c r="K500" s="590"/>
      <c r="L500" s="1490">
        <f>SUM(L502:L539)</f>
        <v>836548.03200000001</v>
      </c>
    </row>
    <row r="501" spans="1:14">
      <c r="A501" s="611"/>
      <c r="B501" s="602"/>
      <c r="C501" s="546"/>
      <c r="D501" s="605"/>
      <c r="E501" s="605"/>
      <c r="F501" s="605"/>
      <c r="G501" s="605"/>
      <c r="H501" s="605"/>
      <c r="I501" s="605"/>
      <c r="J501" s="605"/>
      <c r="K501" s="605"/>
      <c r="L501" s="1106"/>
    </row>
    <row r="502" spans="1:14">
      <c r="A502" s="652" t="str">
        <f>'NSP Summary Budget (16-18)'!A73</f>
        <v>2.3.2</v>
      </c>
      <c r="B502" s="661" t="str">
        <f>'NSP Summary Budget (16-18)'!B73</f>
        <v>Clinical tests for patient monitoring during TB treatment</v>
      </c>
      <c r="C502" s="633"/>
      <c r="D502" s="634"/>
      <c r="E502" s="634"/>
      <c r="F502" s="634"/>
      <c r="G502" s="969"/>
      <c r="H502" s="969"/>
      <c r="I502" s="969"/>
      <c r="J502" s="969"/>
      <c r="K502" s="635"/>
      <c r="L502" s="1106"/>
    </row>
    <row r="503" spans="1:14" ht="30">
      <c r="A503" s="653"/>
      <c r="B503" s="654" t="str">
        <f>B70</f>
        <v>Average cost of clinical tests per trearment course, first-line treatment</v>
      </c>
      <c r="C503" s="641">
        <f>C70</f>
        <v>25</v>
      </c>
      <c r="D503" s="642">
        <f>C503</f>
        <v>25</v>
      </c>
      <c r="E503" s="642">
        <f>D503</f>
        <v>25</v>
      </c>
      <c r="F503" s="642">
        <f>E503</f>
        <v>25</v>
      </c>
      <c r="G503" s="642">
        <f t="shared" ref="G503:J503" si="313">F503</f>
        <v>25</v>
      </c>
      <c r="H503" s="642">
        <f t="shared" si="313"/>
        <v>25</v>
      </c>
      <c r="I503" s="642">
        <f t="shared" si="313"/>
        <v>25</v>
      </c>
      <c r="J503" s="642">
        <f t="shared" si="313"/>
        <v>25</v>
      </c>
      <c r="K503" s="638"/>
      <c r="L503" s="1106"/>
    </row>
    <row r="504" spans="1:14">
      <c r="A504" s="653"/>
      <c r="B504" s="654" t="s">
        <v>1375</v>
      </c>
      <c r="C504" s="641"/>
      <c r="D504" s="642">
        <f>CALCULATIONS!F183</f>
        <v>2770</v>
      </c>
      <c r="E504" s="642">
        <f>CALCULATIONS!G183</f>
        <v>2529</v>
      </c>
      <c r="F504" s="642">
        <f>CALCULATIONS!H183</f>
        <v>2398</v>
      </c>
      <c r="G504" s="642">
        <f>CALCULATIONS!I183</f>
        <v>2296</v>
      </c>
      <c r="H504" s="642">
        <f>CALCULATIONS!J183</f>
        <v>2212</v>
      </c>
      <c r="I504" s="642">
        <f>CALCULATIONS!K183</f>
        <v>2142</v>
      </c>
      <c r="J504" s="642">
        <f>CALCULATIONS!L183</f>
        <v>2084</v>
      </c>
      <c r="K504" s="638"/>
      <c r="L504" s="1106"/>
    </row>
    <row r="505" spans="1:14" ht="30">
      <c r="A505" s="653"/>
      <c r="B505" s="654" t="str">
        <f>B71</f>
        <v>Average cost of clinical tests per trearment course, PDR-TB</v>
      </c>
      <c r="C505" s="641">
        <f>C71</f>
        <v>40</v>
      </c>
      <c r="D505" s="642">
        <f>C505</f>
        <v>40</v>
      </c>
      <c r="E505" s="642">
        <f>D505</f>
        <v>40</v>
      </c>
      <c r="F505" s="642">
        <f>E505</f>
        <v>40</v>
      </c>
      <c r="G505" s="642">
        <f t="shared" ref="G505:J505" si="314">F505</f>
        <v>40</v>
      </c>
      <c r="H505" s="642">
        <f t="shared" si="314"/>
        <v>40</v>
      </c>
      <c r="I505" s="642">
        <f t="shared" si="314"/>
        <v>40</v>
      </c>
      <c r="J505" s="642">
        <f t="shared" si="314"/>
        <v>40</v>
      </c>
      <c r="K505" s="638"/>
      <c r="L505" s="1106"/>
    </row>
    <row r="506" spans="1:14">
      <c r="A506" s="653"/>
      <c r="B506" s="654" t="s">
        <v>1098</v>
      </c>
      <c r="C506" s="641"/>
      <c r="D506" s="642">
        <f>CALCULATIONS!F184</f>
        <v>131</v>
      </c>
      <c r="E506" s="642">
        <f>CALCULATIONS!G184</f>
        <v>113</v>
      </c>
      <c r="F506" s="642">
        <f>CALCULATIONS!H184</f>
        <v>103</v>
      </c>
      <c r="G506" s="642">
        <f>CALCULATIONS!I184</f>
        <v>94</v>
      </c>
      <c r="H506" s="642">
        <f>CALCULATIONS!J184</f>
        <v>84</v>
      </c>
      <c r="I506" s="642">
        <f>CALCULATIONS!K184</f>
        <v>80</v>
      </c>
      <c r="J506" s="642">
        <f>CALCULATIONS!L184</f>
        <v>77</v>
      </c>
      <c r="K506" s="638"/>
      <c r="L506" s="1106"/>
    </row>
    <row r="507" spans="1:14" ht="30">
      <c r="A507" s="653"/>
      <c r="B507" s="654" t="str">
        <f>B72</f>
        <v>Average cost of clinical tests per trearment course, MDR-TB (standard regimen)</v>
      </c>
      <c r="C507" s="641">
        <f>C72</f>
        <v>120</v>
      </c>
      <c r="D507" s="642">
        <f>C507</f>
        <v>120</v>
      </c>
      <c r="E507" s="642">
        <f>D507</f>
        <v>120</v>
      </c>
      <c r="F507" s="642">
        <f>E507</f>
        <v>120</v>
      </c>
      <c r="G507" s="642">
        <f t="shared" ref="G507:J507" si="315">F507</f>
        <v>120</v>
      </c>
      <c r="H507" s="642">
        <f t="shared" si="315"/>
        <v>120</v>
      </c>
      <c r="I507" s="642">
        <f t="shared" si="315"/>
        <v>120</v>
      </c>
      <c r="J507" s="642">
        <f t="shared" si="315"/>
        <v>120</v>
      </c>
      <c r="K507" s="638"/>
      <c r="L507" s="1106"/>
    </row>
    <row r="508" spans="1:14">
      <c r="A508" s="653"/>
      <c r="B508" s="654" t="s">
        <v>1379</v>
      </c>
      <c r="C508" s="641"/>
      <c r="D508" s="642">
        <f>'TB drugs cost'!F99</f>
        <v>264</v>
      </c>
      <c r="E508" s="642">
        <f>'TB drugs cost'!G99</f>
        <v>246</v>
      </c>
      <c r="F508" s="642">
        <f>'TB drugs cost'!H99</f>
        <v>238</v>
      </c>
      <c r="G508" s="642">
        <f>'TB drugs cost'!I99</f>
        <v>233</v>
      </c>
      <c r="H508" s="642">
        <f>'TB drugs cost'!J99</f>
        <v>228</v>
      </c>
      <c r="I508" s="642">
        <f>'TB drugs cost'!K99</f>
        <v>224</v>
      </c>
      <c r="J508" s="642">
        <f>'TB drugs cost'!L99</f>
        <v>220</v>
      </c>
      <c r="K508" s="638"/>
      <c r="L508" s="1106"/>
    </row>
    <row r="509" spans="1:14" ht="30">
      <c r="A509" s="653"/>
      <c r="B509" s="654" t="str">
        <f>B73</f>
        <v>Average cost of clinical tests per trearment course, MDR-TB (shortened regimen)</v>
      </c>
      <c r="C509" s="641">
        <f>C73</f>
        <v>60</v>
      </c>
      <c r="D509" s="642">
        <f>C509</f>
        <v>60</v>
      </c>
      <c r="E509" s="642">
        <f>D509</f>
        <v>60</v>
      </c>
      <c r="F509" s="642">
        <f>E509</f>
        <v>60</v>
      </c>
      <c r="G509" s="642">
        <f t="shared" ref="G509:J509" si="316">F509</f>
        <v>60</v>
      </c>
      <c r="H509" s="642">
        <f t="shared" si="316"/>
        <v>60</v>
      </c>
      <c r="I509" s="642">
        <f t="shared" si="316"/>
        <v>60</v>
      </c>
      <c r="J509" s="642">
        <f t="shared" si="316"/>
        <v>60</v>
      </c>
      <c r="K509" s="638"/>
      <c r="L509" s="1106"/>
    </row>
    <row r="510" spans="1:14">
      <c r="A510" s="653"/>
      <c r="B510" s="654" t="s">
        <v>1380</v>
      </c>
      <c r="C510" s="641"/>
      <c r="D510" s="642">
        <f>'TB drugs cost'!F100</f>
        <v>29</v>
      </c>
      <c r="E510" s="642">
        <f>'TB drugs cost'!G100</f>
        <v>27</v>
      </c>
      <c r="F510" s="642">
        <f>'TB drugs cost'!H100</f>
        <v>27</v>
      </c>
      <c r="G510" s="642">
        <f>'TB drugs cost'!I100</f>
        <v>26</v>
      </c>
      <c r="H510" s="642">
        <f>'TB drugs cost'!J100</f>
        <v>25</v>
      </c>
      <c r="I510" s="642">
        <f>'TB drugs cost'!K100</f>
        <v>25</v>
      </c>
      <c r="J510" s="642">
        <f>'TB drugs cost'!L100</f>
        <v>25</v>
      </c>
      <c r="K510" s="638"/>
      <c r="L510" s="1106"/>
    </row>
    <row r="511" spans="1:14" ht="30">
      <c r="A511" s="653"/>
      <c r="B511" s="654" t="str">
        <f>B74</f>
        <v>Average cost of clinical tests per trearment course, pre-XDR and XDR-TB</v>
      </c>
      <c r="C511" s="641">
        <f>C74</f>
        <v>180</v>
      </c>
      <c r="D511" s="642">
        <f>C511</f>
        <v>180</v>
      </c>
      <c r="E511" s="642">
        <f>D511</f>
        <v>180</v>
      </c>
      <c r="F511" s="642">
        <f>E511</f>
        <v>180</v>
      </c>
      <c r="G511" s="642">
        <f t="shared" ref="G511:J511" si="317">F511</f>
        <v>180</v>
      </c>
      <c r="H511" s="642">
        <f t="shared" si="317"/>
        <v>180</v>
      </c>
      <c r="I511" s="642">
        <f t="shared" si="317"/>
        <v>180</v>
      </c>
      <c r="J511" s="642">
        <f t="shared" si="317"/>
        <v>180</v>
      </c>
      <c r="K511" s="638"/>
      <c r="L511" s="1106"/>
    </row>
    <row r="512" spans="1:14">
      <c r="A512" s="653"/>
      <c r="B512" s="654" t="s">
        <v>1536</v>
      </c>
      <c r="C512" s="641"/>
      <c r="D512" s="642">
        <f>SUM(CALCULATIONS!F186:F187)</f>
        <v>130</v>
      </c>
      <c r="E512" s="642">
        <f>SUM(CALCULATIONS!G186:G187)</f>
        <v>125</v>
      </c>
      <c r="F512" s="642">
        <f>SUM(CALCULATIONS!H186:H187)</f>
        <v>126</v>
      </c>
      <c r="G512" s="642">
        <f>SUM(CALCULATIONS!I186:I187)</f>
        <v>127</v>
      </c>
      <c r="H512" s="642">
        <f>SUM(CALCULATIONS!J186:J187)</f>
        <v>127</v>
      </c>
      <c r="I512" s="642">
        <f>SUM(CALCULATIONS!K186:K187)</f>
        <v>124</v>
      </c>
      <c r="J512" s="642">
        <f>SUM(CALCULATIONS!L186:L187)</f>
        <v>121</v>
      </c>
      <c r="K512" s="638"/>
      <c r="L512" s="1106"/>
    </row>
    <row r="513" spans="1:14">
      <c r="A513" s="655"/>
      <c r="B513" s="648" t="s">
        <v>1077</v>
      </c>
      <c r="C513" s="656"/>
      <c r="D513" s="650">
        <f>D503*D504+D505*D506+D507*D508+D509*D510+D511*D512</f>
        <v>131310</v>
      </c>
      <c r="E513" s="650">
        <f t="shared" ref="E513:J513" si="318">E503*E504+E505*E506+E507*E508+E509*E510+E511*E512</f>
        <v>121385</v>
      </c>
      <c r="F513" s="650">
        <f t="shared" si="318"/>
        <v>116930</v>
      </c>
      <c r="G513" s="650">
        <f t="shared" si="318"/>
        <v>113540</v>
      </c>
      <c r="H513" s="650">
        <f t="shared" si="318"/>
        <v>110380</v>
      </c>
      <c r="I513" s="650">
        <f t="shared" si="318"/>
        <v>107450</v>
      </c>
      <c r="J513" s="650">
        <f t="shared" si="318"/>
        <v>104860</v>
      </c>
      <c r="K513" s="651">
        <f>SUM(D513:F513)</f>
        <v>369625</v>
      </c>
      <c r="L513" s="1106">
        <f t="shared" si="312"/>
        <v>436230</v>
      </c>
      <c r="N513" s="1492" t="s">
        <v>1934</v>
      </c>
    </row>
    <row r="514" spans="1:14">
      <c r="A514" s="611"/>
      <c r="B514" s="548"/>
      <c r="C514" s="549"/>
      <c r="D514" s="550"/>
      <c r="E514" s="550"/>
      <c r="F514" s="550"/>
      <c r="G514" s="550"/>
      <c r="H514" s="550"/>
      <c r="I514" s="550"/>
      <c r="J514" s="550"/>
      <c r="K514" s="550"/>
      <c r="L514" s="1106"/>
    </row>
    <row r="515" spans="1:14">
      <c r="A515" s="652" t="str">
        <f>'NSP Summary Budget (16-18)'!A74</f>
        <v>2.3.3</v>
      </c>
      <c r="B515" s="661" t="str">
        <f>'NSP Summary Budget (16-18)'!B74</f>
        <v>Training of TB service staff in HIV counseling and testing</v>
      </c>
      <c r="C515" s="633"/>
      <c r="D515" s="634"/>
      <c r="E515" s="634"/>
      <c r="F515" s="634"/>
      <c r="G515" s="969"/>
      <c r="H515" s="969"/>
      <c r="I515" s="969"/>
      <c r="J515" s="969"/>
      <c r="K515" s="635"/>
      <c r="L515" s="1106"/>
    </row>
    <row r="516" spans="1:14">
      <c r="A516" s="653"/>
      <c r="B516" s="640" t="str">
        <f>B12</f>
        <v>Average cost of training, central level</v>
      </c>
      <c r="C516" s="641">
        <f>Training!G187</f>
        <v>3200</v>
      </c>
      <c r="D516" s="642">
        <f t="shared" ref="D516:D517" si="319">C516</f>
        <v>3200</v>
      </c>
      <c r="E516" s="642">
        <f t="shared" ref="E516:E517" si="320">D516</f>
        <v>3200</v>
      </c>
      <c r="F516" s="642">
        <f t="shared" ref="F516:F517" si="321">E516</f>
        <v>3200</v>
      </c>
      <c r="G516" s="642">
        <f t="shared" ref="G516:G517" si="322">F516</f>
        <v>3200</v>
      </c>
      <c r="H516" s="642">
        <f t="shared" ref="H516:H517" si="323">G516</f>
        <v>3200</v>
      </c>
      <c r="I516" s="642">
        <f t="shared" ref="I516:I517" si="324">H516</f>
        <v>3200</v>
      </c>
      <c r="J516" s="642">
        <f t="shared" ref="J516:J517" si="325">I516</f>
        <v>3200</v>
      </c>
      <c r="K516" s="638"/>
      <c r="L516" s="1106"/>
    </row>
    <row r="517" spans="1:14">
      <c r="A517" s="653"/>
      <c r="B517" s="640" t="str">
        <f>B13</f>
        <v>Average cost of training, regional level</v>
      </c>
      <c r="C517" s="641">
        <f>Training!G204</f>
        <v>2000</v>
      </c>
      <c r="D517" s="642">
        <f t="shared" si="319"/>
        <v>2000</v>
      </c>
      <c r="E517" s="642">
        <f t="shared" si="320"/>
        <v>2000</v>
      </c>
      <c r="F517" s="642">
        <f t="shared" si="321"/>
        <v>2000</v>
      </c>
      <c r="G517" s="642">
        <f t="shared" si="322"/>
        <v>2000</v>
      </c>
      <c r="H517" s="642">
        <f t="shared" si="323"/>
        <v>2000</v>
      </c>
      <c r="I517" s="642">
        <f t="shared" si="324"/>
        <v>2000</v>
      </c>
      <c r="J517" s="642">
        <f t="shared" si="325"/>
        <v>2000</v>
      </c>
      <c r="K517" s="638"/>
      <c r="L517" s="1106"/>
    </row>
    <row r="518" spans="1:14">
      <c r="A518" s="653"/>
      <c r="B518" s="654" t="s">
        <v>1080</v>
      </c>
      <c r="C518" s="636"/>
      <c r="D518" s="637">
        <v>1</v>
      </c>
      <c r="E518" s="637">
        <v>2</v>
      </c>
      <c r="F518" s="637">
        <v>1</v>
      </c>
      <c r="G518" s="1209">
        <v>2</v>
      </c>
      <c r="H518" s="1209">
        <v>1</v>
      </c>
      <c r="I518" s="1209">
        <v>2</v>
      </c>
      <c r="J518" s="1209">
        <v>1</v>
      </c>
      <c r="K518" s="638"/>
      <c r="L518" s="1106"/>
    </row>
    <row r="519" spans="1:14">
      <c r="A519" s="653"/>
      <c r="B519" s="654" t="s">
        <v>1081</v>
      </c>
      <c r="C519" s="636"/>
      <c r="D519" s="637">
        <v>2</v>
      </c>
      <c r="E519" s="637">
        <v>4</v>
      </c>
      <c r="F519" s="637">
        <v>2</v>
      </c>
      <c r="G519" s="1209">
        <v>4</v>
      </c>
      <c r="H519" s="1209">
        <v>2</v>
      </c>
      <c r="I519" s="1209">
        <v>4</v>
      </c>
      <c r="J519" s="1209">
        <v>2</v>
      </c>
      <c r="K519" s="638"/>
      <c r="L519" s="1106"/>
    </row>
    <row r="520" spans="1:14">
      <c r="A520" s="655"/>
      <c r="B520" s="648" t="s">
        <v>1077</v>
      </c>
      <c r="C520" s="657"/>
      <c r="D520" s="650">
        <f>D516*D518+D517*D519</f>
        <v>7200</v>
      </c>
      <c r="E520" s="650">
        <f t="shared" ref="E520:J520" si="326">E516*E518+E517*E519</f>
        <v>14400</v>
      </c>
      <c r="F520" s="650">
        <f t="shared" si="326"/>
        <v>7200</v>
      </c>
      <c r="G520" s="650">
        <f t="shared" si="326"/>
        <v>14400</v>
      </c>
      <c r="H520" s="650">
        <f t="shared" si="326"/>
        <v>7200</v>
      </c>
      <c r="I520" s="650">
        <f t="shared" si="326"/>
        <v>14400</v>
      </c>
      <c r="J520" s="650">
        <f t="shared" si="326"/>
        <v>7200</v>
      </c>
      <c r="K520" s="651">
        <f>SUM(D520:F520)</f>
        <v>28800</v>
      </c>
      <c r="L520" s="1106">
        <f t="shared" si="312"/>
        <v>43200</v>
      </c>
      <c r="M520" s="1492" t="s">
        <v>1933</v>
      </c>
    </row>
    <row r="521" spans="1:14">
      <c r="A521" s="611"/>
      <c r="B521" s="548"/>
      <c r="C521" s="546"/>
      <c r="D521" s="550"/>
      <c r="E521" s="550"/>
      <c r="F521" s="550"/>
      <c r="G521" s="550"/>
      <c r="H521" s="550"/>
      <c r="I521" s="550"/>
      <c r="J521" s="550"/>
      <c r="K521" s="550"/>
      <c r="L521" s="1106"/>
    </row>
    <row r="522" spans="1:14">
      <c r="A522" s="652" t="str">
        <f>'NSP Summary Budget (16-18)'!A75</f>
        <v>2.3.4</v>
      </c>
      <c r="B522" s="632" t="str">
        <f>'NSP Summary Budget (16-18)'!B75</f>
        <v>Rapid HIV tests for TB institutions</v>
      </c>
      <c r="C522" s="633"/>
      <c r="D522" s="634"/>
      <c r="E522" s="634"/>
      <c r="F522" s="634"/>
      <c r="G522" s="969"/>
      <c r="H522" s="969"/>
      <c r="I522" s="969"/>
      <c r="J522" s="969"/>
      <c r="K522" s="635"/>
      <c r="L522" s="1106"/>
    </row>
    <row r="523" spans="1:14">
      <c r="A523" s="653"/>
      <c r="B523" s="654" t="s">
        <v>1541</v>
      </c>
      <c r="C523" s="636"/>
      <c r="D523" s="642">
        <f>'TB-HIV'!F20</f>
        <v>2498.9999999999995</v>
      </c>
      <c r="E523" s="642">
        <f>'TB-HIV'!G20</f>
        <v>2439.1999999999998</v>
      </c>
      <c r="F523" s="1207">
        <f>'TB-HIV'!H20</f>
        <v>2465.85</v>
      </c>
      <c r="G523" s="1207">
        <f>'TB-HIV'!I20</f>
        <v>2505.6000000000004</v>
      </c>
      <c r="H523" s="1207">
        <f>'TB-HIV'!J20</f>
        <v>2550.75</v>
      </c>
      <c r="I523" s="1207">
        <f>'TB-HIV'!K20</f>
        <v>2472.85</v>
      </c>
      <c r="J523" s="1207">
        <f>'TB-HIV'!L20</f>
        <v>2409.1999999999998</v>
      </c>
      <c r="K523" s="638"/>
      <c r="L523" s="1106"/>
    </row>
    <row r="524" spans="1:14">
      <c r="A524" s="653"/>
      <c r="B524" s="654" t="s">
        <v>1542</v>
      </c>
      <c r="C524" s="636"/>
      <c r="D524" s="670">
        <v>1.1000000000000001</v>
      </c>
      <c r="E524" s="670">
        <f>D524</f>
        <v>1.1000000000000001</v>
      </c>
      <c r="F524" s="1218">
        <f>E524</f>
        <v>1.1000000000000001</v>
      </c>
      <c r="G524" s="1218">
        <f t="shared" ref="G524:J524" si="327">F524</f>
        <v>1.1000000000000001</v>
      </c>
      <c r="H524" s="1218">
        <f t="shared" si="327"/>
        <v>1.1000000000000001</v>
      </c>
      <c r="I524" s="1218">
        <f t="shared" si="327"/>
        <v>1.1000000000000001</v>
      </c>
      <c r="J524" s="1218">
        <f t="shared" si="327"/>
        <v>1.1000000000000001</v>
      </c>
      <c r="K524" s="638"/>
      <c r="L524" s="1106"/>
    </row>
    <row r="525" spans="1:14">
      <c r="A525" s="653"/>
      <c r="B525" s="654" t="s">
        <v>1543</v>
      </c>
      <c r="C525" s="636"/>
      <c r="D525" s="642">
        <f>D523*D524</f>
        <v>2748.8999999999996</v>
      </c>
      <c r="E525" s="642">
        <f t="shared" ref="E525:J525" si="328">E523*E524</f>
        <v>2683.12</v>
      </c>
      <c r="F525" s="1207">
        <f t="shared" si="328"/>
        <v>2712.4349999999999</v>
      </c>
      <c r="G525" s="1207">
        <f t="shared" si="328"/>
        <v>2756.1600000000008</v>
      </c>
      <c r="H525" s="1207">
        <f t="shared" si="328"/>
        <v>2805.8250000000003</v>
      </c>
      <c r="I525" s="1207">
        <f t="shared" si="328"/>
        <v>2720.1350000000002</v>
      </c>
      <c r="J525" s="1207">
        <f t="shared" si="328"/>
        <v>2650.12</v>
      </c>
      <c r="K525" s="638"/>
      <c r="L525" s="1106"/>
    </row>
    <row r="526" spans="1:14">
      <c r="A526" s="653"/>
      <c r="B526" s="640" t="str">
        <f>B75</f>
        <v>Cost of rapid HIV test</v>
      </c>
      <c r="C526" s="669">
        <f>C75</f>
        <v>1.8</v>
      </c>
      <c r="D526" s="670">
        <f>C526</f>
        <v>1.8</v>
      </c>
      <c r="E526" s="670">
        <f>D526</f>
        <v>1.8</v>
      </c>
      <c r="F526" s="1218">
        <f>E526</f>
        <v>1.8</v>
      </c>
      <c r="G526" s="1218">
        <f t="shared" ref="G526:J526" si="329">F526</f>
        <v>1.8</v>
      </c>
      <c r="H526" s="1218">
        <f t="shared" si="329"/>
        <v>1.8</v>
      </c>
      <c r="I526" s="1218">
        <f t="shared" si="329"/>
        <v>1.8</v>
      </c>
      <c r="J526" s="1218">
        <f t="shared" si="329"/>
        <v>1.8</v>
      </c>
      <c r="K526" s="638"/>
      <c r="L526" s="1106"/>
    </row>
    <row r="527" spans="1:14">
      <c r="A527" s="655"/>
      <c r="B527" s="648" t="s">
        <v>1077</v>
      </c>
      <c r="C527" s="657"/>
      <c r="D527" s="650">
        <f>D525*D526</f>
        <v>4948.0199999999995</v>
      </c>
      <c r="E527" s="650">
        <f t="shared" ref="E527:J527" si="330">E525*E526</f>
        <v>4829.616</v>
      </c>
      <c r="F527" s="650">
        <f t="shared" si="330"/>
        <v>4882.3829999999998</v>
      </c>
      <c r="G527" s="650">
        <f t="shared" si="330"/>
        <v>4961.0880000000016</v>
      </c>
      <c r="H527" s="650">
        <f t="shared" si="330"/>
        <v>5050.4850000000006</v>
      </c>
      <c r="I527" s="650">
        <f t="shared" si="330"/>
        <v>4896.2430000000004</v>
      </c>
      <c r="J527" s="650">
        <f t="shared" si="330"/>
        <v>4770.2160000000003</v>
      </c>
      <c r="K527" s="651">
        <f>SUM(D527:F527)</f>
        <v>14660.018999999998</v>
      </c>
      <c r="L527" s="1106">
        <f t="shared" si="312"/>
        <v>19678.032000000003</v>
      </c>
      <c r="N527" s="1492" t="s">
        <v>1934</v>
      </c>
    </row>
    <row r="528" spans="1:14">
      <c r="A528" s="611"/>
      <c r="B528" s="548"/>
      <c r="C528" s="546"/>
      <c r="D528" s="550"/>
      <c r="E528" s="550"/>
      <c r="F528" s="550"/>
      <c r="G528" s="550"/>
      <c r="H528" s="550"/>
      <c r="I528" s="550"/>
      <c r="J528" s="550"/>
      <c r="K528" s="550"/>
      <c r="L528" s="1106"/>
    </row>
    <row r="529" spans="1:13">
      <c r="A529" s="652" t="str">
        <f>'NSP Summary Budget (16-18)'!A78</f>
        <v>2.3.7</v>
      </c>
      <c r="B529" s="661" t="str">
        <f>'NSP Summary Budget (16-18)'!B78</f>
        <v>Training of health care staff in management of TB and diabetes</v>
      </c>
      <c r="C529" s="633"/>
      <c r="D529" s="634"/>
      <c r="E529" s="634"/>
      <c r="F529" s="634"/>
      <c r="G529" s="969"/>
      <c r="H529" s="969"/>
      <c r="I529" s="969"/>
      <c r="J529" s="969"/>
      <c r="K529" s="635"/>
      <c r="L529" s="1106"/>
    </row>
    <row r="530" spans="1:13">
      <c r="A530" s="639"/>
      <c r="B530" s="640" t="str">
        <f>B12</f>
        <v>Average cost of training, central level</v>
      </c>
      <c r="C530" s="641"/>
      <c r="D530" s="642"/>
      <c r="E530" s="642"/>
      <c r="F530" s="642"/>
      <c r="G530" s="642"/>
      <c r="H530" s="642"/>
      <c r="I530" s="642"/>
      <c r="J530" s="642"/>
      <c r="K530" s="638"/>
      <c r="L530" s="1106"/>
    </row>
    <row r="531" spans="1:13">
      <c r="A531" s="639"/>
      <c r="B531" s="640" t="str">
        <f>B13</f>
        <v>Average cost of training, regional level</v>
      </c>
      <c r="C531" s="641">
        <f>Training!G223</f>
        <v>1600</v>
      </c>
      <c r="D531" s="642">
        <f t="shared" ref="D531" si="331">C531</f>
        <v>1600</v>
      </c>
      <c r="E531" s="642">
        <f t="shared" ref="E531" si="332">D531</f>
        <v>1600</v>
      </c>
      <c r="F531" s="642">
        <f t="shared" ref="F531" si="333">E531</f>
        <v>1600</v>
      </c>
      <c r="G531" s="642">
        <f t="shared" ref="G531" si="334">F531</f>
        <v>1600</v>
      </c>
      <c r="H531" s="642">
        <f t="shared" ref="H531" si="335">G531</f>
        <v>1600</v>
      </c>
      <c r="I531" s="642">
        <f t="shared" ref="I531" si="336">H531</f>
        <v>1600</v>
      </c>
      <c r="J531" s="642">
        <f t="shared" ref="J531" si="337">I531</f>
        <v>1600</v>
      </c>
      <c r="K531" s="638"/>
      <c r="L531" s="1106"/>
    </row>
    <row r="532" spans="1:13">
      <c r="A532" s="639"/>
      <c r="B532" s="654" t="s">
        <v>1080</v>
      </c>
      <c r="C532" s="636"/>
      <c r="D532" s="637"/>
      <c r="E532" s="637"/>
      <c r="F532" s="637"/>
      <c r="G532" s="637"/>
      <c r="H532" s="637"/>
      <c r="I532" s="637"/>
      <c r="J532" s="637"/>
      <c r="K532" s="638"/>
      <c r="L532" s="1106"/>
    </row>
    <row r="533" spans="1:13">
      <c r="A533" s="639"/>
      <c r="B533" s="654" t="s">
        <v>1081</v>
      </c>
      <c r="C533" s="636"/>
      <c r="D533" s="637">
        <v>0</v>
      </c>
      <c r="E533" s="637">
        <v>0</v>
      </c>
      <c r="F533" s="637">
        <v>5</v>
      </c>
      <c r="G533" s="637">
        <v>2</v>
      </c>
      <c r="H533" s="637">
        <v>4</v>
      </c>
      <c r="I533" s="637">
        <v>2</v>
      </c>
      <c r="J533" s="637">
        <v>4</v>
      </c>
      <c r="K533" s="638"/>
      <c r="L533" s="1106"/>
    </row>
    <row r="534" spans="1:13">
      <c r="A534" s="647"/>
      <c r="B534" s="648" t="s">
        <v>1077</v>
      </c>
      <c r="C534" s="657"/>
      <c r="D534" s="650">
        <f>D530*D532+D531*D533</f>
        <v>0</v>
      </c>
      <c r="E534" s="650">
        <f t="shared" ref="E534:J534" si="338">E530*E532+E531*E533</f>
        <v>0</v>
      </c>
      <c r="F534" s="650">
        <f t="shared" si="338"/>
        <v>8000</v>
      </c>
      <c r="G534" s="650">
        <f t="shared" si="338"/>
        <v>3200</v>
      </c>
      <c r="H534" s="650">
        <f t="shared" si="338"/>
        <v>6400</v>
      </c>
      <c r="I534" s="650">
        <f t="shared" si="338"/>
        <v>3200</v>
      </c>
      <c r="J534" s="650">
        <f t="shared" si="338"/>
        <v>6400</v>
      </c>
      <c r="K534" s="651">
        <f>SUM(D534:F534)</f>
        <v>8000</v>
      </c>
      <c r="L534" s="1106">
        <f t="shared" si="312"/>
        <v>19200</v>
      </c>
      <c r="M534" s="1492" t="s">
        <v>1933</v>
      </c>
    </row>
    <row r="535" spans="1:13">
      <c r="A535" s="614"/>
      <c r="B535" s="548"/>
      <c r="C535" s="546"/>
      <c r="D535" s="550"/>
      <c r="E535" s="550"/>
      <c r="F535" s="550"/>
      <c r="G535" s="550"/>
      <c r="H535" s="550"/>
      <c r="I535" s="550"/>
      <c r="J535" s="550"/>
      <c r="K535" s="550"/>
      <c r="L535" s="1106"/>
    </row>
    <row r="536" spans="1:13">
      <c r="A536" s="652" t="str">
        <f>'NSP Summary Budget (16-18)'!A79</f>
        <v>2.3.8</v>
      </c>
      <c r="B536" s="661" t="str">
        <f>'NSP Summary Budget (16-18)'!B79</f>
        <v>Pharmaceuticals for management of ADRs during TB treatment</v>
      </c>
      <c r="C536" s="633"/>
      <c r="D536" s="634"/>
      <c r="E536" s="634"/>
      <c r="F536" s="634"/>
      <c r="G536" s="969"/>
      <c r="H536" s="969"/>
      <c r="I536" s="969"/>
      <c r="J536" s="969"/>
      <c r="K536" s="635"/>
      <c r="L536" s="1106"/>
    </row>
    <row r="537" spans="1:13" ht="30">
      <c r="A537" s="653"/>
      <c r="B537" s="654" t="str">
        <f>B76</f>
        <v>Average cost of drugs for management of ADRs and comorbidities (all TB cases)</v>
      </c>
      <c r="C537" s="641">
        <f>C76</f>
        <v>30</v>
      </c>
      <c r="D537" s="642">
        <f>C537</f>
        <v>30</v>
      </c>
      <c r="E537" s="642">
        <f>D537</f>
        <v>30</v>
      </c>
      <c r="F537" s="642">
        <f>E537</f>
        <v>30</v>
      </c>
      <c r="G537" s="642">
        <f t="shared" ref="G537:J537" si="339">F537</f>
        <v>30</v>
      </c>
      <c r="H537" s="642">
        <f t="shared" si="339"/>
        <v>30</v>
      </c>
      <c r="I537" s="642">
        <f t="shared" si="339"/>
        <v>30</v>
      </c>
      <c r="J537" s="642">
        <f t="shared" si="339"/>
        <v>30</v>
      </c>
      <c r="K537" s="638"/>
      <c r="L537" s="1106"/>
    </row>
    <row r="538" spans="1:13">
      <c r="A538" s="653"/>
      <c r="B538" s="654" t="s">
        <v>1099</v>
      </c>
      <c r="C538" s="641"/>
      <c r="D538" s="642">
        <f>CALCULATIONS!F189</f>
        <v>3331.9999999999995</v>
      </c>
      <c r="E538" s="642">
        <f>CALCULATIONS!G189</f>
        <v>3048.9999999999995</v>
      </c>
      <c r="F538" s="642">
        <f>CALCULATIONS!H189</f>
        <v>2901</v>
      </c>
      <c r="G538" s="642">
        <f>CALCULATIONS!I189</f>
        <v>2784.0000000000005</v>
      </c>
      <c r="H538" s="642">
        <f>CALCULATIONS!J189</f>
        <v>2685</v>
      </c>
      <c r="I538" s="642">
        <f>CALCULATIONS!K189</f>
        <v>2603</v>
      </c>
      <c r="J538" s="642">
        <f>CALCULATIONS!L189</f>
        <v>2536</v>
      </c>
      <c r="K538" s="638"/>
      <c r="L538" s="1106"/>
    </row>
    <row r="539" spans="1:13">
      <c r="A539" s="655"/>
      <c r="B539" s="648" t="s">
        <v>1077</v>
      </c>
      <c r="C539" s="656"/>
      <c r="D539" s="650">
        <f>D537*D538</f>
        <v>99959.999999999985</v>
      </c>
      <c r="E539" s="650">
        <f t="shared" ref="E539:J539" si="340">E537*E538</f>
        <v>91469.999999999985</v>
      </c>
      <c r="F539" s="650">
        <f t="shared" si="340"/>
        <v>87030</v>
      </c>
      <c r="G539" s="650">
        <f t="shared" si="340"/>
        <v>83520.000000000015</v>
      </c>
      <c r="H539" s="650">
        <f t="shared" si="340"/>
        <v>80550</v>
      </c>
      <c r="I539" s="650">
        <f t="shared" si="340"/>
        <v>78090</v>
      </c>
      <c r="J539" s="650">
        <f t="shared" si="340"/>
        <v>76080</v>
      </c>
      <c r="K539" s="651">
        <f>SUM(D539:F539)</f>
        <v>278460</v>
      </c>
      <c r="L539" s="1106">
        <f t="shared" si="312"/>
        <v>318240</v>
      </c>
      <c r="M539" s="1492" t="s">
        <v>1933</v>
      </c>
    </row>
    <row r="540" spans="1:13">
      <c r="A540" s="611"/>
      <c r="B540" s="548"/>
      <c r="C540" s="549"/>
      <c r="D540" s="550"/>
      <c r="E540" s="550"/>
      <c r="F540" s="550"/>
      <c r="G540" s="550"/>
      <c r="H540" s="550"/>
      <c r="I540" s="550"/>
      <c r="J540" s="550"/>
      <c r="K540" s="550"/>
      <c r="L540" s="1106"/>
    </row>
    <row r="541" spans="1:13" ht="18.95" customHeight="1">
      <c r="A541" s="589">
        <f>'NSP Summary Budget (16-18)'!A80</f>
        <v>2.4</v>
      </c>
      <c r="B541" s="1783" t="str">
        <f>'NSP Summary Budget (16-18)'!B80</f>
        <v>TB infection control in health care facilities</v>
      </c>
      <c r="C541" s="1783"/>
      <c r="D541" s="590"/>
      <c r="E541" s="590"/>
      <c r="F541" s="590"/>
      <c r="G541" s="590"/>
      <c r="H541" s="590"/>
      <c r="I541" s="590"/>
      <c r="J541" s="590"/>
      <c r="K541" s="590"/>
      <c r="L541" s="1487">
        <f>SUM(L543:L556)</f>
        <v>98688</v>
      </c>
    </row>
    <row r="542" spans="1:13">
      <c r="A542" s="611"/>
      <c r="B542" s="602"/>
      <c r="C542" s="546"/>
      <c r="D542" s="605"/>
      <c r="E542" s="605"/>
      <c r="F542" s="605"/>
      <c r="G542" s="605"/>
      <c r="H542" s="605"/>
      <c r="I542" s="605"/>
      <c r="J542" s="605"/>
      <c r="K542" s="605"/>
      <c r="L542" s="1106"/>
    </row>
    <row r="543" spans="1:13">
      <c r="A543" s="652" t="str">
        <f>'NSP Summary Budget (16-18)'!A81</f>
        <v>2.4.1</v>
      </c>
      <c r="B543" s="632" t="str">
        <f>'NSP Summary Budget (16-18)'!B81</f>
        <v>National consultants, TB infection control</v>
      </c>
      <c r="C543" s="633"/>
      <c r="D543" s="634"/>
      <c r="E543" s="634"/>
      <c r="F543" s="634"/>
      <c r="G543" s="969"/>
      <c r="H543" s="969"/>
      <c r="I543" s="969"/>
      <c r="J543" s="969"/>
      <c r="K543" s="635"/>
      <c r="L543" s="1106"/>
    </row>
    <row r="544" spans="1:13">
      <c r="A544" s="653"/>
      <c r="B544" s="654" t="s">
        <v>1079</v>
      </c>
      <c r="C544" s="636"/>
      <c r="D544" s="637">
        <f>1*0+1*0</f>
        <v>0</v>
      </c>
      <c r="E544" s="637">
        <f>1*6+1*6</f>
        <v>12</v>
      </c>
      <c r="F544" s="637">
        <f>1*12+1*6</f>
        <v>18</v>
      </c>
      <c r="G544" s="637">
        <v>12</v>
      </c>
      <c r="H544" s="637">
        <v>12</v>
      </c>
      <c r="I544" s="637">
        <v>12</v>
      </c>
      <c r="J544" s="637">
        <v>12</v>
      </c>
      <c r="K544" s="638"/>
      <c r="L544" s="1106"/>
    </row>
    <row r="545" spans="1:15">
      <c r="A545" s="653"/>
      <c r="B545" s="654" t="str">
        <f>B10</f>
        <v>Average cost of national consultant per month (gross)</v>
      </c>
      <c r="C545" s="641">
        <f>C10</f>
        <v>600</v>
      </c>
      <c r="D545" s="642">
        <f>C545</f>
        <v>600</v>
      </c>
      <c r="E545" s="642">
        <f>D545</f>
        <v>600</v>
      </c>
      <c r="F545" s="642">
        <f>E545</f>
        <v>600</v>
      </c>
      <c r="G545" s="642">
        <f t="shared" ref="G545:J545" si="341">F545</f>
        <v>600</v>
      </c>
      <c r="H545" s="642">
        <f t="shared" si="341"/>
        <v>600</v>
      </c>
      <c r="I545" s="642">
        <f t="shared" si="341"/>
        <v>600</v>
      </c>
      <c r="J545" s="642">
        <f t="shared" si="341"/>
        <v>600</v>
      </c>
      <c r="K545" s="638"/>
      <c r="L545" s="1106"/>
    </row>
    <row r="546" spans="1:15">
      <c r="A546" s="655"/>
      <c r="B546" s="648" t="s">
        <v>1077</v>
      </c>
      <c r="C546" s="657"/>
      <c r="D546" s="650">
        <f>D544*D545</f>
        <v>0</v>
      </c>
      <c r="E546" s="650">
        <f t="shared" ref="E546:J546" si="342">E544*E545</f>
        <v>7200</v>
      </c>
      <c r="F546" s="650">
        <f t="shared" si="342"/>
        <v>10800</v>
      </c>
      <c r="G546" s="650">
        <f t="shared" si="342"/>
        <v>7200</v>
      </c>
      <c r="H546" s="650">
        <f t="shared" si="342"/>
        <v>7200</v>
      </c>
      <c r="I546" s="650">
        <f t="shared" si="342"/>
        <v>7200</v>
      </c>
      <c r="J546" s="650">
        <f t="shared" si="342"/>
        <v>7200</v>
      </c>
      <c r="K546" s="651">
        <f>SUM(D546:F546)</f>
        <v>18000</v>
      </c>
      <c r="L546" s="1106">
        <f t="shared" si="312"/>
        <v>28800</v>
      </c>
      <c r="M546" s="1492" t="s">
        <v>1933</v>
      </c>
    </row>
    <row r="547" spans="1:15">
      <c r="A547" s="611"/>
      <c r="B547" s="602"/>
      <c r="C547" s="546"/>
      <c r="D547" s="605"/>
      <c r="E547" s="605"/>
      <c r="F547" s="605"/>
      <c r="G547" s="605"/>
      <c r="H547" s="605"/>
      <c r="I547" s="605"/>
      <c r="J547" s="605"/>
      <c r="K547" s="605"/>
      <c r="L547" s="1106"/>
    </row>
    <row r="548" spans="1:15">
      <c r="A548" s="631" t="str">
        <f>'NSP Summary Budget (16-18)'!A82</f>
        <v>2.4.2</v>
      </c>
      <c r="B548" s="661" t="str">
        <f>'NSP Summary Budget (16-18)'!B82</f>
        <v>Environmental infection control measures (UVGI devices) for TB treatment institutions</v>
      </c>
      <c r="C548" s="633"/>
      <c r="D548" s="634"/>
      <c r="E548" s="634"/>
      <c r="F548" s="634"/>
      <c r="G548" s="969"/>
      <c r="H548" s="969"/>
      <c r="I548" s="969"/>
      <c r="J548" s="969"/>
      <c r="K548" s="635"/>
      <c r="L548" s="1106"/>
    </row>
    <row r="549" spans="1:15">
      <c r="A549" s="639"/>
      <c r="B549" s="640" t="str">
        <f>B77</f>
        <v>Cost of upper-level UVGI lamp</v>
      </c>
      <c r="C549" s="641">
        <f>C77</f>
        <v>250</v>
      </c>
      <c r="D549" s="642">
        <f>C549</f>
        <v>250</v>
      </c>
      <c r="E549" s="642">
        <f>D549</f>
        <v>250</v>
      </c>
      <c r="F549" s="642">
        <f>E549</f>
        <v>250</v>
      </c>
      <c r="G549" s="642"/>
      <c r="H549" s="642"/>
      <c r="I549" s="642"/>
      <c r="J549" s="642"/>
      <c r="K549" s="638"/>
      <c r="L549" s="1106"/>
    </row>
    <row r="550" spans="1:15">
      <c r="A550" s="639"/>
      <c r="B550" s="654" t="s">
        <v>1096</v>
      </c>
      <c r="C550" s="636"/>
      <c r="D550" s="637">
        <f>(1*0+5*0+2*0)+64*0</f>
        <v>0</v>
      </c>
      <c r="E550" s="637">
        <f>(1*30+5*15+2*10)+64*2</f>
        <v>253</v>
      </c>
      <c r="F550" s="637">
        <f>(1*0+5*0+2*0)+64*1</f>
        <v>64</v>
      </c>
      <c r="G550" s="637"/>
      <c r="H550" s="637"/>
      <c r="I550" s="637"/>
      <c r="J550" s="637"/>
      <c r="K550" s="638"/>
      <c r="L550" s="1106"/>
      <c r="O550" s="1216"/>
    </row>
    <row r="551" spans="1:15">
      <c r="A551" s="647"/>
      <c r="B551" s="648" t="s">
        <v>1077</v>
      </c>
      <c r="C551" s="657"/>
      <c r="D551" s="650">
        <f>D549*D550</f>
        <v>0</v>
      </c>
      <c r="E551" s="650">
        <f t="shared" ref="E551:F551" si="343">E549*E550</f>
        <v>63250</v>
      </c>
      <c r="F551" s="650">
        <f t="shared" si="343"/>
        <v>16000</v>
      </c>
      <c r="G551" s="650"/>
      <c r="H551" s="650"/>
      <c r="I551" s="650"/>
      <c r="J551" s="650"/>
      <c r="K551" s="651">
        <f>SUM(D551:F551)</f>
        <v>79250</v>
      </c>
      <c r="L551" s="1106">
        <f t="shared" si="312"/>
        <v>0</v>
      </c>
    </row>
    <row r="552" spans="1:15">
      <c r="A552" s="614"/>
      <c r="B552" s="548"/>
      <c r="C552" s="546"/>
      <c r="D552" s="550"/>
      <c r="E552" s="550"/>
      <c r="F552" s="550"/>
      <c r="G552" s="550"/>
      <c r="H552" s="550"/>
      <c r="I552" s="550"/>
      <c r="J552" s="550"/>
      <c r="K552" s="550"/>
      <c r="L552" s="1106"/>
    </row>
    <row r="553" spans="1:15">
      <c r="A553" s="631" t="str">
        <f>'NSP Summary Budget (16-18)'!A83</f>
        <v>2.4.3</v>
      </c>
      <c r="B553" s="661" t="str">
        <f>'NSP Summary Budget (16-18)'!B83</f>
        <v>Individual infection control measures (respirators) for TB treatment institutions</v>
      </c>
      <c r="C553" s="633"/>
      <c r="D553" s="634"/>
      <c r="E553" s="634"/>
      <c r="F553" s="634"/>
      <c r="G553" s="969"/>
      <c r="H553" s="969"/>
      <c r="I553" s="969"/>
      <c r="J553" s="969"/>
      <c r="K553" s="635"/>
      <c r="L553" s="1106"/>
    </row>
    <row r="554" spans="1:15">
      <c r="A554" s="639"/>
      <c r="B554" s="640" t="str">
        <f>B78</f>
        <v>Cost of N95/FFP-2 respirator</v>
      </c>
      <c r="C554" s="669">
        <f>C78</f>
        <v>2</v>
      </c>
      <c r="D554" s="670">
        <f>C554</f>
        <v>2</v>
      </c>
      <c r="E554" s="670">
        <f>D554</f>
        <v>2</v>
      </c>
      <c r="F554" s="670">
        <f>E554</f>
        <v>2</v>
      </c>
      <c r="G554" s="670">
        <v>2</v>
      </c>
      <c r="H554" s="670">
        <v>2</v>
      </c>
      <c r="I554" s="670">
        <v>2</v>
      </c>
      <c r="J554" s="670">
        <v>2</v>
      </c>
      <c r="K554" s="638"/>
      <c r="L554" s="1106"/>
    </row>
    <row r="555" spans="1:15">
      <c r="A555" s="639"/>
      <c r="B555" s="654" t="s">
        <v>1097</v>
      </c>
      <c r="C555" s="641"/>
      <c r="D555" s="642">
        <f>(1*60+5*12+2*15)*48*1+64*24</f>
        <v>8736</v>
      </c>
      <c r="E555" s="642">
        <f>D555</f>
        <v>8736</v>
      </c>
      <c r="F555" s="642">
        <f>E555</f>
        <v>8736</v>
      </c>
      <c r="G555" s="642">
        <f t="shared" ref="G555:J555" si="344">F555</f>
        <v>8736</v>
      </c>
      <c r="H555" s="642">
        <f t="shared" si="344"/>
        <v>8736</v>
      </c>
      <c r="I555" s="642">
        <f t="shared" si="344"/>
        <v>8736</v>
      </c>
      <c r="J555" s="642">
        <f t="shared" si="344"/>
        <v>8736</v>
      </c>
      <c r="K555" s="638"/>
      <c r="L555" s="1106"/>
    </row>
    <row r="556" spans="1:15">
      <c r="A556" s="647"/>
      <c r="B556" s="648" t="s">
        <v>1077</v>
      </c>
      <c r="C556" s="657"/>
      <c r="D556" s="650">
        <f>D554*D555</f>
        <v>17472</v>
      </c>
      <c r="E556" s="650">
        <f t="shared" ref="E556:J556" si="345">E554*E555</f>
        <v>17472</v>
      </c>
      <c r="F556" s="650">
        <f t="shared" si="345"/>
        <v>17472</v>
      </c>
      <c r="G556" s="650">
        <f t="shared" si="345"/>
        <v>17472</v>
      </c>
      <c r="H556" s="650">
        <f t="shared" si="345"/>
        <v>17472</v>
      </c>
      <c r="I556" s="650">
        <f t="shared" si="345"/>
        <v>17472</v>
      </c>
      <c r="J556" s="650">
        <f t="shared" si="345"/>
        <v>17472</v>
      </c>
      <c r="K556" s="651">
        <f>SUM(D556:F556)</f>
        <v>52416</v>
      </c>
      <c r="L556" s="1106">
        <f t="shared" si="312"/>
        <v>69888</v>
      </c>
      <c r="N556" s="1492" t="s">
        <v>1934</v>
      </c>
    </row>
    <row r="557" spans="1:15">
      <c r="A557" s="614"/>
      <c r="B557" s="548"/>
      <c r="C557" s="546"/>
      <c r="D557" s="550"/>
      <c r="E557" s="550"/>
      <c r="F557" s="550"/>
      <c r="G557" s="550"/>
      <c r="H557" s="550"/>
      <c r="I557" s="550"/>
      <c r="J557" s="550"/>
      <c r="K557" s="550"/>
      <c r="L557" s="1106"/>
    </row>
    <row r="558" spans="1:15" ht="18.95" customHeight="1">
      <c r="A558" s="589">
        <f>'NSP Summary Budget (16-18)'!A84</f>
        <v>2.5</v>
      </c>
      <c r="B558" s="1783" t="str">
        <f>'NSP Summary Budget (16-18)'!B84</f>
        <v>Preventive treatment and vaccination against TB</v>
      </c>
      <c r="C558" s="1783"/>
      <c r="D558" s="590"/>
      <c r="E558" s="590"/>
      <c r="F558" s="590"/>
      <c r="G558" s="590"/>
      <c r="H558" s="590"/>
      <c r="I558" s="590"/>
      <c r="J558" s="590"/>
      <c r="K558" s="590"/>
      <c r="L558" s="1106">
        <f>SUM(L560:L601)</f>
        <v>549371.30000000005</v>
      </c>
    </row>
    <row r="559" spans="1:15">
      <c r="A559" s="611"/>
      <c r="B559" s="602"/>
      <c r="C559" s="546"/>
      <c r="D559" s="605"/>
      <c r="E559" s="605"/>
      <c r="F559" s="605"/>
      <c r="G559" s="605"/>
      <c r="H559" s="605"/>
      <c r="I559" s="605"/>
      <c r="J559" s="605"/>
      <c r="K559" s="605"/>
      <c r="L559" s="1106"/>
      <c r="O559" s="1386"/>
    </row>
    <row r="560" spans="1:15">
      <c r="A560" s="652" t="str">
        <f>'NSP Summary Budget (16-18)'!A85</f>
        <v>2.5.1</v>
      </c>
      <c r="B560" s="661" t="str">
        <f>'NSP Summary Budget (16-18)'!B85</f>
        <v>National consultants, development of national LTBI management guidelines and protocol</v>
      </c>
      <c r="C560" s="633"/>
      <c r="D560" s="634"/>
      <c r="E560" s="634"/>
      <c r="F560" s="634"/>
      <c r="G560" s="969"/>
      <c r="H560" s="969"/>
      <c r="I560" s="969"/>
      <c r="J560" s="969"/>
      <c r="K560" s="635"/>
      <c r="L560" s="1106"/>
      <c r="O560" s="1386"/>
    </row>
    <row r="561" spans="1:15">
      <c r="A561" s="653"/>
      <c r="B561" s="654" t="s">
        <v>1079</v>
      </c>
      <c r="C561" s="636"/>
      <c r="D561" s="637">
        <f>1*3</f>
        <v>3</v>
      </c>
      <c r="E561" s="637">
        <f>1*6</f>
        <v>6</v>
      </c>
      <c r="F561" s="637">
        <f>1*0</f>
        <v>0</v>
      </c>
      <c r="G561" s="637"/>
      <c r="H561" s="637"/>
      <c r="I561" s="637">
        <v>12</v>
      </c>
      <c r="J561" s="637"/>
      <c r="K561" s="638"/>
      <c r="L561" s="1106"/>
      <c r="O561" s="1386"/>
    </row>
    <row r="562" spans="1:15">
      <c r="A562" s="653"/>
      <c r="B562" s="654" t="str">
        <f>B10</f>
        <v>Average cost of national consultant per month (gross)</v>
      </c>
      <c r="C562" s="641">
        <f>C10</f>
        <v>600</v>
      </c>
      <c r="D562" s="642">
        <f>C562</f>
        <v>600</v>
      </c>
      <c r="E562" s="642">
        <f>D562</f>
        <v>600</v>
      </c>
      <c r="F562" s="642">
        <f>E562</f>
        <v>600</v>
      </c>
      <c r="G562" s="642"/>
      <c r="H562" s="642"/>
      <c r="I562" s="642">
        <v>600</v>
      </c>
      <c r="J562" s="642"/>
      <c r="K562" s="638"/>
      <c r="L562" s="1106"/>
      <c r="O562" s="654" t="s">
        <v>1919</v>
      </c>
    </row>
    <row r="563" spans="1:15">
      <c r="A563" s="655"/>
      <c r="B563" s="648" t="s">
        <v>1077</v>
      </c>
      <c r="C563" s="657"/>
      <c r="D563" s="650">
        <f>D561*D562</f>
        <v>1800</v>
      </c>
      <c r="E563" s="650">
        <f t="shared" ref="E563:F563" si="346">E561*E562</f>
        <v>3600</v>
      </c>
      <c r="F563" s="650">
        <f t="shared" si="346"/>
        <v>0</v>
      </c>
      <c r="G563" s="650"/>
      <c r="H563" s="650"/>
      <c r="I563" s="650">
        <f>I561*I562</f>
        <v>7200</v>
      </c>
      <c r="J563" s="650"/>
      <c r="K563" s="651">
        <f>SUM(D563:F563)</f>
        <v>5400</v>
      </c>
      <c r="L563" s="1106">
        <f t="shared" ref="L563:L619" si="347">SUM(G563:J563)</f>
        <v>7200</v>
      </c>
      <c r="M563" s="1492" t="s">
        <v>1933</v>
      </c>
      <c r="O563" s="654"/>
    </row>
    <row r="564" spans="1:15">
      <c r="A564" s="611"/>
      <c r="B564" s="602"/>
      <c r="C564" s="546"/>
      <c r="D564" s="605"/>
      <c r="E564" s="605"/>
      <c r="F564" s="605"/>
      <c r="G564" s="605"/>
      <c r="H564" s="605"/>
      <c r="I564" s="605"/>
      <c r="J564" s="605"/>
      <c r="K564" s="605"/>
      <c r="L564" s="1106"/>
      <c r="O564" s="654"/>
    </row>
    <row r="565" spans="1:15">
      <c r="A565" s="652" t="str">
        <f>'NSP Summary Budget (16-18)'!A86</f>
        <v>2.5.2</v>
      </c>
      <c r="B565" s="661" t="str">
        <f>'NSP Summary Budget (16-18)'!B86</f>
        <v>Training on LTBI diagnosis and preventive treatment for general health care providers</v>
      </c>
      <c r="C565" s="633"/>
      <c r="D565" s="634"/>
      <c r="E565" s="634"/>
      <c r="F565" s="634"/>
      <c r="G565" s="969"/>
      <c r="H565" s="969"/>
      <c r="I565" s="969"/>
      <c r="J565" s="969"/>
      <c r="K565" s="635"/>
      <c r="L565" s="1106"/>
      <c r="O565" s="654"/>
    </row>
    <row r="566" spans="1:15">
      <c r="A566" s="653"/>
      <c r="B566" s="640" t="str">
        <f>B12</f>
        <v>Average cost of training, central level</v>
      </c>
      <c r="C566" s="641">
        <f>Training!G242</f>
        <v>3200</v>
      </c>
      <c r="D566" s="642">
        <f t="shared" ref="D566:D567" si="348">C566</f>
        <v>3200</v>
      </c>
      <c r="E566" s="642">
        <f t="shared" ref="E566:E567" si="349">D566</f>
        <v>3200</v>
      </c>
      <c r="F566" s="642">
        <f t="shared" ref="F566:F567" si="350">E566</f>
        <v>3200</v>
      </c>
      <c r="G566" s="642">
        <f t="shared" ref="G566:G567" si="351">F566</f>
        <v>3200</v>
      </c>
      <c r="H566" s="642">
        <f t="shared" ref="H566:H567" si="352">G566</f>
        <v>3200</v>
      </c>
      <c r="I566" s="642">
        <f t="shared" ref="I566:I567" si="353">H566</f>
        <v>3200</v>
      </c>
      <c r="J566" s="642">
        <f t="shared" ref="J566:J567" si="354">I566</f>
        <v>3200</v>
      </c>
      <c r="K566" s="638"/>
      <c r="L566" s="1106"/>
      <c r="O566" s="654" t="s">
        <v>1920</v>
      </c>
    </row>
    <row r="567" spans="1:15">
      <c r="A567" s="653"/>
      <c r="B567" s="640" t="str">
        <f>B13</f>
        <v>Average cost of training, regional level</v>
      </c>
      <c r="C567" s="641">
        <f>Training!G259</f>
        <v>2000</v>
      </c>
      <c r="D567" s="642">
        <f t="shared" si="348"/>
        <v>2000</v>
      </c>
      <c r="E567" s="642">
        <f t="shared" si="349"/>
        <v>2000</v>
      </c>
      <c r="F567" s="642">
        <f t="shared" si="350"/>
        <v>2000</v>
      </c>
      <c r="G567" s="642">
        <f t="shared" si="351"/>
        <v>2000</v>
      </c>
      <c r="H567" s="642">
        <f t="shared" si="352"/>
        <v>2000</v>
      </c>
      <c r="I567" s="642">
        <f t="shared" si="353"/>
        <v>2000</v>
      </c>
      <c r="J567" s="642">
        <f t="shared" si="354"/>
        <v>2000</v>
      </c>
      <c r="K567" s="638"/>
      <c r="L567" s="1106"/>
      <c r="O567" s="654"/>
    </row>
    <row r="568" spans="1:15">
      <c r="A568" s="653"/>
      <c r="B568" s="654" t="s">
        <v>1080</v>
      </c>
      <c r="C568" s="636"/>
      <c r="D568" s="637">
        <v>2</v>
      </c>
      <c r="E568" s="637">
        <v>2</v>
      </c>
      <c r="F568" s="637">
        <v>0</v>
      </c>
      <c r="G568" s="637">
        <v>2</v>
      </c>
      <c r="H568" s="637"/>
      <c r="I568" s="637">
        <v>2</v>
      </c>
      <c r="J568" s="637"/>
      <c r="K568" s="638"/>
      <c r="L568" s="1106"/>
      <c r="O568" s="1386"/>
    </row>
    <row r="569" spans="1:15">
      <c r="A569" s="653"/>
      <c r="B569" s="654" t="s">
        <v>1081</v>
      </c>
      <c r="C569" s="636"/>
      <c r="D569" s="637">
        <v>0</v>
      </c>
      <c r="E569" s="637">
        <v>4</v>
      </c>
      <c r="F569" s="637">
        <v>4</v>
      </c>
      <c r="G569" s="637">
        <v>4</v>
      </c>
      <c r="H569" s="637"/>
      <c r="I569" s="637">
        <v>4</v>
      </c>
      <c r="J569" s="637"/>
      <c r="K569" s="638"/>
      <c r="L569" s="1106"/>
      <c r="O569" s="1386"/>
    </row>
    <row r="570" spans="1:15">
      <c r="A570" s="655"/>
      <c r="B570" s="648" t="s">
        <v>1077</v>
      </c>
      <c r="C570" s="657"/>
      <c r="D570" s="650">
        <f>D566*D568+D567*D569</f>
        <v>6400</v>
      </c>
      <c r="E570" s="650">
        <f t="shared" ref="E570:J570" si="355">E566*E568+E567*E569</f>
        <v>14400</v>
      </c>
      <c r="F570" s="650">
        <f t="shared" si="355"/>
        <v>8000</v>
      </c>
      <c r="G570" s="650">
        <f t="shared" si="355"/>
        <v>14400</v>
      </c>
      <c r="H570" s="650">
        <f t="shared" si="355"/>
        <v>0</v>
      </c>
      <c r="I570" s="650">
        <f t="shared" si="355"/>
        <v>14400</v>
      </c>
      <c r="J570" s="650">
        <f t="shared" si="355"/>
        <v>0</v>
      </c>
      <c r="K570" s="651">
        <f>SUM(D570:F570)</f>
        <v>28800</v>
      </c>
      <c r="L570" s="1106">
        <f t="shared" si="347"/>
        <v>28800</v>
      </c>
      <c r="M570" s="1492" t="s">
        <v>1933</v>
      </c>
      <c r="O570" s="1386"/>
    </row>
    <row r="571" spans="1:15">
      <c r="A571" s="611"/>
      <c r="B571" s="548"/>
      <c r="C571" s="546"/>
      <c r="D571" s="550"/>
      <c r="E571" s="550"/>
      <c r="F571" s="550"/>
      <c r="G571" s="550"/>
      <c r="H571" s="550"/>
      <c r="I571" s="550"/>
      <c r="J571" s="550"/>
      <c r="K571" s="550"/>
      <c r="L571" s="1106"/>
      <c r="O571" s="1386"/>
    </row>
    <row r="572" spans="1:15">
      <c r="A572" s="631" t="str">
        <f>'NSP Summary Budget (16-18)'!A87</f>
        <v>2.5.3</v>
      </c>
      <c r="B572" s="661" t="str">
        <f>'NSP Summary Budget (16-18)'!B87</f>
        <v>Diagnostic tests for LTBI</v>
      </c>
      <c r="C572" s="633"/>
      <c r="D572" s="634"/>
      <c r="E572" s="634"/>
      <c r="F572" s="634"/>
      <c r="G572" s="969"/>
      <c r="H572" s="969"/>
      <c r="I572" s="969"/>
      <c r="J572" s="969"/>
      <c r="K572" s="635"/>
      <c r="L572" s="1106"/>
      <c r="O572" s="1386"/>
    </row>
    <row r="573" spans="1:15">
      <c r="A573" s="639"/>
      <c r="B573" s="654" t="s">
        <v>1559</v>
      </c>
      <c r="C573" s="641"/>
      <c r="D573" s="642">
        <v>10000</v>
      </c>
      <c r="E573" s="642">
        <v>12000</v>
      </c>
      <c r="F573" s="642">
        <v>18000</v>
      </c>
      <c r="G573" s="642">
        <v>18000</v>
      </c>
      <c r="H573" s="642">
        <v>18000</v>
      </c>
      <c r="I573" s="642">
        <v>18000</v>
      </c>
      <c r="J573" s="642">
        <v>18000</v>
      </c>
      <c r="K573" s="638"/>
      <c r="L573" s="1106"/>
    </row>
    <row r="574" spans="1:15">
      <c r="A574" s="639"/>
      <c r="B574" s="654" t="s">
        <v>1560</v>
      </c>
      <c r="C574" s="641"/>
      <c r="D574" s="667">
        <v>1</v>
      </c>
      <c r="E574" s="667">
        <v>0.95</v>
      </c>
      <c r="F574" s="667">
        <v>0.9</v>
      </c>
      <c r="G574" s="667">
        <v>0.9</v>
      </c>
      <c r="H574" s="667">
        <v>0.9</v>
      </c>
      <c r="I574" s="667">
        <v>0.9</v>
      </c>
      <c r="J574" s="667">
        <v>0.9</v>
      </c>
      <c r="K574" s="638"/>
      <c r="L574" s="1106"/>
    </row>
    <row r="575" spans="1:15">
      <c r="A575" s="639"/>
      <c r="B575" s="654" t="s">
        <v>1561</v>
      </c>
      <c r="C575" s="641"/>
      <c r="D575" s="667">
        <f>1-D574</f>
        <v>0</v>
      </c>
      <c r="E575" s="667">
        <f t="shared" ref="E575:J575" si="356">1-E574</f>
        <v>5.0000000000000044E-2</v>
      </c>
      <c r="F575" s="667">
        <f t="shared" si="356"/>
        <v>9.9999999999999978E-2</v>
      </c>
      <c r="G575" s="667">
        <f t="shared" si="356"/>
        <v>9.9999999999999978E-2</v>
      </c>
      <c r="H575" s="667">
        <f t="shared" si="356"/>
        <v>9.9999999999999978E-2</v>
      </c>
      <c r="I575" s="667">
        <f t="shared" si="356"/>
        <v>9.9999999999999978E-2</v>
      </c>
      <c r="J575" s="667">
        <f t="shared" si="356"/>
        <v>9.9999999999999978E-2</v>
      </c>
      <c r="K575" s="638"/>
      <c r="L575" s="1106"/>
    </row>
    <row r="576" spans="1:15">
      <c r="A576" s="639"/>
      <c r="B576" s="654" t="s">
        <v>1557</v>
      </c>
      <c r="C576" s="641"/>
      <c r="D576" s="642">
        <f>D573*D574</f>
        <v>10000</v>
      </c>
      <c r="E576" s="642">
        <f t="shared" ref="E576:J576" si="357">E573*E574</f>
        <v>11400</v>
      </c>
      <c r="F576" s="642">
        <f t="shared" si="357"/>
        <v>16200</v>
      </c>
      <c r="G576" s="642">
        <f t="shared" si="357"/>
        <v>16200</v>
      </c>
      <c r="H576" s="642">
        <f t="shared" si="357"/>
        <v>16200</v>
      </c>
      <c r="I576" s="642">
        <f t="shared" si="357"/>
        <v>16200</v>
      </c>
      <c r="J576" s="642">
        <f t="shared" si="357"/>
        <v>16200</v>
      </c>
      <c r="K576" s="638"/>
      <c r="L576" s="1106"/>
    </row>
    <row r="577" spans="1:13">
      <c r="A577" s="639"/>
      <c r="B577" s="654" t="s">
        <v>1558</v>
      </c>
      <c r="C577" s="641"/>
      <c r="D577" s="642">
        <f>D573*D575</f>
        <v>0</v>
      </c>
      <c r="E577" s="642">
        <f t="shared" ref="E577:J577" si="358">E573*E575</f>
        <v>600.00000000000057</v>
      </c>
      <c r="F577" s="642">
        <f t="shared" si="358"/>
        <v>1799.9999999999995</v>
      </c>
      <c r="G577" s="642">
        <f t="shared" si="358"/>
        <v>1799.9999999999995</v>
      </c>
      <c r="H577" s="642">
        <f t="shared" si="358"/>
        <v>1799.9999999999995</v>
      </c>
      <c r="I577" s="642">
        <f t="shared" si="358"/>
        <v>1799.9999999999995</v>
      </c>
      <c r="J577" s="642">
        <f t="shared" si="358"/>
        <v>1799.9999999999995</v>
      </c>
      <c r="K577" s="638"/>
      <c r="L577" s="1106"/>
    </row>
    <row r="578" spans="1:13">
      <c r="A578" s="639"/>
      <c r="B578" s="640" t="str">
        <f>B79</f>
        <v>Cost of 1 TST (Mantoux) test</v>
      </c>
      <c r="C578" s="669">
        <f>C79</f>
        <v>1</v>
      </c>
      <c r="D578" s="670">
        <f t="shared" ref="D578:F579" si="359">C578</f>
        <v>1</v>
      </c>
      <c r="E578" s="670">
        <f t="shared" si="359"/>
        <v>1</v>
      </c>
      <c r="F578" s="670">
        <f t="shared" si="359"/>
        <v>1</v>
      </c>
      <c r="G578" s="670">
        <f t="shared" ref="G578:G579" si="360">F578</f>
        <v>1</v>
      </c>
      <c r="H578" s="670">
        <f t="shared" ref="H578:H579" si="361">G578</f>
        <v>1</v>
      </c>
      <c r="I578" s="670">
        <f t="shared" ref="I578:I579" si="362">H578</f>
        <v>1</v>
      </c>
      <c r="J578" s="670">
        <f t="shared" ref="J578:J579" si="363">I578</f>
        <v>1</v>
      </c>
      <c r="K578" s="638"/>
      <c r="L578" s="1106"/>
    </row>
    <row r="579" spans="1:13">
      <c r="A579" s="639"/>
      <c r="B579" s="640" t="str">
        <f>B80</f>
        <v>Cost of 1 IGRA (GFT-Gold) test</v>
      </c>
      <c r="C579" s="669">
        <f>C80</f>
        <v>10</v>
      </c>
      <c r="D579" s="670">
        <f t="shared" si="359"/>
        <v>10</v>
      </c>
      <c r="E579" s="670">
        <f t="shared" si="359"/>
        <v>10</v>
      </c>
      <c r="F579" s="670">
        <f t="shared" si="359"/>
        <v>10</v>
      </c>
      <c r="G579" s="670">
        <f t="shared" si="360"/>
        <v>10</v>
      </c>
      <c r="H579" s="670">
        <f t="shared" si="361"/>
        <v>10</v>
      </c>
      <c r="I579" s="670">
        <f t="shared" si="362"/>
        <v>10</v>
      </c>
      <c r="J579" s="670">
        <f t="shared" si="363"/>
        <v>10</v>
      </c>
      <c r="K579" s="638"/>
      <c r="L579" s="1106"/>
    </row>
    <row r="580" spans="1:13">
      <c r="A580" s="639"/>
      <c r="B580" s="640" t="s">
        <v>1562</v>
      </c>
      <c r="C580" s="669"/>
      <c r="D580" s="642">
        <f>D576*D578</f>
        <v>10000</v>
      </c>
      <c r="E580" s="642">
        <f t="shared" ref="E580:J581" si="364">E576*E578</f>
        <v>11400</v>
      </c>
      <c r="F580" s="642">
        <f t="shared" si="364"/>
        <v>16200</v>
      </c>
      <c r="G580" s="642">
        <f t="shared" si="364"/>
        <v>16200</v>
      </c>
      <c r="H580" s="642">
        <f t="shared" si="364"/>
        <v>16200</v>
      </c>
      <c r="I580" s="642">
        <f t="shared" si="364"/>
        <v>16200</v>
      </c>
      <c r="J580" s="642">
        <f t="shared" si="364"/>
        <v>16200</v>
      </c>
      <c r="K580" s="638"/>
      <c r="L580" s="1106"/>
    </row>
    <row r="581" spans="1:13">
      <c r="A581" s="639"/>
      <c r="B581" s="640" t="s">
        <v>1563</v>
      </c>
      <c r="C581" s="669"/>
      <c r="D581" s="642">
        <f>D577*D579</f>
        <v>0</v>
      </c>
      <c r="E581" s="642">
        <f t="shared" si="364"/>
        <v>6000.0000000000055</v>
      </c>
      <c r="F581" s="642">
        <f t="shared" si="364"/>
        <v>17999.999999999996</v>
      </c>
      <c r="G581" s="642">
        <f t="shared" si="364"/>
        <v>17999.999999999996</v>
      </c>
      <c r="H581" s="642">
        <f t="shared" si="364"/>
        <v>17999.999999999996</v>
      </c>
      <c r="I581" s="642">
        <f t="shared" si="364"/>
        <v>17999.999999999996</v>
      </c>
      <c r="J581" s="642">
        <f t="shared" si="364"/>
        <v>17999.999999999996</v>
      </c>
      <c r="K581" s="638"/>
      <c r="L581" s="1106"/>
    </row>
    <row r="582" spans="1:13">
      <c r="A582" s="647"/>
      <c r="B582" s="648" t="s">
        <v>1077</v>
      </c>
      <c r="C582" s="657"/>
      <c r="D582" s="650">
        <f>SUM(D580:D581)</f>
        <v>10000</v>
      </c>
      <c r="E582" s="650">
        <f t="shared" ref="E582:J582" si="365">SUM(E580:E581)</f>
        <v>17400.000000000007</v>
      </c>
      <c r="F582" s="650">
        <f t="shared" si="365"/>
        <v>34200</v>
      </c>
      <c r="G582" s="650">
        <f t="shared" si="365"/>
        <v>34200</v>
      </c>
      <c r="H582" s="650">
        <f t="shared" si="365"/>
        <v>34200</v>
      </c>
      <c r="I582" s="650">
        <f t="shared" si="365"/>
        <v>34200</v>
      </c>
      <c r="J582" s="650">
        <f t="shared" si="365"/>
        <v>34200</v>
      </c>
      <c r="K582" s="651">
        <f>SUM(D582:F582)</f>
        <v>61600.000000000007</v>
      </c>
      <c r="L582" s="1106">
        <f t="shared" si="347"/>
        <v>136800</v>
      </c>
      <c r="M582" s="1492" t="s">
        <v>1933</v>
      </c>
    </row>
    <row r="583" spans="1:13">
      <c r="A583" s="614"/>
      <c r="B583" s="548"/>
      <c r="C583" s="546"/>
      <c r="D583" s="550"/>
      <c r="E583" s="550"/>
      <c r="F583" s="550"/>
      <c r="G583" s="550"/>
      <c r="H583" s="550"/>
      <c r="I583" s="550"/>
      <c r="J583" s="550"/>
      <c r="K583" s="550"/>
      <c r="L583" s="1106"/>
    </row>
    <row r="584" spans="1:13">
      <c r="A584" s="631" t="str">
        <f>'NSP Summary Budget (16-18)'!A88</f>
        <v>2.5.4</v>
      </c>
      <c r="B584" s="661" t="str">
        <f>'NSP Summary Budget (16-18)'!B88</f>
        <v>Drugs for preventive treatment of LTBI</v>
      </c>
      <c r="C584" s="633"/>
      <c r="D584" s="634"/>
      <c r="E584" s="634"/>
      <c r="F584" s="634"/>
      <c r="G584" s="969"/>
      <c r="H584" s="969"/>
      <c r="I584" s="969"/>
      <c r="J584" s="969"/>
      <c r="K584" s="635"/>
      <c r="L584" s="1106"/>
    </row>
    <row r="585" spans="1:13">
      <c r="A585" s="639"/>
      <c r="B585" s="654" t="s">
        <v>1564</v>
      </c>
      <c r="C585" s="641"/>
      <c r="D585" s="642">
        <v>1500</v>
      </c>
      <c r="E585" s="642">
        <v>2000</v>
      </c>
      <c r="F585" s="642">
        <v>4000</v>
      </c>
      <c r="G585" s="642">
        <v>4000</v>
      </c>
      <c r="H585" s="642">
        <v>4000</v>
      </c>
      <c r="I585" s="642">
        <v>4000</v>
      </c>
      <c r="J585" s="642">
        <v>4000</v>
      </c>
      <c r="K585" s="638"/>
      <c r="L585" s="1106"/>
    </row>
    <row r="586" spans="1:13">
      <c r="A586" s="639"/>
      <c r="B586" s="654" t="s">
        <v>1567</v>
      </c>
      <c r="C586" s="641"/>
      <c r="D586" s="667">
        <v>1</v>
      </c>
      <c r="E586" s="667">
        <v>0.9</v>
      </c>
      <c r="F586" s="667">
        <v>0.8</v>
      </c>
      <c r="G586" s="667">
        <v>0.8</v>
      </c>
      <c r="H586" s="667">
        <v>0.8</v>
      </c>
      <c r="I586" s="667">
        <v>0.8</v>
      </c>
      <c r="J586" s="667">
        <v>0.8</v>
      </c>
      <c r="K586" s="638"/>
      <c r="L586" s="1106"/>
    </row>
    <row r="587" spans="1:13">
      <c r="A587" s="639"/>
      <c r="B587" s="654" t="s">
        <v>1568</v>
      </c>
      <c r="C587" s="641"/>
      <c r="D587" s="667">
        <f>1-D586</f>
        <v>0</v>
      </c>
      <c r="E587" s="667">
        <f t="shared" ref="E587" si="366">1-E586</f>
        <v>9.9999999999999978E-2</v>
      </c>
      <c r="F587" s="667">
        <f t="shared" ref="F587:J587" si="367">1-F586</f>
        <v>0.19999999999999996</v>
      </c>
      <c r="G587" s="667">
        <f t="shared" si="367"/>
        <v>0.19999999999999996</v>
      </c>
      <c r="H587" s="667">
        <f t="shared" si="367"/>
        <v>0.19999999999999996</v>
      </c>
      <c r="I587" s="667">
        <f t="shared" si="367"/>
        <v>0.19999999999999996</v>
      </c>
      <c r="J587" s="667">
        <f t="shared" si="367"/>
        <v>0.19999999999999996</v>
      </c>
      <c r="K587" s="638"/>
      <c r="L587" s="1106"/>
    </row>
    <row r="588" spans="1:13">
      <c r="A588" s="639"/>
      <c r="B588" s="654" t="s">
        <v>1569</v>
      </c>
      <c r="C588" s="641"/>
      <c r="D588" s="642">
        <f>D585*D586</f>
        <v>1500</v>
      </c>
      <c r="E588" s="642">
        <f t="shared" ref="E588:J588" si="368">E585*E586</f>
        <v>1800</v>
      </c>
      <c r="F588" s="642">
        <f t="shared" si="368"/>
        <v>3200</v>
      </c>
      <c r="G588" s="642">
        <f t="shared" si="368"/>
        <v>3200</v>
      </c>
      <c r="H588" s="642">
        <f t="shared" si="368"/>
        <v>3200</v>
      </c>
      <c r="I588" s="642">
        <f t="shared" si="368"/>
        <v>3200</v>
      </c>
      <c r="J588" s="642">
        <f t="shared" si="368"/>
        <v>3200</v>
      </c>
      <c r="K588" s="638"/>
      <c r="L588" s="1106"/>
    </row>
    <row r="589" spans="1:13">
      <c r="A589" s="639"/>
      <c r="B589" s="654" t="s">
        <v>1570</v>
      </c>
      <c r="C589" s="641"/>
      <c r="D589" s="642">
        <f>D585*D587</f>
        <v>0</v>
      </c>
      <c r="E589" s="642">
        <f t="shared" ref="E589:J589" si="369">E585*E587</f>
        <v>199.99999999999994</v>
      </c>
      <c r="F589" s="642">
        <f t="shared" si="369"/>
        <v>799.99999999999977</v>
      </c>
      <c r="G589" s="642">
        <f t="shared" si="369"/>
        <v>799.99999999999977</v>
      </c>
      <c r="H589" s="642">
        <f t="shared" si="369"/>
        <v>799.99999999999977</v>
      </c>
      <c r="I589" s="642">
        <f t="shared" si="369"/>
        <v>799.99999999999977</v>
      </c>
      <c r="J589" s="642">
        <f t="shared" si="369"/>
        <v>799.99999999999977</v>
      </c>
      <c r="K589" s="638"/>
      <c r="L589" s="1106"/>
    </row>
    <row r="590" spans="1:13" ht="30">
      <c r="A590" s="639"/>
      <c r="B590" s="640" t="str">
        <f>B81</f>
        <v>Cost of TB preventive treatment in adults, per patient (H, 6 months)</v>
      </c>
      <c r="C590" s="669">
        <f>C81</f>
        <v>18</v>
      </c>
      <c r="D590" s="670">
        <f t="shared" ref="D590:F591" si="370">C590</f>
        <v>18</v>
      </c>
      <c r="E590" s="670">
        <f t="shared" si="370"/>
        <v>18</v>
      </c>
      <c r="F590" s="670">
        <f t="shared" si="370"/>
        <v>18</v>
      </c>
      <c r="G590" s="670">
        <f t="shared" ref="G590:G591" si="371">F590</f>
        <v>18</v>
      </c>
      <c r="H590" s="670">
        <f t="shared" ref="H590:H591" si="372">G590</f>
        <v>18</v>
      </c>
      <c r="I590" s="670">
        <f t="shared" ref="I590:I591" si="373">H590</f>
        <v>18</v>
      </c>
      <c r="J590" s="670">
        <f t="shared" ref="J590:J591" si="374">I590</f>
        <v>18</v>
      </c>
      <c r="K590" s="638"/>
      <c r="L590" s="1106"/>
    </row>
    <row r="591" spans="1:13" ht="30">
      <c r="A591" s="639"/>
      <c r="B591" s="640" t="str">
        <f>B82</f>
        <v>Cost of TB preventive treatment in adults, per patient (H+R, 3-4 months)</v>
      </c>
      <c r="C591" s="669">
        <f>C82</f>
        <v>25</v>
      </c>
      <c r="D591" s="670">
        <f t="shared" si="370"/>
        <v>25</v>
      </c>
      <c r="E591" s="670">
        <f t="shared" si="370"/>
        <v>25</v>
      </c>
      <c r="F591" s="670">
        <f t="shared" si="370"/>
        <v>25</v>
      </c>
      <c r="G591" s="670">
        <f t="shared" si="371"/>
        <v>25</v>
      </c>
      <c r="H591" s="670">
        <f t="shared" si="372"/>
        <v>25</v>
      </c>
      <c r="I591" s="670">
        <f t="shared" si="373"/>
        <v>25</v>
      </c>
      <c r="J591" s="670">
        <f t="shared" si="374"/>
        <v>25</v>
      </c>
      <c r="K591" s="638"/>
      <c r="L591" s="1106"/>
    </row>
    <row r="592" spans="1:13">
      <c r="A592" s="639"/>
      <c r="B592" s="640" t="s">
        <v>1571</v>
      </c>
      <c r="C592" s="669"/>
      <c r="D592" s="642">
        <f>D588*D590</f>
        <v>27000</v>
      </c>
      <c r="E592" s="642">
        <f t="shared" ref="E592:J592" si="375">E588*E590</f>
        <v>32400</v>
      </c>
      <c r="F592" s="642">
        <f t="shared" si="375"/>
        <v>57600</v>
      </c>
      <c r="G592" s="642">
        <f t="shared" si="375"/>
        <v>57600</v>
      </c>
      <c r="H592" s="642">
        <f t="shared" si="375"/>
        <v>57600</v>
      </c>
      <c r="I592" s="642">
        <f t="shared" si="375"/>
        <v>57600</v>
      </c>
      <c r="J592" s="642">
        <f t="shared" si="375"/>
        <v>57600</v>
      </c>
      <c r="K592" s="638"/>
      <c r="L592" s="1106"/>
    </row>
    <row r="593" spans="1:16">
      <c r="A593" s="639"/>
      <c r="B593" s="640" t="s">
        <v>1572</v>
      </c>
      <c r="C593" s="669"/>
      <c r="D593" s="642">
        <f>D589*D591</f>
        <v>0</v>
      </c>
      <c r="E593" s="642">
        <f t="shared" ref="E593:J593" si="376">E589*E591</f>
        <v>4999.9999999999982</v>
      </c>
      <c r="F593" s="642">
        <f t="shared" si="376"/>
        <v>19999.999999999993</v>
      </c>
      <c r="G593" s="642">
        <f t="shared" si="376"/>
        <v>19999.999999999993</v>
      </c>
      <c r="H593" s="642">
        <f t="shared" si="376"/>
        <v>19999.999999999993</v>
      </c>
      <c r="I593" s="642">
        <f t="shared" si="376"/>
        <v>19999.999999999993</v>
      </c>
      <c r="J593" s="642">
        <f t="shared" si="376"/>
        <v>19999.999999999993</v>
      </c>
      <c r="K593" s="638"/>
      <c r="L593" s="1106"/>
    </row>
    <row r="594" spans="1:16">
      <c r="A594" s="647"/>
      <c r="B594" s="648" t="s">
        <v>1077</v>
      </c>
      <c r="C594" s="657"/>
      <c r="D594" s="650">
        <f>SUM(D592:D593)</f>
        <v>27000</v>
      </c>
      <c r="E594" s="650">
        <f t="shared" ref="E594" si="377">SUM(E592:E593)</f>
        <v>37400</v>
      </c>
      <c r="F594" s="650">
        <f t="shared" ref="F594:J594" si="378">SUM(F592:F593)</f>
        <v>77600</v>
      </c>
      <c r="G594" s="650">
        <f t="shared" si="378"/>
        <v>77600</v>
      </c>
      <c r="H594" s="650">
        <f t="shared" si="378"/>
        <v>77600</v>
      </c>
      <c r="I594" s="650">
        <f t="shared" si="378"/>
        <v>77600</v>
      </c>
      <c r="J594" s="650">
        <f t="shared" si="378"/>
        <v>77600</v>
      </c>
      <c r="K594" s="651">
        <f>SUM(D594:F594)</f>
        <v>142000</v>
      </c>
      <c r="L594" s="1106">
        <f t="shared" si="347"/>
        <v>310400</v>
      </c>
      <c r="N594" s="1492" t="s">
        <v>1934</v>
      </c>
    </row>
    <row r="595" spans="1:16">
      <c r="A595" s="614"/>
      <c r="B595" s="548"/>
      <c r="C595" s="546"/>
      <c r="D595" s="550"/>
      <c r="E595" s="550"/>
      <c r="F595" s="550"/>
      <c r="G595" s="550"/>
      <c r="H595" s="550"/>
      <c r="I595" s="550"/>
      <c r="J595" s="550"/>
      <c r="K595" s="550"/>
      <c r="L595" s="1106"/>
    </row>
    <row r="596" spans="1:16">
      <c r="A596" s="652" t="str">
        <f>'NSP Summary Budget (16-18)'!A89</f>
        <v>2.5.5</v>
      </c>
      <c r="B596" s="661" t="str">
        <f>'NSP Summary Budget (16-18)'!B89</f>
        <v>BCG vaccines</v>
      </c>
      <c r="C596" s="633"/>
      <c r="D596" s="634"/>
      <c r="E596" s="634"/>
      <c r="F596" s="634"/>
      <c r="G596" s="969"/>
      <c r="H596" s="969"/>
      <c r="I596" s="969"/>
      <c r="J596" s="969"/>
      <c r="K596" s="635"/>
      <c r="L596" s="1106"/>
    </row>
    <row r="597" spans="1:16">
      <c r="A597" s="653"/>
      <c r="B597" s="654" t="s">
        <v>1574</v>
      </c>
      <c r="C597" s="636"/>
      <c r="D597" s="642">
        <f>Population!K169</f>
        <v>59260</v>
      </c>
      <c r="E597" s="642">
        <f>Population!L169</f>
        <v>59260</v>
      </c>
      <c r="F597" s="642">
        <f>Population!M169</f>
        <v>59190</v>
      </c>
      <c r="G597" s="642">
        <f>Population!N169</f>
        <v>58890</v>
      </c>
      <c r="H597" s="642">
        <f>Population!O169</f>
        <v>58440</v>
      </c>
      <c r="I597" s="642">
        <f>Population!P169</f>
        <v>57830</v>
      </c>
      <c r="J597" s="642">
        <f>Population!Q169</f>
        <v>57020</v>
      </c>
      <c r="K597" s="638"/>
      <c r="L597" s="1106"/>
    </row>
    <row r="598" spans="1:16">
      <c r="A598" s="653"/>
      <c r="B598" s="654" t="s">
        <v>1575</v>
      </c>
      <c r="C598" s="636"/>
      <c r="D598" s="660">
        <v>0.92</v>
      </c>
      <c r="E598" s="660">
        <v>0.94</v>
      </c>
      <c r="F598" s="660">
        <v>0.95</v>
      </c>
      <c r="G598" s="660">
        <v>0.95</v>
      </c>
      <c r="H598" s="660">
        <v>0.95</v>
      </c>
      <c r="I598" s="660">
        <v>0.95</v>
      </c>
      <c r="J598" s="660">
        <v>0.95</v>
      </c>
      <c r="K598" s="638"/>
      <c r="L598" s="1106"/>
    </row>
    <row r="599" spans="1:16">
      <c r="A599" s="653"/>
      <c r="B599" s="654" t="s">
        <v>1576</v>
      </c>
      <c r="C599" s="636"/>
      <c r="D599" s="642">
        <f>D597*D598</f>
        <v>54519.200000000004</v>
      </c>
      <c r="E599" s="642">
        <f t="shared" ref="E599:J599" si="379">E597*E598</f>
        <v>55704.399999999994</v>
      </c>
      <c r="F599" s="642">
        <f t="shared" si="379"/>
        <v>56230.5</v>
      </c>
      <c r="G599" s="642">
        <f t="shared" si="379"/>
        <v>55945.5</v>
      </c>
      <c r="H599" s="642">
        <f t="shared" si="379"/>
        <v>55518</v>
      </c>
      <c r="I599" s="642">
        <f t="shared" si="379"/>
        <v>54938.5</v>
      </c>
      <c r="J599" s="642">
        <f t="shared" si="379"/>
        <v>54169</v>
      </c>
      <c r="K599" s="638"/>
      <c r="L599" s="1106"/>
    </row>
    <row r="600" spans="1:16">
      <c r="A600" s="653"/>
      <c r="B600" s="654" t="str">
        <f>B83</f>
        <v>Cost of 1 BCG dose</v>
      </c>
      <c r="C600" s="669">
        <f>C83</f>
        <v>0.30000000000000004</v>
      </c>
      <c r="D600" s="670">
        <f>C600</f>
        <v>0.30000000000000004</v>
      </c>
      <c r="E600" s="670">
        <f>D600</f>
        <v>0.30000000000000004</v>
      </c>
      <c r="F600" s="670">
        <f>E600</f>
        <v>0.30000000000000004</v>
      </c>
      <c r="G600" s="670">
        <f t="shared" ref="G600:J600" si="380">F600</f>
        <v>0.30000000000000004</v>
      </c>
      <c r="H600" s="670">
        <f t="shared" si="380"/>
        <v>0.30000000000000004</v>
      </c>
      <c r="I600" s="670">
        <f t="shared" si="380"/>
        <v>0.30000000000000004</v>
      </c>
      <c r="J600" s="670">
        <f t="shared" si="380"/>
        <v>0.30000000000000004</v>
      </c>
      <c r="K600" s="638"/>
      <c r="L600" s="1106"/>
    </row>
    <row r="601" spans="1:16">
      <c r="A601" s="655"/>
      <c r="B601" s="648" t="s">
        <v>1077</v>
      </c>
      <c r="C601" s="657"/>
      <c r="D601" s="650">
        <f>D599*D600</f>
        <v>16355.760000000004</v>
      </c>
      <c r="E601" s="650">
        <f t="shared" ref="E601:J601" si="381">E599*E600</f>
        <v>16711.32</v>
      </c>
      <c r="F601" s="650">
        <f t="shared" si="381"/>
        <v>16869.150000000001</v>
      </c>
      <c r="G601" s="650">
        <f t="shared" si="381"/>
        <v>16783.650000000001</v>
      </c>
      <c r="H601" s="650">
        <f t="shared" si="381"/>
        <v>16655.400000000001</v>
      </c>
      <c r="I601" s="650">
        <f t="shared" si="381"/>
        <v>16481.550000000003</v>
      </c>
      <c r="J601" s="650">
        <f t="shared" si="381"/>
        <v>16250.700000000003</v>
      </c>
      <c r="K601" s="651">
        <f>SUM(D601:F601)</f>
        <v>49936.23</v>
      </c>
      <c r="L601" s="1106">
        <f t="shared" si="347"/>
        <v>66171.3</v>
      </c>
      <c r="N601" s="1492" t="s">
        <v>1934</v>
      </c>
    </row>
    <row r="602" spans="1:16">
      <c r="A602" s="614"/>
      <c r="B602" s="548"/>
      <c r="C602" s="546"/>
      <c r="D602" s="550"/>
      <c r="E602" s="550"/>
      <c r="F602" s="550"/>
      <c r="G602" s="550"/>
      <c r="H602" s="550"/>
      <c r="I602" s="550"/>
      <c r="J602" s="550"/>
      <c r="K602" s="550"/>
      <c r="L602" s="1106"/>
    </row>
    <row r="603" spans="1:16" ht="18.95" customHeight="1">
      <c r="A603" s="589">
        <f>'NSP Summary Budget (16-18)'!A90</f>
        <v>2.6</v>
      </c>
      <c r="B603" s="1783" t="str">
        <f>'NSP Summary Budget (16-18)'!B90</f>
        <v>Support to operations of TB treatment institutions</v>
      </c>
      <c r="C603" s="1783"/>
      <c r="D603" s="590"/>
      <c r="E603" s="590"/>
      <c r="F603" s="590"/>
      <c r="G603" s="590"/>
      <c r="H603" s="590"/>
      <c r="I603" s="590"/>
      <c r="J603" s="590"/>
      <c r="K603" s="590"/>
      <c r="L603" s="1487">
        <f>SUM(L605:L619)</f>
        <v>17824554.003397509</v>
      </c>
    </row>
    <row r="604" spans="1:16">
      <c r="A604" s="611"/>
      <c r="B604" s="602"/>
      <c r="C604" s="546"/>
      <c r="D604" s="605"/>
      <c r="E604" s="605"/>
      <c r="F604" s="605"/>
      <c r="G604" s="605"/>
      <c r="H604" s="605"/>
      <c r="I604" s="605"/>
      <c r="J604" s="605"/>
      <c r="K604" s="605"/>
      <c r="L604" s="1106"/>
    </row>
    <row r="605" spans="1:16">
      <c r="A605" s="631" t="str">
        <f>'NSP Summary Budget (16-18)'!A91</f>
        <v>2.6.1</v>
      </c>
      <c r="B605" s="632" t="str">
        <f>'NSP Summary Budget (16-18)'!B91</f>
        <v>Human resources, TB treatment institutions</v>
      </c>
      <c r="C605" s="633"/>
      <c r="D605" s="634"/>
      <c r="E605" s="634"/>
      <c r="F605" s="634"/>
      <c r="G605" s="969"/>
      <c r="H605" s="969"/>
      <c r="I605" s="969"/>
      <c r="J605" s="969"/>
      <c r="K605" s="635"/>
      <c r="L605" s="1106"/>
    </row>
    <row r="606" spans="1:16">
      <c r="A606" s="639"/>
      <c r="B606" s="739" t="s">
        <v>1663</v>
      </c>
      <c r="C606" s="641">
        <f>'Govt &amp; External'!E75</f>
        <v>1309268.3465458662</v>
      </c>
      <c r="D606" s="642"/>
      <c r="E606" s="642"/>
      <c r="F606" s="642">
        <f>C606</f>
        <v>1309268.3465458662</v>
      </c>
      <c r="G606" s="642"/>
      <c r="H606" s="642"/>
      <c r="I606" s="642"/>
      <c r="J606" s="642"/>
      <c r="K606" s="638"/>
      <c r="L606" s="1106"/>
      <c r="O606" s="1643"/>
      <c r="P606" s="1642"/>
    </row>
    <row r="607" spans="1:16" ht="60">
      <c r="A607" s="639"/>
      <c r="B607" s="640" t="s">
        <v>1092</v>
      </c>
      <c r="C607" s="643">
        <v>0.65</v>
      </c>
      <c r="D607" s="644"/>
      <c r="E607" s="1409" t="s">
        <v>1926</v>
      </c>
      <c r="F607" s="667">
        <v>0.65</v>
      </c>
      <c r="G607" s="1638"/>
      <c r="H607" s="644"/>
      <c r="I607" s="644"/>
      <c r="J607" s="644"/>
      <c r="K607" s="638"/>
      <c r="L607" s="1106"/>
    </row>
    <row r="608" spans="1:16">
      <c r="A608" s="639"/>
      <c r="B608" s="640" t="s">
        <v>1093</v>
      </c>
      <c r="C608" s="645"/>
      <c r="D608" s="646">
        <v>0.3</v>
      </c>
      <c r="E608" s="1408">
        <v>0.05</v>
      </c>
      <c r="F608" s="1408">
        <v>0.05</v>
      </c>
      <c r="G608" s="1205">
        <v>0.45</v>
      </c>
      <c r="H608" s="1205"/>
      <c r="I608" s="1205"/>
      <c r="J608" s="1205"/>
      <c r="K608" s="638"/>
      <c r="L608" s="1106"/>
    </row>
    <row r="609" spans="1:16">
      <c r="A609" s="647"/>
      <c r="B609" s="648" t="s">
        <v>1077</v>
      </c>
      <c r="C609" s="649"/>
      <c r="D609" s="650">
        <f>(C606/C607)+(C606/C607)*D608</f>
        <v>2618536.6930917324</v>
      </c>
      <c r="E609" s="650">
        <f>D609+D609*E608</f>
        <v>2749463.5277463188</v>
      </c>
      <c r="F609" s="650">
        <f>E609+E609*F608</f>
        <v>2886936.7041336349</v>
      </c>
      <c r="G609" s="650">
        <f>F606+F606*G608</f>
        <v>1898439.1024915059</v>
      </c>
      <c r="H609" s="650">
        <f t="shared" ref="H609:J609" si="382">G609+G609*H608</f>
        <v>1898439.1024915059</v>
      </c>
      <c r="I609" s="650">
        <f t="shared" si="382"/>
        <v>1898439.1024915059</v>
      </c>
      <c r="J609" s="650">
        <f t="shared" si="382"/>
        <v>1898439.1024915059</v>
      </c>
      <c r="K609" s="651">
        <f>SUM(D609:F609)</f>
        <v>8254936.9249716867</v>
      </c>
      <c r="L609" s="1106">
        <f t="shared" si="347"/>
        <v>7593756.4099660236</v>
      </c>
      <c r="N609" s="1492" t="s">
        <v>1934</v>
      </c>
    </row>
    <row r="610" spans="1:16">
      <c r="A610" s="614"/>
      <c r="C610" s="547"/>
      <c r="D610" s="613"/>
      <c r="E610" s="613"/>
      <c r="F610" s="613"/>
      <c r="G610" s="613"/>
      <c r="H610" s="613"/>
      <c r="I610" s="613"/>
      <c r="J610" s="613"/>
      <c r="K610" s="605"/>
      <c r="L610" s="1106"/>
    </row>
    <row r="611" spans="1:16" s="619" customFormat="1">
      <c r="A611" s="652" t="str">
        <f>'NSP Summary Budget (16-18)'!A92</f>
        <v>2.6.2</v>
      </c>
      <c r="B611" s="661" t="str">
        <f>'NSP Summary Budget (16-18)'!B92</f>
        <v xml:space="preserve">Investment costs, TB treatment institutions </v>
      </c>
      <c r="C611" s="702"/>
      <c r="D611" s="703"/>
      <c r="E611" s="703"/>
      <c r="F611" s="703"/>
      <c r="G611" s="1100"/>
      <c r="H611" s="1100"/>
      <c r="I611" s="1100"/>
      <c r="J611" s="1100"/>
      <c r="K611" s="704"/>
      <c r="L611" s="1106"/>
    </row>
    <row r="612" spans="1:16" s="619" customFormat="1" ht="30">
      <c r="A612" s="705"/>
      <c r="B612" s="664" t="s">
        <v>1664</v>
      </c>
      <c r="C612" s="713"/>
      <c r="D612" s="706">
        <v>1500000</v>
      </c>
      <c r="E612" s="706">
        <v>2200000</v>
      </c>
      <c r="F612" s="706">
        <v>2000000</v>
      </c>
      <c r="G612" s="706">
        <f>R287</f>
        <v>486200</v>
      </c>
      <c r="H612" s="706"/>
      <c r="I612" s="706"/>
      <c r="J612" s="706"/>
      <c r="K612" s="1591">
        <f>G612</f>
        <v>486200</v>
      </c>
      <c r="L612" s="1106">
        <f>K612</f>
        <v>486200</v>
      </c>
      <c r="O612" s="1206" t="s">
        <v>1925</v>
      </c>
    </row>
    <row r="613" spans="1:16" s="619" customFormat="1">
      <c r="A613" s="708"/>
      <c r="B613" s="709" t="s">
        <v>1077</v>
      </c>
      <c r="C613" s="710"/>
      <c r="D613" s="711">
        <f>SUM(D612:D612)</f>
        <v>1500000</v>
      </c>
      <c r="E613" s="711">
        <f>SUM(E612:E612)</f>
        <v>2200000</v>
      </c>
      <c r="F613" s="711">
        <f>SUM(F612:F612)</f>
        <v>2000000</v>
      </c>
      <c r="G613" s="711">
        <f>G612</f>
        <v>486200</v>
      </c>
      <c r="H613" s="711"/>
      <c r="I613" s="711"/>
      <c r="J613" s="711"/>
      <c r="K613" s="712">
        <f>SUM(D613:F613)</f>
        <v>5700000</v>
      </c>
      <c r="L613" s="1106">
        <f>G613</f>
        <v>486200</v>
      </c>
    </row>
    <row r="614" spans="1:16">
      <c r="A614" s="611"/>
      <c r="B614" s="548"/>
      <c r="C614" s="546"/>
      <c r="D614" s="550"/>
      <c r="E614" s="550"/>
      <c r="F614" s="550"/>
      <c r="G614" s="550"/>
      <c r="H614" s="550"/>
      <c r="I614" s="550"/>
      <c r="J614" s="550"/>
      <c r="K614" s="550"/>
      <c r="L614" s="1106"/>
    </row>
    <row r="615" spans="1:16">
      <c r="A615" s="631" t="str">
        <f>'NSP Summary Budget (16-18)'!A93</f>
        <v>2.6.3</v>
      </c>
      <c r="B615" s="632" t="str">
        <f>'NSP Summary Budget (16-18)'!B93</f>
        <v xml:space="preserve">Facility costs, TB treatment institutions </v>
      </c>
      <c r="C615" s="633"/>
      <c r="D615" s="634"/>
      <c r="E615" s="634"/>
      <c r="F615" s="634"/>
      <c r="G615" s="969"/>
      <c r="H615" s="969"/>
      <c r="I615" s="969"/>
      <c r="J615" s="969"/>
      <c r="K615" s="635"/>
      <c r="L615" s="1106"/>
    </row>
    <row r="616" spans="1:16">
      <c r="A616" s="639"/>
      <c r="B616" s="739" t="s">
        <v>1663</v>
      </c>
      <c r="C616" s="641">
        <f>'Govt &amp; External'!E77</f>
        <v>1683345.0169875426</v>
      </c>
      <c r="D616" s="642"/>
      <c r="E616" s="642"/>
      <c r="F616" s="642"/>
      <c r="G616" s="642"/>
      <c r="H616" s="642"/>
      <c r="I616" s="642"/>
      <c r="J616" s="642"/>
      <c r="K616" s="638"/>
      <c r="L616" s="1106"/>
    </row>
    <row r="617" spans="1:16">
      <c r="A617" s="639"/>
      <c r="B617" s="640" t="s">
        <v>1092</v>
      </c>
      <c r="C617" s="643">
        <v>0.8</v>
      </c>
      <c r="D617" s="644"/>
      <c r="E617" s="644"/>
      <c r="F617" s="644"/>
      <c r="G617" s="644"/>
      <c r="H617" s="644"/>
      <c r="I617" s="644"/>
      <c r="J617" s="644"/>
      <c r="K617" s="638"/>
      <c r="L617" s="1106"/>
    </row>
    <row r="618" spans="1:16">
      <c r="A618" s="639"/>
      <c r="B618" s="640" t="s">
        <v>1093</v>
      </c>
      <c r="C618" s="645"/>
      <c r="D618" s="646">
        <v>0.1</v>
      </c>
      <c r="E618" s="646">
        <v>0.08</v>
      </c>
      <c r="F618" s="646">
        <v>0.06</v>
      </c>
      <c r="G618" s="646">
        <v>0.1</v>
      </c>
      <c r="H618" s="646"/>
      <c r="I618" s="646"/>
      <c r="J618" s="1205"/>
      <c r="K618" s="638"/>
      <c r="L618" s="1106"/>
    </row>
    <row r="619" spans="1:16">
      <c r="A619" s="647"/>
      <c r="B619" s="648" t="s">
        <v>1077</v>
      </c>
      <c r="C619" s="649"/>
      <c r="D619" s="650">
        <f>(C616/C617)+(C616/C617)*D618</f>
        <v>2314599.398357871</v>
      </c>
      <c r="E619" s="650">
        <f>D619+D619*E618</f>
        <v>2499767.3502265005</v>
      </c>
      <c r="F619" s="650">
        <f>E619+E619*F618</f>
        <v>2649753.3912400906</v>
      </c>
      <c r="G619" s="650">
        <f>D619</f>
        <v>2314599.398357871</v>
      </c>
      <c r="H619" s="650">
        <f>G619</f>
        <v>2314599.398357871</v>
      </c>
      <c r="I619" s="650">
        <f t="shared" ref="I619:J619" si="383">H619</f>
        <v>2314599.398357871</v>
      </c>
      <c r="J619" s="650">
        <f t="shared" si="383"/>
        <v>2314599.398357871</v>
      </c>
      <c r="K619" s="651">
        <f>SUM(D619:F619)</f>
        <v>7464120.1398244612</v>
      </c>
      <c r="L619" s="1106">
        <f t="shared" si="347"/>
        <v>9258397.593431484</v>
      </c>
      <c r="M619" s="615"/>
      <c r="N619" s="1494" t="s">
        <v>1934</v>
      </c>
      <c r="O619" s="615"/>
      <c r="P619" s="615"/>
    </row>
    <row r="620" spans="1:16">
      <c r="A620" s="611"/>
      <c r="C620" s="547"/>
      <c r="D620" s="613"/>
      <c r="E620" s="613"/>
      <c r="F620" s="613"/>
      <c r="G620" s="613"/>
      <c r="H620" s="613"/>
      <c r="I620" s="613"/>
      <c r="J620" s="613"/>
      <c r="K620" s="605"/>
      <c r="L620" s="1106"/>
    </row>
    <row r="621" spans="1:16" ht="18.95" customHeight="1">
      <c r="A621" s="589">
        <f>'NSP Summary Budget (16-18)'!A95</f>
        <v>3.1</v>
      </c>
      <c r="B621" s="1783" t="str">
        <f>'NSP Summary Budget (16-18)'!B95</f>
        <v>Strengthening core health system functions for TB control</v>
      </c>
      <c r="C621" s="1783"/>
      <c r="D621" s="590"/>
      <c r="E621" s="590"/>
      <c r="F621" s="590"/>
      <c r="G621" s="590"/>
      <c r="H621" s="590"/>
      <c r="I621" s="590"/>
      <c r="J621" s="590"/>
      <c r="K621" s="590"/>
      <c r="L621" s="1487">
        <f>SUM(L623:L681)</f>
        <v>2264088.3150684931</v>
      </c>
    </row>
    <row r="622" spans="1:16">
      <c r="A622" s="611"/>
      <c r="B622" s="602"/>
      <c r="C622" s="546"/>
      <c r="D622" s="605"/>
      <c r="E622" s="605"/>
      <c r="F622" s="605"/>
      <c r="G622" s="605"/>
      <c r="H622" s="605"/>
      <c r="I622" s="605"/>
      <c r="J622" s="605"/>
      <c r="K622" s="605"/>
      <c r="L622" s="1106"/>
    </row>
    <row r="623" spans="1:16">
      <c r="A623" s="652" t="str">
        <f>'NSP Summary Budget (16-18)'!A96</f>
        <v>3.1.1</v>
      </c>
      <c r="B623" s="661" t="str">
        <f>'NSP Summary Budget (16-18)'!B96</f>
        <v>External technical assistance, strengthening health system functions for TB control</v>
      </c>
      <c r="C623" s="633"/>
      <c r="D623" s="634"/>
      <c r="E623" s="634"/>
      <c r="F623" s="634"/>
      <c r="G623" s="969"/>
      <c r="H623" s="969"/>
      <c r="I623" s="969"/>
      <c r="J623" s="969"/>
      <c r="K623" s="635"/>
      <c r="L623" s="1106"/>
    </row>
    <row r="624" spans="1:16">
      <c r="A624" s="653"/>
      <c r="B624" s="640" t="str">
        <f>B9</f>
        <v>Cost of 1 external TA unit</v>
      </c>
      <c r="C624" s="641">
        <f>TA!F38</f>
        <v>18700</v>
      </c>
      <c r="D624" s="642">
        <f>C624</f>
        <v>18700</v>
      </c>
      <c r="E624" s="642">
        <f>D624</f>
        <v>18700</v>
      </c>
      <c r="F624" s="642">
        <f>E624</f>
        <v>18700</v>
      </c>
      <c r="G624" s="1207">
        <f t="shared" ref="G624:J624" si="384">F624</f>
        <v>18700</v>
      </c>
      <c r="H624" s="1207">
        <f t="shared" si="384"/>
        <v>18700</v>
      </c>
      <c r="I624" s="1207">
        <f t="shared" si="384"/>
        <v>18700</v>
      </c>
      <c r="J624" s="1207">
        <f t="shared" si="384"/>
        <v>18700</v>
      </c>
      <c r="K624" s="638"/>
      <c r="L624" s="1106"/>
    </row>
    <row r="625" spans="1:13">
      <c r="A625" s="653"/>
      <c r="B625" s="654" t="s">
        <v>1444</v>
      </c>
      <c r="C625" s="636"/>
      <c r="D625" s="760">
        <v>1</v>
      </c>
      <c r="E625" s="760">
        <v>1</v>
      </c>
      <c r="F625" s="760">
        <v>0</v>
      </c>
      <c r="G625" s="1208">
        <v>1</v>
      </c>
      <c r="H625" s="1208">
        <v>1</v>
      </c>
      <c r="I625" s="1208">
        <v>1</v>
      </c>
      <c r="J625" s="1208">
        <v>1</v>
      </c>
      <c r="K625" s="638"/>
      <c r="L625" s="1106"/>
    </row>
    <row r="626" spans="1:13">
      <c r="A626" s="655"/>
      <c r="B626" s="648" t="s">
        <v>1077</v>
      </c>
      <c r="C626" s="656"/>
      <c r="D626" s="650">
        <f>D624*D625</f>
        <v>18700</v>
      </c>
      <c r="E626" s="650">
        <f t="shared" ref="E626:J626" si="385">E624*E625</f>
        <v>18700</v>
      </c>
      <c r="F626" s="650">
        <f t="shared" si="385"/>
        <v>0</v>
      </c>
      <c r="G626" s="650">
        <f t="shared" si="385"/>
        <v>18700</v>
      </c>
      <c r="H626" s="650">
        <f t="shared" si="385"/>
        <v>18700</v>
      </c>
      <c r="I626" s="650">
        <f t="shared" si="385"/>
        <v>18700</v>
      </c>
      <c r="J626" s="650">
        <f t="shared" si="385"/>
        <v>18700</v>
      </c>
      <c r="K626" s="651">
        <f>SUM(D626:F626)</f>
        <v>37400</v>
      </c>
      <c r="L626" s="1106">
        <f t="shared" ref="L626:L688" si="386">SUM(G626:J626)</f>
        <v>74800</v>
      </c>
      <c r="M626" s="1492" t="s">
        <v>1933</v>
      </c>
    </row>
    <row r="627" spans="1:13">
      <c r="A627" s="611"/>
      <c r="B627" s="602"/>
      <c r="C627" s="546"/>
      <c r="D627" s="605"/>
      <c r="E627" s="605"/>
      <c r="F627" s="605"/>
      <c r="G627" s="605"/>
      <c r="H627" s="605"/>
      <c r="I627" s="605"/>
      <c r="J627" s="605"/>
      <c r="K627" s="605"/>
      <c r="L627" s="1106"/>
    </row>
    <row r="628" spans="1:13">
      <c r="A628" s="652" t="str">
        <f>'NSP Summary Budget (16-18)'!A97</f>
        <v>3.1.2</v>
      </c>
      <c r="B628" s="661" t="str">
        <f>'NSP Summary Budget (16-18)'!B97</f>
        <v>National consultants, legislation and regulations for improving health services’ performance for TB control</v>
      </c>
      <c r="C628" s="633"/>
      <c r="D628" s="634"/>
      <c r="E628" s="634"/>
      <c r="F628" s="634"/>
      <c r="G628" s="969"/>
      <c r="H628" s="969"/>
      <c r="I628" s="969"/>
      <c r="J628" s="969"/>
      <c r="K628" s="635"/>
      <c r="L628" s="1106"/>
    </row>
    <row r="629" spans="1:13">
      <c r="A629" s="653"/>
      <c r="B629" s="654" t="s">
        <v>1079</v>
      </c>
      <c r="C629" s="636"/>
      <c r="D629" s="637">
        <f>1*6+1*6+1*3+1*0</f>
        <v>15</v>
      </c>
      <c r="E629" s="637">
        <f>1*6+1*12+1*12+1*12</f>
        <v>42</v>
      </c>
      <c r="F629" s="637">
        <f>1*0+1*6+1*6+1*6</f>
        <v>18</v>
      </c>
      <c r="G629" s="637">
        <v>15</v>
      </c>
      <c r="H629" s="637">
        <v>15</v>
      </c>
      <c r="I629" s="637">
        <v>15</v>
      </c>
      <c r="J629" s="637">
        <v>15</v>
      </c>
      <c r="K629" s="638"/>
      <c r="L629" s="1106"/>
    </row>
    <row r="630" spans="1:13">
      <c r="A630" s="653"/>
      <c r="B630" s="654" t="str">
        <f>B10</f>
        <v>Average cost of national consultant per month (gross)</v>
      </c>
      <c r="C630" s="641">
        <f>C10</f>
        <v>600</v>
      </c>
      <c r="D630" s="642">
        <f>C630</f>
        <v>600</v>
      </c>
      <c r="E630" s="642">
        <f>D630</f>
        <v>600</v>
      </c>
      <c r="F630" s="642">
        <f>E630</f>
        <v>600</v>
      </c>
      <c r="G630" s="642">
        <f t="shared" ref="G630:H630" si="387">F630</f>
        <v>600</v>
      </c>
      <c r="H630" s="642">
        <f t="shared" si="387"/>
        <v>600</v>
      </c>
      <c r="I630" s="642"/>
      <c r="J630" s="642"/>
      <c r="K630" s="638"/>
      <c r="L630" s="1106"/>
    </row>
    <row r="631" spans="1:13">
      <c r="A631" s="655"/>
      <c r="B631" s="648" t="s">
        <v>1077</v>
      </c>
      <c r="C631" s="657"/>
      <c r="D631" s="650">
        <f>D629*D630</f>
        <v>9000</v>
      </c>
      <c r="E631" s="650">
        <f t="shared" ref="E631:J631" si="388">E629*E630</f>
        <v>25200</v>
      </c>
      <c r="F631" s="650">
        <f t="shared" si="388"/>
        <v>10800</v>
      </c>
      <c r="G631" s="650">
        <f t="shared" si="388"/>
        <v>9000</v>
      </c>
      <c r="H631" s="650">
        <f t="shared" si="388"/>
        <v>9000</v>
      </c>
      <c r="I631" s="650">
        <f t="shared" si="388"/>
        <v>0</v>
      </c>
      <c r="J631" s="650">
        <f t="shared" si="388"/>
        <v>0</v>
      </c>
      <c r="K631" s="651">
        <f>SUM(D631:F631)</f>
        <v>45000</v>
      </c>
      <c r="L631" s="1106">
        <f t="shared" si="386"/>
        <v>18000</v>
      </c>
      <c r="M631" s="1492" t="s">
        <v>1933</v>
      </c>
    </row>
    <row r="632" spans="1:13">
      <c r="A632" s="611"/>
      <c r="B632" s="548"/>
      <c r="C632" s="546"/>
      <c r="D632" s="550"/>
      <c r="E632" s="550"/>
      <c r="F632" s="550"/>
      <c r="G632" s="550"/>
      <c r="H632" s="550"/>
      <c r="I632" s="550"/>
      <c r="J632" s="550"/>
      <c r="K632" s="550"/>
      <c r="L632" s="1106"/>
    </row>
    <row r="633" spans="1:13">
      <c r="A633" s="631" t="str">
        <f>'NSP Summary Budget (16-18)'!A98</f>
        <v>3.1.3</v>
      </c>
      <c r="B633" s="661" t="str">
        <f>'NSP Summary Budget (16-18)'!B98</f>
        <v xml:space="preserve">Training and attendance of international TB events abroad </v>
      </c>
      <c r="C633" s="633"/>
      <c r="D633" s="634"/>
      <c r="E633" s="634"/>
      <c r="F633" s="634"/>
      <c r="G633" s="969"/>
      <c r="H633" s="969"/>
      <c r="I633" s="969"/>
      <c r="J633" s="969"/>
      <c r="K633" s="635"/>
      <c r="L633" s="1106"/>
    </row>
    <row r="634" spans="1:13" ht="30">
      <c r="A634" s="639"/>
      <c r="B634" s="640" t="str">
        <f>B17</f>
        <v>Average cost of participation in international event, per person</v>
      </c>
      <c r="C634" s="641">
        <f>Training!F273</f>
        <v>2000</v>
      </c>
      <c r="D634" s="642">
        <f t="shared" ref="D634" si="389">C634</f>
        <v>2000</v>
      </c>
      <c r="E634" s="642">
        <f t="shared" ref="E634" si="390">D634</f>
        <v>2000</v>
      </c>
      <c r="F634" s="642">
        <f t="shared" ref="F634" si="391">E634</f>
        <v>2000</v>
      </c>
      <c r="G634" s="642">
        <f t="shared" ref="G634" si="392">F634</f>
        <v>2000</v>
      </c>
      <c r="H634" s="642">
        <f t="shared" ref="H634" si="393">G634</f>
        <v>2000</v>
      </c>
      <c r="I634" s="642">
        <f t="shared" ref="I634" si="394">H634</f>
        <v>2000</v>
      </c>
      <c r="J634" s="642">
        <f t="shared" ref="J634" si="395">I634</f>
        <v>2000</v>
      </c>
      <c r="K634" s="638"/>
      <c r="L634" s="1106"/>
    </row>
    <row r="635" spans="1:13">
      <c r="A635" s="639"/>
      <c r="B635" s="640" t="s">
        <v>1451</v>
      </c>
      <c r="C635" s="636"/>
      <c r="D635" s="637">
        <v>12</v>
      </c>
      <c r="E635" s="637">
        <v>12</v>
      </c>
      <c r="F635" s="637">
        <v>12</v>
      </c>
      <c r="G635" s="637">
        <v>12</v>
      </c>
      <c r="H635" s="637">
        <v>12</v>
      </c>
      <c r="I635" s="637">
        <v>12</v>
      </c>
      <c r="J635" s="637">
        <v>12</v>
      </c>
      <c r="K635" s="638"/>
      <c r="L635" s="1106"/>
    </row>
    <row r="636" spans="1:13">
      <c r="A636" s="639"/>
      <c r="B636" s="1480" t="s">
        <v>2074</v>
      </c>
      <c r="C636" s="636"/>
      <c r="D636" s="637"/>
      <c r="E636" s="637"/>
      <c r="F636" s="637"/>
      <c r="G636" s="642">
        <f>'Govt &amp; External'!J123</f>
        <v>256849.31506849316</v>
      </c>
      <c r="H636" s="637"/>
      <c r="I636" s="637"/>
      <c r="J636" s="637"/>
      <c r="K636" s="638"/>
      <c r="L636" s="1106"/>
    </row>
    <row r="637" spans="1:13">
      <c r="A637" s="647"/>
      <c r="B637" s="648" t="s">
        <v>1077</v>
      </c>
      <c r="C637" s="657"/>
      <c r="D637" s="650">
        <f>D634*D635</f>
        <v>24000</v>
      </c>
      <c r="E637" s="650">
        <f t="shared" ref="E637:J637" si="396">E634*E635</f>
        <v>24000</v>
      </c>
      <c r="F637" s="650">
        <f t="shared" si="396"/>
        <v>24000</v>
      </c>
      <c r="G637" s="650">
        <f>G634*G635+G636</f>
        <v>280849.31506849313</v>
      </c>
      <c r="H637" s="650">
        <f t="shared" si="396"/>
        <v>24000</v>
      </c>
      <c r="I637" s="650">
        <f t="shared" si="396"/>
        <v>24000</v>
      </c>
      <c r="J637" s="650">
        <f t="shared" si="396"/>
        <v>24000</v>
      </c>
      <c r="K637" s="651">
        <f>SUM(D637:F637)</f>
        <v>72000</v>
      </c>
      <c r="L637" s="1106">
        <f t="shared" si="386"/>
        <v>352849.31506849313</v>
      </c>
      <c r="M637" s="1492" t="s">
        <v>1933</v>
      </c>
    </row>
    <row r="638" spans="1:13">
      <c r="A638" s="611"/>
      <c r="B638" s="548"/>
      <c r="C638" s="546"/>
      <c r="D638" s="550"/>
      <c r="E638" s="550"/>
      <c r="F638" s="550"/>
      <c r="G638" s="550"/>
      <c r="H638" s="550"/>
      <c r="I638" s="550"/>
      <c r="J638" s="550"/>
      <c r="K638" s="550"/>
      <c r="L638" s="1106"/>
    </row>
    <row r="639" spans="1:13">
      <c r="A639" s="652" t="str">
        <f>'NSP Summary Budget (16-18)'!A99</f>
        <v>3.1.4</v>
      </c>
      <c r="B639" s="661" t="str">
        <f>'NSP Summary Budget (16-18)'!B99</f>
        <v xml:space="preserve">Training of health care managers in priority issues of TB control </v>
      </c>
      <c r="C639" s="633"/>
      <c r="D639" s="634"/>
      <c r="E639" s="634"/>
      <c r="F639" s="634"/>
      <c r="G639" s="969"/>
      <c r="H639" s="969"/>
      <c r="I639" s="969"/>
      <c r="J639" s="969"/>
      <c r="K639" s="635"/>
      <c r="L639" s="1106"/>
    </row>
    <row r="640" spans="1:13">
      <c r="A640" s="653"/>
      <c r="B640" s="640" t="str">
        <f>B12</f>
        <v>Average cost of training, central level</v>
      </c>
      <c r="C640" s="641">
        <f>Training!G292</f>
        <v>5100</v>
      </c>
      <c r="D640" s="642">
        <f t="shared" ref="D640:F640" si="397">C640</f>
        <v>5100</v>
      </c>
      <c r="E640" s="642">
        <f t="shared" si="397"/>
        <v>5100</v>
      </c>
      <c r="F640" s="642">
        <f t="shared" si="397"/>
        <v>5100</v>
      </c>
      <c r="G640" s="642">
        <f t="shared" ref="G640" si="398">F640</f>
        <v>5100</v>
      </c>
      <c r="H640" s="642">
        <f t="shared" ref="H640" si="399">G640</f>
        <v>5100</v>
      </c>
      <c r="I640" s="642">
        <f t="shared" ref="I640" si="400">H640</f>
        <v>5100</v>
      </c>
      <c r="J640" s="642">
        <f t="shared" ref="J640" si="401">I640</f>
        <v>5100</v>
      </c>
      <c r="K640" s="638"/>
      <c r="L640" s="1106"/>
    </row>
    <row r="641" spans="1:13">
      <c r="A641" s="653"/>
      <c r="B641" s="640" t="str">
        <f>B13</f>
        <v>Average cost of training, regional level</v>
      </c>
      <c r="C641" s="641"/>
      <c r="D641" s="642"/>
      <c r="E641" s="642"/>
      <c r="F641" s="642"/>
      <c r="G641" s="642"/>
      <c r="H641" s="642"/>
      <c r="I641" s="642"/>
      <c r="J641" s="642"/>
      <c r="K641" s="638"/>
      <c r="L641" s="1106"/>
    </row>
    <row r="642" spans="1:13">
      <c r="A642" s="653"/>
      <c r="B642" s="654" t="s">
        <v>1080</v>
      </c>
      <c r="C642" s="636"/>
      <c r="D642" s="637">
        <v>1</v>
      </c>
      <c r="E642" s="637">
        <v>1</v>
      </c>
      <c r="F642" s="637">
        <v>1</v>
      </c>
      <c r="G642" s="637">
        <v>1</v>
      </c>
      <c r="H642" s="637">
        <v>1</v>
      </c>
      <c r="I642" s="637">
        <v>1</v>
      </c>
      <c r="J642" s="637">
        <v>1</v>
      </c>
      <c r="K642" s="638"/>
      <c r="L642" s="1106"/>
    </row>
    <row r="643" spans="1:13">
      <c r="A643" s="653"/>
      <c r="B643" s="654" t="s">
        <v>1081</v>
      </c>
      <c r="C643" s="636"/>
      <c r="D643" s="637"/>
      <c r="E643" s="637"/>
      <c r="F643" s="637"/>
      <c r="G643" s="637"/>
      <c r="H643" s="637"/>
      <c r="I643" s="637"/>
      <c r="J643" s="637"/>
      <c r="K643" s="638"/>
      <c r="L643" s="1106"/>
    </row>
    <row r="644" spans="1:13">
      <c r="A644" s="655"/>
      <c r="B644" s="648" t="s">
        <v>1077</v>
      </c>
      <c r="C644" s="657"/>
      <c r="D644" s="650">
        <f>D640*D642+D641*D643</f>
        <v>5100</v>
      </c>
      <c r="E644" s="650">
        <f t="shared" ref="E644:J644" si="402">E640*E642+E641*E643</f>
        <v>5100</v>
      </c>
      <c r="F644" s="650">
        <f t="shared" si="402"/>
        <v>5100</v>
      </c>
      <c r="G644" s="650">
        <f t="shared" si="402"/>
        <v>5100</v>
      </c>
      <c r="H644" s="650">
        <f t="shared" si="402"/>
        <v>5100</v>
      </c>
      <c r="I644" s="650">
        <f t="shared" si="402"/>
        <v>5100</v>
      </c>
      <c r="J644" s="650">
        <f t="shared" si="402"/>
        <v>5100</v>
      </c>
      <c r="K644" s="651">
        <f>SUM(D644:F644)</f>
        <v>15300</v>
      </c>
      <c r="L644" s="1106">
        <f t="shared" si="386"/>
        <v>20400</v>
      </c>
      <c r="M644" s="1492" t="s">
        <v>1933</v>
      </c>
    </row>
    <row r="645" spans="1:13">
      <c r="A645" s="611"/>
      <c r="B645" s="548"/>
      <c r="C645" s="546"/>
      <c r="D645" s="550"/>
      <c r="E645" s="550"/>
      <c r="F645" s="550"/>
      <c r="G645" s="550"/>
      <c r="H645" s="550"/>
      <c r="I645" s="550"/>
      <c r="J645" s="550"/>
      <c r="K645" s="550"/>
      <c r="L645" s="1106"/>
    </row>
    <row r="646" spans="1:13">
      <c r="A646" s="652" t="str">
        <f>'NSP Summary Budget (16-18)'!A100</f>
        <v>3.1.5</v>
      </c>
      <c r="B646" s="661" t="str">
        <f>'NSP Summary Budget (16-18)'!B100</f>
        <v>TB management training of TB service staff: doctors</v>
      </c>
      <c r="C646" s="633"/>
      <c r="D646" s="634"/>
      <c r="E646" s="634"/>
      <c r="F646" s="634"/>
      <c r="G646" s="969"/>
      <c r="H646" s="969"/>
      <c r="I646" s="969"/>
      <c r="J646" s="969"/>
      <c r="K646" s="635"/>
      <c r="L646" s="1106"/>
    </row>
    <row r="647" spans="1:13">
      <c r="A647" s="653"/>
      <c r="B647" s="640" t="str">
        <f>B12</f>
        <v>Average cost of training, central level</v>
      </c>
      <c r="C647" s="641">
        <f>Training!G311</f>
        <v>4400</v>
      </c>
      <c r="D647" s="642">
        <f t="shared" ref="D647:D648" si="403">C647</f>
        <v>4400</v>
      </c>
      <c r="E647" s="642">
        <f t="shared" ref="E647:E648" si="404">D647</f>
        <v>4400</v>
      </c>
      <c r="F647" s="642">
        <f t="shared" ref="F647:F648" si="405">E647</f>
        <v>4400</v>
      </c>
      <c r="G647" s="642">
        <f t="shared" ref="G647:G648" si="406">F647</f>
        <v>4400</v>
      </c>
      <c r="H647" s="642">
        <f t="shared" ref="H647:H648" si="407">G647</f>
        <v>4400</v>
      </c>
      <c r="I647" s="642">
        <f t="shared" ref="I647:I648" si="408">H647</f>
        <v>4400</v>
      </c>
      <c r="J647" s="642">
        <f t="shared" ref="J647:J648" si="409">I647</f>
        <v>4400</v>
      </c>
      <c r="K647" s="638"/>
      <c r="L647" s="1106"/>
    </row>
    <row r="648" spans="1:13">
      <c r="A648" s="653"/>
      <c r="B648" s="640" t="str">
        <f>B13</f>
        <v>Average cost of training, regional level</v>
      </c>
      <c r="C648" s="641">
        <f>Training!G328</f>
        <v>3800</v>
      </c>
      <c r="D648" s="642">
        <f t="shared" si="403"/>
        <v>3800</v>
      </c>
      <c r="E648" s="642">
        <f t="shared" si="404"/>
        <v>3800</v>
      </c>
      <c r="F648" s="642">
        <f t="shared" si="405"/>
        <v>3800</v>
      </c>
      <c r="G648" s="642">
        <f t="shared" si="406"/>
        <v>3800</v>
      </c>
      <c r="H648" s="642">
        <f t="shared" si="407"/>
        <v>3800</v>
      </c>
      <c r="I648" s="642">
        <f t="shared" si="408"/>
        <v>3800</v>
      </c>
      <c r="J648" s="642">
        <f t="shared" si="409"/>
        <v>3800</v>
      </c>
      <c r="K648" s="638"/>
      <c r="L648" s="1106"/>
    </row>
    <row r="649" spans="1:13">
      <c r="A649" s="653"/>
      <c r="B649" s="654" t="s">
        <v>1080</v>
      </c>
      <c r="C649" s="636"/>
      <c r="D649" s="637">
        <v>2</v>
      </c>
      <c r="E649" s="637">
        <v>2</v>
      </c>
      <c r="F649" s="637">
        <v>2</v>
      </c>
      <c r="G649" s="637">
        <v>2</v>
      </c>
      <c r="H649" s="637">
        <v>2</v>
      </c>
      <c r="I649" s="637">
        <v>2</v>
      </c>
      <c r="J649" s="637">
        <v>2</v>
      </c>
      <c r="K649" s="638"/>
      <c r="L649" s="1106"/>
    </row>
    <row r="650" spans="1:13">
      <c r="A650" s="653"/>
      <c r="B650" s="654" t="s">
        <v>1081</v>
      </c>
      <c r="C650" s="636"/>
      <c r="D650" s="637">
        <v>4</v>
      </c>
      <c r="E650" s="637">
        <v>8</v>
      </c>
      <c r="F650" s="637">
        <v>8</v>
      </c>
      <c r="G650" s="637">
        <v>8</v>
      </c>
      <c r="H650" s="637">
        <v>8</v>
      </c>
      <c r="I650" s="637">
        <v>8</v>
      </c>
      <c r="J650" s="637">
        <v>8</v>
      </c>
      <c r="K650" s="638"/>
      <c r="L650" s="1106"/>
    </row>
    <row r="651" spans="1:13">
      <c r="A651" s="655"/>
      <c r="B651" s="648" t="s">
        <v>1077</v>
      </c>
      <c r="C651" s="657"/>
      <c r="D651" s="650">
        <f>D647*D649+D648*D650</f>
        <v>24000</v>
      </c>
      <c r="E651" s="650">
        <f t="shared" ref="E651:J651" si="410">E647*E649+E648*E650</f>
        <v>39200</v>
      </c>
      <c r="F651" s="650">
        <f t="shared" si="410"/>
        <v>39200</v>
      </c>
      <c r="G651" s="650">
        <f t="shared" si="410"/>
        <v>39200</v>
      </c>
      <c r="H651" s="650">
        <f t="shared" si="410"/>
        <v>39200</v>
      </c>
      <c r="I651" s="650">
        <f t="shared" si="410"/>
        <v>39200</v>
      </c>
      <c r="J651" s="650">
        <f t="shared" si="410"/>
        <v>39200</v>
      </c>
      <c r="K651" s="651">
        <f>SUM(D651:F651)</f>
        <v>102400</v>
      </c>
      <c r="L651" s="1106">
        <f t="shared" si="386"/>
        <v>156800</v>
      </c>
      <c r="M651" s="1492" t="s">
        <v>1933</v>
      </c>
    </row>
    <row r="652" spans="1:13">
      <c r="A652" s="611"/>
      <c r="B652" s="548"/>
      <c r="C652" s="546"/>
      <c r="D652" s="550"/>
      <c r="E652" s="550"/>
      <c r="F652" s="550"/>
      <c r="G652" s="550"/>
      <c r="H652" s="550"/>
      <c r="I652" s="550"/>
      <c r="J652" s="550"/>
      <c r="K652" s="550"/>
      <c r="L652" s="1106"/>
    </row>
    <row r="653" spans="1:13">
      <c r="A653" s="652" t="str">
        <f>'NSP Summary Budget (16-18)'!A101</f>
        <v>3.1.6</v>
      </c>
      <c r="B653" s="661" t="str">
        <f>'NSP Summary Budget (16-18)'!B101</f>
        <v>TB management training of TB service staff: nurses</v>
      </c>
      <c r="C653" s="633"/>
      <c r="D653" s="634"/>
      <c r="E653" s="634"/>
      <c r="F653" s="634"/>
      <c r="G653" s="969"/>
      <c r="H653" s="969"/>
      <c r="I653" s="969"/>
      <c r="J653" s="969"/>
      <c r="K653" s="635"/>
      <c r="L653" s="1106"/>
    </row>
    <row r="654" spans="1:13">
      <c r="A654" s="653"/>
      <c r="B654" s="640" t="str">
        <f>B12</f>
        <v>Average cost of training, central level</v>
      </c>
      <c r="C654" s="641"/>
      <c r="D654" s="642"/>
      <c r="E654" s="642"/>
      <c r="F654" s="642"/>
      <c r="G654" s="642"/>
      <c r="H654" s="642"/>
      <c r="I654" s="642"/>
      <c r="J654" s="642"/>
      <c r="K654" s="638"/>
      <c r="L654" s="1106"/>
    </row>
    <row r="655" spans="1:13">
      <c r="A655" s="653"/>
      <c r="B655" s="662" t="str">
        <f>B13</f>
        <v>Average cost of training, regional level</v>
      </c>
      <c r="C655" s="641">
        <f>Training!G347</f>
        <v>2800</v>
      </c>
      <c r="D655" s="642">
        <f t="shared" ref="D655" si="411">C655</f>
        <v>2800</v>
      </c>
      <c r="E655" s="642">
        <f t="shared" ref="E655" si="412">D655</f>
        <v>2800</v>
      </c>
      <c r="F655" s="642">
        <f t="shared" ref="F655" si="413">E655</f>
        <v>2800</v>
      </c>
      <c r="G655" s="642">
        <f t="shared" ref="G655" si="414">F655</f>
        <v>2800</v>
      </c>
      <c r="H655" s="642">
        <f t="shared" ref="H655" si="415">G655</f>
        <v>2800</v>
      </c>
      <c r="I655" s="642">
        <f t="shared" ref="I655" si="416">H655</f>
        <v>2800</v>
      </c>
      <c r="J655" s="642">
        <f t="shared" ref="J655" si="417">I655</f>
        <v>2800</v>
      </c>
      <c r="K655" s="638"/>
      <c r="L655" s="1106"/>
    </row>
    <row r="656" spans="1:13">
      <c r="A656" s="653"/>
      <c r="B656" s="654" t="s">
        <v>1080</v>
      </c>
      <c r="C656" s="636"/>
      <c r="D656" s="637"/>
      <c r="E656" s="637"/>
      <c r="F656" s="637"/>
      <c r="G656" s="637"/>
      <c r="H656" s="637"/>
      <c r="I656" s="637"/>
      <c r="J656" s="637"/>
      <c r="K656" s="638"/>
      <c r="L656" s="1106"/>
    </row>
    <row r="657" spans="1:15">
      <c r="A657" s="653"/>
      <c r="B657" s="654" t="s">
        <v>1081</v>
      </c>
      <c r="C657" s="636"/>
      <c r="D657" s="637">
        <v>8</v>
      </c>
      <c r="E657" s="637">
        <v>16</v>
      </c>
      <c r="F657" s="637">
        <v>16</v>
      </c>
      <c r="G657" s="637">
        <v>16</v>
      </c>
      <c r="H657" s="637">
        <v>16</v>
      </c>
      <c r="I657" s="637">
        <v>16</v>
      </c>
      <c r="J657" s="637">
        <v>16</v>
      </c>
      <c r="K657" s="638"/>
      <c r="L657" s="1106"/>
    </row>
    <row r="658" spans="1:15">
      <c r="A658" s="655"/>
      <c r="B658" s="648" t="s">
        <v>1077</v>
      </c>
      <c r="C658" s="657"/>
      <c r="D658" s="650">
        <f>D654*D656+D655*D657</f>
        <v>22400</v>
      </c>
      <c r="E658" s="650">
        <f t="shared" ref="E658:J658" si="418">E654*E656+E655*E657</f>
        <v>44800</v>
      </c>
      <c r="F658" s="650">
        <f t="shared" si="418"/>
        <v>44800</v>
      </c>
      <c r="G658" s="650">
        <f t="shared" si="418"/>
        <v>44800</v>
      </c>
      <c r="H658" s="650">
        <f t="shared" si="418"/>
        <v>44800</v>
      </c>
      <c r="I658" s="650">
        <f t="shared" si="418"/>
        <v>44800</v>
      </c>
      <c r="J658" s="650">
        <f t="shared" si="418"/>
        <v>44800</v>
      </c>
      <c r="K658" s="651">
        <f>SUM(D658:F658)</f>
        <v>112000</v>
      </c>
      <c r="L658" s="1106">
        <f t="shared" si="386"/>
        <v>179200</v>
      </c>
      <c r="M658" s="1492" t="s">
        <v>1933</v>
      </c>
    </row>
    <row r="659" spans="1:15">
      <c r="A659" s="611"/>
      <c r="B659" s="548"/>
      <c r="C659" s="546"/>
      <c r="D659" s="550"/>
      <c r="E659" s="550"/>
      <c r="F659" s="550"/>
      <c r="G659" s="550"/>
      <c r="H659" s="550"/>
      <c r="I659" s="550"/>
      <c r="J659" s="550"/>
      <c r="K659" s="550"/>
      <c r="L659" s="1106"/>
    </row>
    <row r="660" spans="1:15">
      <c r="A660" s="652" t="str">
        <f>'NSP Summary Budget (16-18)'!A102</f>
        <v>3.1.7</v>
      </c>
      <c r="B660" s="661" t="str">
        <f>'NSP Summary Budget (16-18)'!B102</f>
        <v>Training of PHC providers in TB control</v>
      </c>
      <c r="C660" s="633"/>
      <c r="D660" s="634"/>
      <c r="E660" s="634"/>
      <c r="F660" s="634"/>
      <c r="G660" s="969"/>
      <c r="H660" s="969"/>
      <c r="I660" s="969"/>
      <c r="J660" s="969"/>
      <c r="K660" s="635"/>
      <c r="L660" s="1106"/>
    </row>
    <row r="661" spans="1:15">
      <c r="A661" s="653"/>
      <c r="B661" s="640" t="str">
        <f>B12</f>
        <v>Average cost of training, central level</v>
      </c>
      <c r="C661" s="641">
        <f>Training!G366</f>
        <v>2900</v>
      </c>
      <c r="D661" s="642">
        <f t="shared" ref="D661:D662" si="419">C661</f>
        <v>2900</v>
      </c>
      <c r="E661" s="642">
        <f t="shared" ref="E661:E662" si="420">D661</f>
        <v>2900</v>
      </c>
      <c r="F661" s="642">
        <f t="shared" ref="F661:F662" si="421">E661</f>
        <v>2900</v>
      </c>
      <c r="G661" s="642">
        <f t="shared" ref="G661:G662" si="422">F661</f>
        <v>2900</v>
      </c>
      <c r="H661" s="642">
        <f t="shared" ref="H661:H662" si="423">G661</f>
        <v>2900</v>
      </c>
      <c r="I661" s="642">
        <f t="shared" ref="I661:I662" si="424">H661</f>
        <v>2900</v>
      </c>
      <c r="J661" s="642">
        <f t="shared" ref="J661:J662" si="425">I661</f>
        <v>2900</v>
      </c>
      <c r="K661" s="638"/>
      <c r="L661" s="1106"/>
    </row>
    <row r="662" spans="1:15">
      <c r="A662" s="653"/>
      <c r="B662" s="662" t="str">
        <f>B13</f>
        <v>Average cost of training, regional level</v>
      </c>
      <c r="C662" s="641">
        <f>Training!G383</f>
        <v>3000</v>
      </c>
      <c r="D662" s="642">
        <f t="shared" si="419"/>
        <v>3000</v>
      </c>
      <c r="E662" s="642">
        <f t="shared" si="420"/>
        <v>3000</v>
      </c>
      <c r="F662" s="642">
        <f t="shared" si="421"/>
        <v>3000</v>
      </c>
      <c r="G662" s="642">
        <f t="shared" si="422"/>
        <v>3000</v>
      </c>
      <c r="H662" s="642">
        <f t="shared" si="423"/>
        <v>3000</v>
      </c>
      <c r="I662" s="642">
        <f t="shared" si="424"/>
        <v>3000</v>
      </c>
      <c r="J662" s="642">
        <f t="shared" si="425"/>
        <v>3000</v>
      </c>
      <c r="K662" s="638"/>
      <c r="L662" s="1106"/>
    </row>
    <row r="663" spans="1:15">
      <c r="A663" s="653"/>
      <c r="B663" s="654" t="s">
        <v>1080</v>
      </c>
      <c r="C663" s="636"/>
      <c r="D663" s="637">
        <v>1</v>
      </c>
      <c r="E663" s="637">
        <v>1</v>
      </c>
      <c r="F663" s="637">
        <v>1</v>
      </c>
      <c r="G663" s="637">
        <v>1</v>
      </c>
      <c r="H663" s="637">
        <v>1</v>
      </c>
      <c r="I663" s="637">
        <v>1</v>
      </c>
      <c r="J663" s="637">
        <v>1</v>
      </c>
      <c r="K663" s="638"/>
      <c r="L663" s="1106"/>
    </row>
    <row r="664" spans="1:15">
      <c r="A664" s="653"/>
      <c r="B664" s="654" t="s">
        <v>1081</v>
      </c>
      <c r="C664" s="636"/>
      <c r="D664" s="637">
        <v>0</v>
      </c>
      <c r="E664" s="637">
        <v>64</v>
      </c>
      <c r="F664" s="637">
        <v>64</v>
      </c>
      <c r="G664" s="637">
        <v>64</v>
      </c>
      <c r="H664" s="637">
        <v>64</v>
      </c>
      <c r="I664" s="637">
        <v>64</v>
      </c>
      <c r="J664" s="637">
        <v>64</v>
      </c>
      <c r="K664" s="638"/>
      <c r="L664" s="1106"/>
    </row>
    <row r="665" spans="1:15">
      <c r="A665" s="655"/>
      <c r="B665" s="648" t="s">
        <v>1077</v>
      </c>
      <c r="C665" s="657"/>
      <c r="D665" s="650">
        <f>D661*D663+D662*D664</f>
        <v>2900</v>
      </c>
      <c r="E665" s="650">
        <f t="shared" ref="E665:J665" si="426">E661*E663+E662*E664</f>
        <v>194900</v>
      </c>
      <c r="F665" s="650">
        <f t="shared" si="426"/>
        <v>194900</v>
      </c>
      <c r="G665" s="650">
        <f t="shared" si="426"/>
        <v>194900</v>
      </c>
      <c r="H665" s="650">
        <f t="shared" si="426"/>
        <v>194900</v>
      </c>
      <c r="I665" s="650">
        <f t="shared" si="426"/>
        <v>194900</v>
      </c>
      <c r="J665" s="650">
        <f t="shared" si="426"/>
        <v>194900</v>
      </c>
      <c r="K665" s="651">
        <f>SUM(D665:F665)</f>
        <v>392700</v>
      </c>
      <c r="L665" s="1106">
        <f t="shared" si="386"/>
        <v>779600</v>
      </c>
      <c r="M665" s="1492" t="s">
        <v>1933</v>
      </c>
    </row>
    <row r="666" spans="1:15">
      <c r="A666" s="611"/>
      <c r="B666" s="548"/>
      <c r="C666" s="546"/>
      <c r="D666" s="550"/>
      <c r="E666" s="550"/>
      <c r="F666" s="550"/>
      <c r="G666" s="550"/>
      <c r="H666" s="550"/>
      <c r="I666" s="550"/>
      <c r="J666" s="550"/>
      <c r="K666" s="550"/>
      <c r="L666" s="1106"/>
    </row>
    <row r="667" spans="1:15">
      <c r="A667" s="652" t="str">
        <f>'NSP Summary Budget (16-18)'!A103</f>
        <v>3.1.8</v>
      </c>
      <c r="B667" s="661" t="str">
        <f>'NSP Summary Budget (16-18)'!B103</f>
        <v>National consultants, legal framework and TB ethics</v>
      </c>
      <c r="C667" s="633"/>
      <c r="D667" s="634"/>
      <c r="E667" s="634"/>
      <c r="F667" s="634"/>
      <c r="G667" s="969"/>
      <c r="H667" s="969"/>
      <c r="I667" s="969"/>
      <c r="J667" s="969"/>
      <c r="K667" s="635"/>
      <c r="L667" s="1106"/>
    </row>
    <row r="668" spans="1:15" ht="45">
      <c r="A668" s="653"/>
      <c r="B668" s="654" t="s">
        <v>1079</v>
      </c>
      <c r="C668" s="636"/>
      <c r="D668" s="637">
        <v>0</v>
      </c>
      <c r="E668" s="637">
        <f>3*6</f>
        <v>18</v>
      </c>
      <c r="F668" s="637">
        <f>3*6</f>
        <v>18</v>
      </c>
      <c r="G668" s="637"/>
      <c r="H668" s="637">
        <v>20</v>
      </c>
      <c r="I668" s="637"/>
      <c r="J668" s="637"/>
      <c r="K668" s="638"/>
      <c r="L668" s="1106"/>
      <c r="O668" s="1378" t="s">
        <v>1921</v>
      </c>
    </row>
    <row r="669" spans="1:15">
      <c r="A669" s="653"/>
      <c r="B669" s="654" t="str">
        <f>B10</f>
        <v>Average cost of national consultant per month (gross)</v>
      </c>
      <c r="C669" s="641">
        <f>C10</f>
        <v>600</v>
      </c>
      <c r="D669" s="642">
        <f>C669</f>
        <v>600</v>
      </c>
      <c r="E669" s="642">
        <f>D669</f>
        <v>600</v>
      </c>
      <c r="F669" s="642">
        <f>E669</f>
        <v>600</v>
      </c>
      <c r="G669" s="642"/>
      <c r="H669" s="642">
        <v>600</v>
      </c>
      <c r="I669" s="642"/>
      <c r="J669" s="642"/>
      <c r="K669" s="638"/>
      <c r="L669" s="1106"/>
    </row>
    <row r="670" spans="1:15">
      <c r="A670" s="655"/>
      <c r="B670" s="648" t="s">
        <v>1077</v>
      </c>
      <c r="C670" s="657"/>
      <c r="D670" s="650">
        <f>D668*D669</f>
        <v>0</v>
      </c>
      <c r="E670" s="650">
        <f t="shared" ref="E670:F670" si="427">E668*E669</f>
        <v>10800</v>
      </c>
      <c r="F670" s="650">
        <f t="shared" si="427"/>
        <v>10800</v>
      </c>
      <c r="G670" s="650"/>
      <c r="H670" s="650">
        <f>H668*H669</f>
        <v>12000</v>
      </c>
      <c r="I670" s="650"/>
      <c r="J670" s="650"/>
      <c r="K670" s="651">
        <f>SUM(D670:F670)</f>
        <v>21600</v>
      </c>
      <c r="L670" s="1106">
        <f t="shared" si="386"/>
        <v>12000</v>
      </c>
      <c r="M670" s="1492" t="s">
        <v>1933</v>
      </c>
    </row>
    <row r="671" spans="1:15">
      <c r="A671" s="611"/>
      <c r="B671" s="548"/>
      <c r="C671" s="546"/>
      <c r="D671" s="550"/>
      <c r="E671" s="550"/>
      <c r="F671" s="550"/>
      <c r="G671" s="550"/>
      <c r="H671" s="550"/>
      <c r="I671" s="550"/>
      <c r="J671" s="550"/>
      <c r="K671" s="550"/>
      <c r="L671" s="1106"/>
    </row>
    <row r="672" spans="1:15">
      <c r="A672" s="652" t="str">
        <f>'NSP Summary Budget (16-18)'!A104</f>
        <v>3.1.9</v>
      </c>
      <c r="B672" s="661" t="str">
        <f>'NSP Summary Budget (16-18)'!B104</f>
        <v xml:space="preserve">Training in TB legal and ethical issues </v>
      </c>
      <c r="C672" s="633"/>
      <c r="D672" s="634"/>
      <c r="E672" s="634"/>
      <c r="F672" s="634"/>
      <c r="G672" s="969"/>
      <c r="H672" s="969"/>
      <c r="I672" s="969"/>
      <c r="J672" s="969"/>
      <c r="K672" s="635"/>
      <c r="L672" s="1106"/>
    </row>
    <row r="673" spans="1:16">
      <c r="A673" s="653"/>
      <c r="B673" s="640" t="str">
        <f>B12</f>
        <v>Average cost of training, central level</v>
      </c>
      <c r="C673" s="641">
        <f>Training!G457</f>
        <v>2800</v>
      </c>
      <c r="D673" s="642">
        <f t="shared" ref="D673" si="428">C673</f>
        <v>2800</v>
      </c>
      <c r="E673" s="642">
        <f t="shared" ref="E673" si="429">D673</f>
        <v>2800</v>
      </c>
      <c r="F673" s="642">
        <f t="shared" ref="F673" si="430">E673</f>
        <v>2800</v>
      </c>
      <c r="G673" s="642">
        <f t="shared" ref="G673" si="431">F673</f>
        <v>2800</v>
      </c>
      <c r="H673" s="642">
        <f t="shared" ref="H673" si="432">G673</f>
        <v>2800</v>
      </c>
      <c r="I673" s="642">
        <f t="shared" ref="I673" si="433">H673</f>
        <v>2800</v>
      </c>
      <c r="J673" s="642">
        <f t="shared" ref="J673" si="434">I673</f>
        <v>2800</v>
      </c>
      <c r="K673" s="638"/>
      <c r="L673" s="1106"/>
    </row>
    <row r="674" spans="1:16">
      <c r="A674" s="653"/>
      <c r="B674" s="640" t="str">
        <f>B13</f>
        <v>Average cost of training, regional level</v>
      </c>
      <c r="C674" s="641"/>
      <c r="D674" s="642"/>
      <c r="E674" s="642"/>
      <c r="F674" s="642"/>
      <c r="G674" s="642"/>
      <c r="H674" s="642"/>
      <c r="I674" s="642"/>
      <c r="J674" s="642"/>
      <c r="K674" s="638"/>
      <c r="L674" s="1106"/>
    </row>
    <row r="675" spans="1:16">
      <c r="A675" s="653"/>
      <c r="B675" s="654" t="s">
        <v>1080</v>
      </c>
      <c r="C675" s="636"/>
      <c r="D675" s="637">
        <v>0</v>
      </c>
      <c r="E675" s="637">
        <f>2+14</f>
        <v>16</v>
      </c>
      <c r="F675" s="637">
        <v>2</v>
      </c>
      <c r="G675" s="637">
        <v>8</v>
      </c>
      <c r="H675" s="637">
        <v>8</v>
      </c>
      <c r="I675" s="637">
        <v>8</v>
      </c>
      <c r="J675" s="637">
        <v>8</v>
      </c>
      <c r="K675" s="638"/>
      <c r="L675" s="1106"/>
    </row>
    <row r="676" spans="1:16">
      <c r="A676" s="653"/>
      <c r="B676" s="654" t="s">
        <v>1081</v>
      </c>
      <c r="C676" s="636"/>
      <c r="D676" s="637"/>
      <c r="E676" s="637"/>
      <c r="F676" s="637"/>
      <c r="G676" s="637"/>
      <c r="H676" s="637"/>
      <c r="I676" s="637"/>
      <c r="J676" s="637"/>
      <c r="K676" s="638"/>
      <c r="L676" s="1106"/>
    </row>
    <row r="677" spans="1:16">
      <c r="A677" s="655"/>
      <c r="B677" s="648" t="s">
        <v>1077</v>
      </c>
      <c r="C677" s="657"/>
      <c r="D677" s="650">
        <f>D673*D675+D674*D676</f>
        <v>0</v>
      </c>
      <c r="E677" s="650">
        <f t="shared" ref="E677:J677" si="435">E673*E675+E674*E676</f>
        <v>44800</v>
      </c>
      <c r="F677" s="650">
        <f t="shared" si="435"/>
        <v>5600</v>
      </c>
      <c r="G677" s="650">
        <f t="shared" si="435"/>
        <v>22400</v>
      </c>
      <c r="H677" s="650">
        <f t="shared" si="435"/>
        <v>22400</v>
      </c>
      <c r="I677" s="650">
        <f t="shared" si="435"/>
        <v>22400</v>
      </c>
      <c r="J677" s="650">
        <f t="shared" si="435"/>
        <v>22400</v>
      </c>
      <c r="K677" s="1376">
        <f>SUM(D677:F677)</f>
        <v>50400</v>
      </c>
      <c r="L677" s="1106">
        <f t="shared" si="386"/>
        <v>89600</v>
      </c>
      <c r="M677" s="1492" t="s">
        <v>1933</v>
      </c>
    </row>
    <row r="678" spans="1:16">
      <c r="A678" s="1375" t="s">
        <v>1902</v>
      </c>
      <c r="B678" s="1373" t="s">
        <v>1903</v>
      </c>
      <c r="C678" s="636"/>
      <c r="D678" s="1374"/>
      <c r="E678" s="1374"/>
      <c r="F678" s="1374"/>
      <c r="G678" s="1374"/>
      <c r="H678" s="1374"/>
      <c r="I678" s="1374"/>
      <c r="J678" s="1374"/>
      <c r="K678" s="1374"/>
      <c r="L678" s="1106">
        <f t="shared" si="386"/>
        <v>0</v>
      </c>
    </row>
    <row r="679" spans="1:16" ht="30">
      <c r="A679" s="1372"/>
      <c r="B679" s="1377" t="s">
        <v>1904</v>
      </c>
      <c r="C679" s="636"/>
      <c r="D679" s="1374"/>
      <c r="E679" s="1374"/>
      <c r="F679" s="1374"/>
      <c r="G679" s="1374">
        <v>193613</v>
      </c>
      <c r="H679" s="1374">
        <f>G679</f>
        <v>193613</v>
      </c>
      <c r="I679" s="1374">
        <f>H679</f>
        <v>193613</v>
      </c>
      <c r="J679" s="1374"/>
      <c r="K679" s="1374">
        <f t="shared" ref="K679" si="436">SUM(D679:F679)</f>
        <v>0</v>
      </c>
      <c r="L679" s="1106"/>
    </row>
    <row r="680" spans="1:16" ht="45">
      <c r="A680" s="1372"/>
      <c r="B680" s="1592" t="s">
        <v>1905</v>
      </c>
      <c r="C680" s="636"/>
      <c r="D680" s="1374"/>
      <c r="E680" s="1374"/>
      <c r="F680" s="1374"/>
      <c r="G680" s="1374"/>
      <c r="H680" s="1374"/>
      <c r="I680" s="1374"/>
      <c r="J680" s="1374"/>
      <c r="K680" s="1374"/>
      <c r="L680" s="1106">
        <f t="shared" si="386"/>
        <v>0</v>
      </c>
    </row>
    <row r="681" spans="1:16">
      <c r="A681" s="1372"/>
      <c r="B681" s="1373" t="s">
        <v>1077</v>
      </c>
      <c r="C681" s="636"/>
      <c r="D681" s="1374"/>
      <c r="E681" s="1374"/>
      <c r="F681" s="1374"/>
      <c r="G681" s="1374">
        <f>G679+G680</f>
        <v>193613</v>
      </c>
      <c r="H681" s="1374">
        <f t="shared" ref="H681:I681" si="437">H679+H680</f>
        <v>193613</v>
      </c>
      <c r="I681" s="1374">
        <f t="shared" si="437"/>
        <v>193613</v>
      </c>
      <c r="J681" s="1374"/>
      <c r="K681" s="1374"/>
      <c r="L681" s="1106">
        <f t="shared" si="386"/>
        <v>580839</v>
      </c>
      <c r="M681" s="1492" t="s">
        <v>1933</v>
      </c>
    </row>
    <row r="682" spans="1:16">
      <c r="A682" s="611"/>
      <c r="B682" s="548"/>
      <c r="C682" s="546"/>
      <c r="D682" s="550"/>
      <c r="E682" s="550"/>
      <c r="F682" s="550"/>
      <c r="G682" s="550"/>
      <c r="H682" s="550"/>
      <c r="I682" s="550"/>
      <c r="J682" s="550"/>
      <c r="K682" s="1374"/>
      <c r="L682" s="1106">
        <f t="shared" si="386"/>
        <v>0</v>
      </c>
    </row>
    <row r="683" spans="1:16" ht="18.95" customHeight="1">
      <c r="A683" s="589">
        <f>'NSP Summary Budget (16-18)'!A105</f>
        <v>3.2</v>
      </c>
      <c r="B683" s="1783" t="str">
        <f>'NSP Summary Budget (16-18)'!B105</f>
        <v>Supervision, monitoring and evaluation of the National TB Program</v>
      </c>
      <c r="C683" s="1783"/>
      <c r="D683" s="590"/>
      <c r="E683" s="590"/>
      <c r="F683" s="590"/>
      <c r="G683" s="590"/>
      <c r="H683" s="590"/>
      <c r="I683" s="590"/>
      <c r="J683" s="590"/>
      <c r="K683" s="590"/>
      <c r="L683" s="1487">
        <f>SUM(L687:L729)</f>
        <v>2172440</v>
      </c>
      <c r="O683" s="946"/>
      <c r="P683" s="1488"/>
    </row>
    <row r="684" spans="1:16">
      <c r="A684" s="611"/>
      <c r="B684" s="602"/>
      <c r="C684" s="546"/>
      <c r="D684" s="605"/>
      <c r="E684" s="605"/>
      <c r="F684" s="605"/>
      <c r="G684" s="605"/>
      <c r="H684" s="605"/>
      <c r="I684" s="605"/>
      <c r="J684" s="605"/>
      <c r="K684" s="605"/>
      <c r="L684" s="1106"/>
    </row>
    <row r="685" spans="1:16" s="619" customFormat="1">
      <c r="A685" s="652" t="str">
        <f>'NSP Summary Budget (16-18)'!A106</f>
        <v>3.2.1</v>
      </c>
      <c r="B685" s="661" t="str">
        <f>'NSP Summary Budget (16-18)'!B106</f>
        <v>Central NTP supervision</v>
      </c>
      <c r="C685" s="702"/>
      <c r="D685" s="703"/>
      <c r="E685" s="703"/>
      <c r="F685" s="703"/>
      <c r="G685" s="1100"/>
      <c r="H685" s="1100"/>
      <c r="I685" s="1100"/>
      <c r="J685" s="1100"/>
      <c r="K685" s="704"/>
      <c r="L685" s="1106"/>
    </row>
    <row r="686" spans="1:16" s="619" customFormat="1">
      <c r="A686" s="705"/>
      <c r="B686" s="640" t="str">
        <f>B84</f>
        <v>Cost of central NTP supervision round</v>
      </c>
      <c r="C686" s="641">
        <f>C84</f>
        <v>12500</v>
      </c>
      <c r="D686" s="706">
        <f>C686</f>
        <v>12500</v>
      </c>
      <c r="E686" s="706">
        <f>D686</f>
        <v>12500</v>
      </c>
      <c r="F686" s="706">
        <f>E686</f>
        <v>12500</v>
      </c>
      <c r="G686" s="706">
        <f t="shared" ref="G686:J686" si="438">F686</f>
        <v>12500</v>
      </c>
      <c r="H686" s="706">
        <f t="shared" si="438"/>
        <v>12500</v>
      </c>
      <c r="I686" s="706">
        <f t="shared" si="438"/>
        <v>12500</v>
      </c>
      <c r="J686" s="706">
        <f t="shared" si="438"/>
        <v>12500</v>
      </c>
      <c r="K686" s="707"/>
      <c r="L686" s="1106"/>
    </row>
    <row r="687" spans="1:16">
      <c r="A687" s="653"/>
      <c r="B687" s="654" t="s">
        <v>1594</v>
      </c>
      <c r="C687" s="636"/>
      <c r="D687" s="637">
        <v>2</v>
      </c>
      <c r="E687" s="637">
        <f>D687</f>
        <v>2</v>
      </c>
      <c r="F687" s="637">
        <f>E687</f>
        <v>2</v>
      </c>
      <c r="G687" s="637">
        <v>2</v>
      </c>
      <c r="H687" s="637">
        <v>2</v>
      </c>
      <c r="I687" s="637">
        <v>2</v>
      </c>
      <c r="J687" s="637">
        <v>2</v>
      </c>
      <c r="K687" s="638"/>
      <c r="L687" s="1106"/>
    </row>
    <row r="688" spans="1:16" s="619" customFormat="1">
      <c r="A688" s="708"/>
      <c r="B688" s="709" t="s">
        <v>1077</v>
      </c>
      <c r="C688" s="710"/>
      <c r="D688" s="711">
        <f>D686*D687</f>
        <v>25000</v>
      </c>
      <c r="E688" s="711">
        <f t="shared" ref="E688:J688" si="439">E686*E687</f>
        <v>25000</v>
      </c>
      <c r="F688" s="711">
        <f t="shared" si="439"/>
        <v>25000</v>
      </c>
      <c r="G688" s="711">
        <f t="shared" si="439"/>
        <v>25000</v>
      </c>
      <c r="H688" s="711">
        <f t="shared" si="439"/>
        <v>25000</v>
      </c>
      <c r="I688" s="711">
        <f t="shared" si="439"/>
        <v>25000</v>
      </c>
      <c r="J688" s="711">
        <f t="shared" si="439"/>
        <v>25000</v>
      </c>
      <c r="K688" s="712">
        <f>SUM(D688:F688)</f>
        <v>75000</v>
      </c>
      <c r="L688" s="1106">
        <f t="shared" si="386"/>
        <v>100000</v>
      </c>
      <c r="M688" s="619" t="s">
        <v>1933</v>
      </c>
      <c r="O688" s="619" t="s">
        <v>1935</v>
      </c>
    </row>
    <row r="689" spans="1:15" s="619" customFormat="1">
      <c r="A689" s="620"/>
      <c r="B689" s="617"/>
      <c r="C689" s="588"/>
      <c r="D689" s="618"/>
      <c r="E689" s="618"/>
      <c r="F689" s="618"/>
      <c r="G689" s="618"/>
      <c r="H689" s="618"/>
      <c r="I689" s="618"/>
      <c r="J689" s="618"/>
      <c r="K689" s="618"/>
      <c r="L689" s="1106"/>
    </row>
    <row r="690" spans="1:15" s="619" customFormat="1">
      <c r="A690" s="652" t="str">
        <f>'NSP Summary Budget (16-18)'!A107</f>
        <v>3.2.2</v>
      </c>
      <c r="B690" s="661" t="str">
        <f>'NSP Summary Budget (16-18)'!B107</f>
        <v>Regional NTP supervision</v>
      </c>
      <c r="C690" s="702"/>
      <c r="D690" s="703"/>
      <c r="E690" s="703"/>
      <c r="F690" s="703"/>
      <c r="G690" s="1100"/>
      <c r="H690" s="1100"/>
      <c r="I690" s="1100"/>
      <c r="J690" s="1100"/>
      <c r="K690" s="704"/>
      <c r="L690" s="1106"/>
    </row>
    <row r="691" spans="1:15" s="619" customFormat="1" ht="30">
      <c r="A691" s="705"/>
      <c r="B691" s="640" t="str">
        <f>B85</f>
        <v>Cost of regional NTP supervision round (including PHC facilities)</v>
      </c>
      <c r="C691" s="641">
        <f>C85</f>
        <v>2500</v>
      </c>
      <c r="D691" s="706">
        <f>C691</f>
        <v>2500</v>
      </c>
      <c r="E691" s="706">
        <f>D691</f>
        <v>2500</v>
      </c>
      <c r="F691" s="706">
        <f>E691</f>
        <v>2500</v>
      </c>
      <c r="G691" s="706">
        <f t="shared" ref="G691:J691" si="440">F691</f>
        <v>2500</v>
      </c>
      <c r="H691" s="706">
        <f t="shared" si="440"/>
        <v>2500</v>
      </c>
      <c r="I691" s="706">
        <f t="shared" si="440"/>
        <v>2500</v>
      </c>
      <c r="J691" s="706">
        <f t="shared" si="440"/>
        <v>2500</v>
      </c>
      <c r="K691" s="707"/>
      <c r="L691" s="1106"/>
    </row>
    <row r="692" spans="1:15">
      <c r="A692" s="653"/>
      <c r="B692" s="654" t="s">
        <v>1595</v>
      </c>
      <c r="C692" s="636"/>
      <c r="D692" s="637">
        <v>4</v>
      </c>
      <c r="E692" s="637">
        <f>D692</f>
        <v>4</v>
      </c>
      <c r="F692" s="637">
        <f>E692</f>
        <v>4</v>
      </c>
      <c r="G692" s="637">
        <f t="shared" ref="G692:J692" si="441">F692</f>
        <v>4</v>
      </c>
      <c r="H692" s="637">
        <f t="shared" si="441"/>
        <v>4</v>
      </c>
      <c r="I692" s="637">
        <f t="shared" si="441"/>
        <v>4</v>
      </c>
      <c r="J692" s="637">
        <f t="shared" si="441"/>
        <v>4</v>
      </c>
      <c r="K692" s="638"/>
      <c r="L692" s="1106"/>
    </row>
    <row r="693" spans="1:15" s="619" customFormat="1">
      <c r="A693" s="708"/>
      <c r="B693" s="709" t="s">
        <v>1077</v>
      </c>
      <c r="C693" s="710"/>
      <c r="D693" s="711">
        <f>D691*D692</f>
        <v>10000</v>
      </c>
      <c r="E693" s="711">
        <f t="shared" ref="E693" si="442">E691*E692</f>
        <v>10000</v>
      </c>
      <c r="F693" s="711">
        <f t="shared" ref="F693:J693" si="443">F691*F692</f>
        <v>10000</v>
      </c>
      <c r="G693" s="711">
        <f t="shared" si="443"/>
        <v>10000</v>
      </c>
      <c r="H693" s="711">
        <f t="shared" si="443"/>
        <v>10000</v>
      </c>
      <c r="I693" s="711">
        <f t="shared" si="443"/>
        <v>10000</v>
      </c>
      <c r="J693" s="711">
        <f t="shared" si="443"/>
        <v>10000</v>
      </c>
      <c r="K693" s="712">
        <f>SUM(D693:F693)</f>
        <v>30000</v>
      </c>
      <c r="L693" s="1106">
        <f t="shared" ref="L693:L756" si="444">SUM(G693:J693)</f>
        <v>40000</v>
      </c>
      <c r="M693" s="619" t="s">
        <v>1933</v>
      </c>
      <c r="O693" s="619" t="s">
        <v>1935</v>
      </c>
    </row>
    <row r="694" spans="1:15" s="619" customFormat="1">
      <c r="A694" s="620"/>
      <c r="B694" s="617"/>
      <c r="C694" s="588"/>
      <c r="D694" s="618"/>
      <c r="E694" s="618"/>
      <c r="F694" s="618"/>
      <c r="G694" s="618"/>
      <c r="H694" s="618"/>
      <c r="I694" s="618"/>
      <c r="J694" s="618"/>
      <c r="K694" s="618"/>
      <c r="L694" s="1106"/>
    </row>
    <row r="695" spans="1:15" s="619" customFormat="1">
      <c r="A695" s="652" t="str">
        <f>'NSP Summary Budget (16-18)'!A108</f>
        <v>3.2.3</v>
      </c>
      <c r="B695" s="661" t="str">
        <f>'NSP Summary Budget (16-18)'!B108</f>
        <v>NTP supervision in the penitentiary system</v>
      </c>
      <c r="C695" s="702"/>
      <c r="D695" s="703"/>
      <c r="E695" s="703"/>
      <c r="F695" s="703"/>
      <c r="G695" s="1100"/>
      <c r="H695" s="1100"/>
      <c r="I695" s="1100"/>
      <c r="J695" s="1100"/>
      <c r="K695" s="704"/>
      <c r="L695" s="1106"/>
    </row>
    <row r="696" spans="1:15" s="619" customFormat="1" ht="30">
      <c r="A696" s="705"/>
      <c r="B696" s="640" t="str">
        <f>B86</f>
        <v>Cost of NTP supervision round in the penitentiary system</v>
      </c>
      <c r="C696" s="641">
        <f>C86</f>
        <v>1370</v>
      </c>
      <c r="D696" s="706">
        <f>C696</f>
        <v>1370</v>
      </c>
      <c r="E696" s="706">
        <f>D696</f>
        <v>1370</v>
      </c>
      <c r="F696" s="706">
        <f>E696</f>
        <v>1370</v>
      </c>
      <c r="G696" s="706">
        <f t="shared" ref="G696:J696" si="445">F696</f>
        <v>1370</v>
      </c>
      <c r="H696" s="706">
        <f t="shared" si="445"/>
        <v>1370</v>
      </c>
      <c r="I696" s="706">
        <f t="shared" si="445"/>
        <v>1370</v>
      </c>
      <c r="J696" s="706">
        <f t="shared" si="445"/>
        <v>1370</v>
      </c>
      <c r="K696" s="707"/>
      <c r="L696" s="1106"/>
    </row>
    <row r="697" spans="1:15">
      <c r="A697" s="653"/>
      <c r="B697" s="654" t="s">
        <v>1595</v>
      </c>
      <c r="C697" s="636"/>
      <c r="D697" s="637">
        <v>4</v>
      </c>
      <c r="E697" s="637">
        <f>D697</f>
        <v>4</v>
      </c>
      <c r="F697" s="637">
        <f>E697</f>
        <v>4</v>
      </c>
      <c r="G697" s="637">
        <f t="shared" ref="G697:J697" si="446">F697</f>
        <v>4</v>
      </c>
      <c r="H697" s="637">
        <f t="shared" si="446"/>
        <v>4</v>
      </c>
      <c r="I697" s="637">
        <f t="shared" si="446"/>
        <v>4</v>
      </c>
      <c r="J697" s="637">
        <f t="shared" si="446"/>
        <v>4</v>
      </c>
      <c r="K697" s="638"/>
      <c r="L697" s="1106"/>
    </row>
    <row r="698" spans="1:15" s="619" customFormat="1">
      <c r="A698" s="708"/>
      <c r="B698" s="709" t="s">
        <v>1077</v>
      </c>
      <c r="C698" s="710"/>
      <c r="D698" s="711">
        <f>D696*D697</f>
        <v>5480</v>
      </c>
      <c r="E698" s="711">
        <f t="shared" ref="E698" si="447">E696*E697</f>
        <v>5480</v>
      </c>
      <c r="F698" s="711">
        <f t="shared" ref="F698:J698" si="448">F696*F697</f>
        <v>5480</v>
      </c>
      <c r="G698" s="711">
        <f t="shared" si="448"/>
        <v>5480</v>
      </c>
      <c r="H698" s="711">
        <f t="shared" si="448"/>
        <v>5480</v>
      </c>
      <c r="I698" s="711">
        <f t="shared" si="448"/>
        <v>5480</v>
      </c>
      <c r="J698" s="711">
        <f t="shared" si="448"/>
        <v>5480</v>
      </c>
      <c r="K698" s="712">
        <f>SUM(D698:F698)</f>
        <v>16440</v>
      </c>
      <c r="L698" s="1106">
        <f t="shared" si="444"/>
        <v>21920</v>
      </c>
      <c r="M698" s="619" t="s">
        <v>1933</v>
      </c>
    </row>
    <row r="699" spans="1:15" s="619" customFormat="1">
      <c r="A699" s="620"/>
      <c r="B699" s="617"/>
      <c r="C699" s="588"/>
      <c r="D699" s="618"/>
      <c r="E699" s="618"/>
      <c r="F699" s="618"/>
      <c r="G699" s="618"/>
      <c r="H699" s="618"/>
      <c r="I699" s="618"/>
      <c r="J699" s="618"/>
      <c r="K699" s="618"/>
      <c r="L699" s="1106"/>
    </row>
    <row r="700" spans="1:15" s="619" customFormat="1">
      <c r="A700" s="652" t="str">
        <f>'NSP Summary Budget (16-18)'!A109</f>
        <v>3.2.4</v>
      </c>
      <c r="B700" s="661" t="str">
        <f>'NSP Summary Budget (16-18)'!B109</f>
        <v xml:space="preserve">NTP program coordination meetings </v>
      </c>
      <c r="C700" s="702"/>
      <c r="D700" s="703"/>
      <c r="E700" s="703"/>
      <c r="F700" s="703"/>
      <c r="G700" s="1100"/>
      <c r="H700" s="1100"/>
      <c r="I700" s="1100"/>
      <c r="J700" s="1100"/>
      <c r="K700" s="704"/>
      <c r="L700" s="1106"/>
    </row>
    <row r="701" spans="1:15" s="619" customFormat="1">
      <c r="A701" s="705"/>
      <c r="B701" s="640" t="str">
        <f>B87</f>
        <v>Cost of 1 NTP post-supervision coordination meeting</v>
      </c>
      <c r="C701" s="641">
        <f>C87</f>
        <v>550</v>
      </c>
      <c r="D701" s="706">
        <f>C701</f>
        <v>550</v>
      </c>
      <c r="E701" s="706">
        <f>D701</f>
        <v>550</v>
      </c>
      <c r="F701" s="706">
        <f>E701</f>
        <v>550</v>
      </c>
      <c r="G701" s="706">
        <f t="shared" ref="G701:J701" si="449">F701</f>
        <v>550</v>
      </c>
      <c r="H701" s="706">
        <f t="shared" si="449"/>
        <v>550</v>
      </c>
      <c r="I701" s="706">
        <f t="shared" si="449"/>
        <v>550</v>
      </c>
      <c r="J701" s="706">
        <f t="shared" si="449"/>
        <v>550</v>
      </c>
      <c r="K701" s="707"/>
      <c r="L701" s="1106"/>
    </row>
    <row r="702" spans="1:15">
      <c r="A702" s="653"/>
      <c r="B702" s="654" t="s">
        <v>1596</v>
      </c>
      <c r="C702" s="636"/>
      <c r="D702" s="637">
        <v>4</v>
      </c>
      <c r="E702" s="637">
        <f>D702</f>
        <v>4</v>
      </c>
      <c r="F702" s="637">
        <f>E702</f>
        <v>4</v>
      </c>
      <c r="G702" s="637">
        <f t="shared" ref="G702:J702" si="450">F702</f>
        <v>4</v>
      </c>
      <c r="H702" s="637">
        <f t="shared" si="450"/>
        <v>4</v>
      </c>
      <c r="I702" s="637">
        <f t="shared" si="450"/>
        <v>4</v>
      </c>
      <c r="J702" s="637">
        <f t="shared" si="450"/>
        <v>4</v>
      </c>
      <c r="K702" s="638"/>
      <c r="L702" s="1106"/>
    </row>
    <row r="703" spans="1:15" s="619" customFormat="1">
      <c r="A703" s="708"/>
      <c r="B703" s="709" t="s">
        <v>1077</v>
      </c>
      <c r="C703" s="710"/>
      <c r="D703" s="711">
        <f>D701*D702</f>
        <v>2200</v>
      </c>
      <c r="E703" s="711">
        <f t="shared" ref="E703" si="451">E701*E702</f>
        <v>2200</v>
      </c>
      <c r="F703" s="711">
        <f t="shared" ref="F703:J703" si="452">F701*F702</f>
        <v>2200</v>
      </c>
      <c r="G703" s="711">
        <f t="shared" si="452"/>
        <v>2200</v>
      </c>
      <c r="H703" s="711">
        <f t="shared" si="452"/>
        <v>2200</v>
      </c>
      <c r="I703" s="711">
        <f t="shared" si="452"/>
        <v>2200</v>
      </c>
      <c r="J703" s="711">
        <f t="shared" si="452"/>
        <v>2200</v>
      </c>
      <c r="K703" s="712">
        <f>SUM(D703:F703)</f>
        <v>6600</v>
      </c>
      <c r="L703" s="1106">
        <f t="shared" si="444"/>
        <v>8800</v>
      </c>
      <c r="O703" s="619" t="s">
        <v>1935</v>
      </c>
    </row>
    <row r="704" spans="1:15" s="619" customFormat="1">
      <c r="A704" s="620"/>
      <c r="B704" s="617"/>
      <c r="C704" s="588"/>
      <c r="D704" s="618"/>
      <c r="E704" s="618"/>
      <c r="F704" s="618"/>
      <c r="G704" s="618"/>
      <c r="H704" s="618"/>
      <c r="I704" s="618"/>
      <c r="J704" s="618"/>
      <c r="K704" s="618"/>
      <c r="L704" s="1106"/>
    </row>
    <row r="705" spans="1:15">
      <c r="A705" s="652" t="str">
        <f>'NSP Summary Budget (16-18)'!A110</f>
        <v>3.2.5</v>
      </c>
      <c r="B705" s="661" t="str">
        <f>'NSP Summary Budget (16-18)'!B110</f>
        <v>National consultants, TB information system</v>
      </c>
      <c r="C705" s="633"/>
      <c r="D705" s="634"/>
      <c r="E705" s="634"/>
      <c r="F705" s="634"/>
      <c r="G705" s="969"/>
      <c r="H705" s="969"/>
      <c r="I705" s="969"/>
      <c r="J705" s="969"/>
      <c r="K705" s="635"/>
      <c r="L705" s="1106"/>
    </row>
    <row r="706" spans="1:15">
      <c r="A706" s="653"/>
      <c r="B706" s="654" t="s">
        <v>1079</v>
      </c>
      <c r="C706" s="636"/>
      <c r="D706" s="637">
        <f>1*12+1*6</f>
        <v>18</v>
      </c>
      <c r="E706" s="637">
        <f t="shared" ref="E706:J706" si="453">1*12+1*6</f>
        <v>18</v>
      </c>
      <c r="F706" s="637">
        <f t="shared" si="453"/>
        <v>18</v>
      </c>
      <c r="G706" s="637">
        <f t="shared" si="453"/>
        <v>18</v>
      </c>
      <c r="H706" s="637">
        <f t="shared" si="453"/>
        <v>18</v>
      </c>
      <c r="I706" s="637">
        <f t="shared" si="453"/>
        <v>18</v>
      </c>
      <c r="J706" s="637">
        <f t="shared" si="453"/>
        <v>18</v>
      </c>
      <c r="K706" s="638"/>
      <c r="L706" s="1106"/>
    </row>
    <row r="707" spans="1:15">
      <c r="A707" s="653"/>
      <c r="B707" s="654" t="str">
        <f>B10</f>
        <v>Average cost of national consultant per month (gross)</v>
      </c>
      <c r="C707" s="641">
        <f>C10</f>
        <v>600</v>
      </c>
      <c r="D707" s="642">
        <f>C707</f>
        <v>600</v>
      </c>
      <c r="E707" s="642">
        <f>D707</f>
        <v>600</v>
      </c>
      <c r="F707" s="642">
        <f>E707</f>
        <v>600</v>
      </c>
      <c r="G707" s="642">
        <f t="shared" ref="G707:J707" si="454">F707</f>
        <v>600</v>
      </c>
      <c r="H707" s="642">
        <f t="shared" si="454"/>
        <v>600</v>
      </c>
      <c r="I707" s="642">
        <f t="shared" si="454"/>
        <v>600</v>
      </c>
      <c r="J707" s="642">
        <f t="shared" si="454"/>
        <v>600</v>
      </c>
      <c r="K707" s="638"/>
      <c r="L707" s="1106"/>
    </row>
    <row r="708" spans="1:15">
      <c r="A708" s="655"/>
      <c r="B708" s="648" t="s">
        <v>1077</v>
      </c>
      <c r="C708" s="657"/>
      <c r="D708" s="650">
        <f>D706*D707</f>
        <v>10800</v>
      </c>
      <c r="E708" s="650">
        <f t="shared" ref="E708:J708" si="455">E706*E707</f>
        <v>10800</v>
      </c>
      <c r="F708" s="650">
        <f t="shared" si="455"/>
        <v>10800</v>
      </c>
      <c r="G708" s="650">
        <f t="shared" si="455"/>
        <v>10800</v>
      </c>
      <c r="H708" s="650">
        <f t="shared" si="455"/>
        <v>10800</v>
      </c>
      <c r="I708" s="650">
        <f t="shared" si="455"/>
        <v>10800</v>
      </c>
      <c r="J708" s="650">
        <f t="shared" si="455"/>
        <v>10800</v>
      </c>
      <c r="K708" s="651">
        <f>SUM(D708:F708)</f>
        <v>32400</v>
      </c>
      <c r="L708" s="1106">
        <f t="shared" si="444"/>
        <v>43200</v>
      </c>
      <c r="M708" s="1492" t="s">
        <v>1933</v>
      </c>
      <c r="N708" s="1492"/>
    </row>
    <row r="709" spans="1:15">
      <c r="A709" s="611"/>
      <c r="B709" s="548"/>
      <c r="C709" s="546"/>
      <c r="D709" s="550"/>
      <c r="E709" s="550"/>
      <c r="F709" s="550"/>
      <c r="G709" s="550"/>
      <c r="H709" s="550"/>
      <c r="I709" s="550"/>
      <c r="J709" s="550"/>
      <c r="K709" s="550"/>
      <c r="L709" s="1106"/>
    </row>
    <row r="710" spans="1:15">
      <c r="A710" s="652" t="str">
        <f>'NSP Summary Budget (16-18)'!A111</f>
        <v>3.2.6</v>
      </c>
      <c r="B710" s="661" t="str">
        <f>'NSP Summary Budget (16-18)'!B111</f>
        <v>IT services, maintenance of national TB database</v>
      </c>
      <c r="C710" s="633"/>
      <c r="D710" s="634"/>
      <c r="E710" s="634"/>
      <c r="F710" s="634"/>
      <c r="G710" s="969"/>
      <c r="H710" s="969"/>
      <c r="I710" s="969"/>
      <c r="J710" s="969"/>
      <c r="K710" s="635"/>
      <c r="L710" s="1106"/>
    </row>
    <row r="711" spans="1:15" ht="30">
      <c r="A711" s="653"/>
      <c r="B711" s="654" t="str">
        <f>B89</f>
        <v>Annual cost of IT services for TB information system / database</v>
      </c>
      <c r="C711" s="641">
        <f>C89</f>
        <v>20000</v>
      </c>
      <c r="D711" s="642">
        <f>C711</f>
        <v>20000</v>
      </c>
      <c r="E711" s="642">
        <f>D711</f>
        <v>20000</v>
      </c>
      <c r="F711" s="642">
        <f>E711</f>
        <v>20000</v>
      </c>
      <c r="G711" s="642">
        <f t="shared" ref="G711:J711" si="456">F711</f>
        <v>20000</v>
      </c>
      <c r="H711" s="642">
        <f t="shared" si="456"/>
        <v>20000</v>
      </c>
      <c r="I711" s="642">
        <f t="shared" si="456"/>
        <v>20000</v>
      </c>
      <c r="J711" s="642">
        <f t="shared" si="456"/>
        <v>20000</v>
      </c>
      <c r="K711" s="638"/>
      <c r="L711" s="1106"/>
    </row>
    <row r="712" spans="1:15">
      <c r="A712" s="655"/>
      <c r="B712" s="648" t="s">
        <v>1077</v>
      </c>
      <c r="C712" s="657"/>
      <c r="D712" s="650">
        <f>D711</f>
        <v>20000</v>
      </c>
      <c r="E712" s="650">
        <f t="shared" ref="E712:J712" si="457">E711</f>
        <v>20000</v>
      </c>
      <c r="F712" s="650">
        <f t="shared" si="457"/>
        <v>20000</v>
      </c>
      <c r="G712" s="650">
        <f t="shared" si="457"/>
        <v>20000</v>
      </c>
      <c r="H712" s="650">
        <f t="shared" si="457"/>
        <v>20000</v>
      </c>
      <c r="I712" s="650">
        <f t="shared" si="457"/>
        <v>20000</v>
      </c>
      <c r="J712" s="650">
        <f t="shared" si="457"/>
        <v>20000</v>
      </c>
      <c r="K712" s="651">
        <f>SUM(D712:F712)</f>
        <v>60000</v>
      </c>
      <c r="L712" s="1106">
        <f t="shared" si="444"/>
        <v>80000</v>
      </c>
      <c r="M712" s="1492"/>
      <c r="N712" s="1492"/>
      <c r="O712" s="1492" t="s">
        <v>1935</v>
      </c>
    </row>
    <row r="713" spans="1:15">
      <c r="A713" s="611"/>
      <c r="B713" s="548"/>
      <c r="C713" s="546"/>
      <c r="D713" s="550"/>
      <c r="E713" s="550"/>
      <c r="F713" s="550"/>
      <c r="G713" s="550"/>
      <c r="H713" s="550"/>
      <c r="I713" s="550"/>
      <c r="J713" s="550"/>
      <c r="K713" s="550"/>
      <c r="L713" s="1106"/>
    </row>
    <row r="714" spans="1:15">
      <c r="A714" s="652" t="str">
        <f>'NSP Summary Budget (16-18)'!A112</f>
        <v>3.2.7</v>
      </c>
      <c r="B714" s="661" t="str">
        <f>'NSP Summary Budget (16-18)'!B112</f>
        <v>Printing of TB guidelines, R&amp;R forms and registers</v>
      </c>
      <c r="C714" s="633"/>
      <c r="D714" s="634"/>
      <c r="E714" s="634"/>
      <c r="F714" s="634"/>
      <c r="G714" s="969"/>
      <c r="H714" s="969"/>
      <c r="I714" s="969"/>
      <c r="J714" s="969"/>
      <c r="K714" s="635"/>
      <c r="L714" s="1106"/>
    </row>
    <row r="715" spans="1:15">
      <c r="A715" s="653"/>
      <c r="B715" s="654" t="str">
        <f>B90</f>
        <v xml:space="preserve">Annual cost of printing (NTP) </v>
      </c>
      <c r="C715" s="641">
        <f>C90</f>
        <v>12000</v>
      </c>
      <c r="D715" s="642">
        <f>C715</f>
        <v>12000</v>
      </c>
      <c r="E715" s="642">
        <f>D715</f>
        <v>12000</v>
      </c>
      <c r="F715" s="642">
        <f>E715</f>
        <v>12000</v>
      </c>
      <c r="G715" s="642">
        <f t="shared" ref="G715:J715" si="458">F715</f>
        <v>12000</v>
      </c>
      <c r="H715" s="642">
        <f t="shared" si="458"/>
        <v>12000</v>
      </c>
      <c r="I715" s="642">
        <f t="shared" si="458"/>
        <v>12000</v>
      </c>
      <c r="J715" s="642">
        <f t="shared" si="458"/>
        <v>12000</v>
      </c>
      <c r="K715" s="638"/>
      <c r="L715" s="1106"/>
    </row>
    <row r="716" spans="1:15">
      <c r="A716" s="655"/>
      <c r="B716" s="648" t="s">
        <v>1077</v>
      </c>
      <c r="C716" s="657"/>
      <c r="D716" s="650">
        <f>D715</f>
        <v>12000</v>
      </c>
      <c r="E716" s="650">
        <f t="shared" ref="E716" si="459">E715</f>
        <v>12000</v>
      </c>
      <c r="F716" s="650">
        <f t="shared" ref="F716:J716" si="460">F715</f>
        <v>12000</v>
      </c>
      <c r="G716" s="650">
        <f t="shared" si="460"/>
        <v>12000</v>
      </c>
      <c r="H716" s="650">
        <f t="shared" si="460"/>
        <v>12000</v>
      </c>
      <c r="I716" s="650">
        <f t="shared" si="460"/>
        <v>12000</v>
      </c>
      <c r="J716" s="650">
        <f t="shared" si="460"/>
        <v>12000</v>
      </c>
      <c r="K716" s="651">
        <f>SUM(D716:F716)</f>
        <v>36000</v>
      </c>
      <c r="L716" s="1106">
        <f t="shared" si="444"/>
        <v>48000</v>
      </c>
      <c r="M716" s="1492" t="s">
        <v>1933</v>
      </c>
      <c r="N716" s="1492"/>
    </row>
    <row r="717" spans="1:15">
      <c r="A717" s="611"/>
      <c r="B717" s="548"/>
      <c r="C717" s="546"/>
      <c r="D717" s="550"/>
      <c r="E717" s="550"/>
      <c r="F717" s="550"/>
      <c r="G717" s="550"/>
      <c r="H717" s="550"/>
      <c r="I717" s="550"/>
      <c r="J717" s="550"/>
      <c r="K717" s="550"/>
      <c r="L717" s="1106"/>
    </row>
    <row r="718" spans="1:15" s="619" customFormat="1">
      <c r="A718" s="652" t="str">
        <f>'NSP Summary Budget (16-18)'!A113</f>
        <v>3.2.8</v>
      </c>
      <c r="B718" s="661" t="str">
        <f>'NSP Summary Budget (16-18)'!B113</f>
        <v>Human resources support to program supervision, M&amp;E</v>
      </c>
      <c r="C718" s="702"/>
      <c r="D718" s="703"/>
      <c r="E718" s="703"/>
      <c r="F718" s="703"/>
      <c r="G718" s="1100"/>
      <c r="H718" s="1100"/>
      <c r="I718" s="1100"/>
      <c r="J718" s="1100"/>
      <c r="K718" s="704"/>
      <c r="L718" s="1106"/>
    </row>
    <row r="719" spans="1:15" s="619" customFormat="1" ht="45">
      <c r="A719" s="705"/>
      <c r="B719" s="664" t="str">
        <f>B92</f>
        <v>Human resources costs for project M&amp;E (NCTLD, regional coordinators, prisons and database management)</v>
      </c>
      <c r="C719" s="713">
        <f>C92</f>
        <v>202700</v>
      </c>
      <c r="D719" s="706">
        <f t="shared" ref="D719:F719" si="461">C719</f>
        <v>202700</v>
      </c>
      <c r="E719" s="706">
        <f t="shared" si="461"/>
        <v>202700</v>
      </c>
      <c r="F719" s="706">
        <f t="shared" si="461"/>
        <v>202700</v>
      </c>
      <c r="G719" s="706">
        <f t="shared" ref="G719" si="462">F719</f>
        <v>202700</v>
      </c>
      <c r="H719" s="706">
        <f t="shared" ref="H719" si="463">G719</f>
        <v>202700</v>
      </c>
      <c r="I719" s="706">
        <f t="shared" ref="I719" si="464">H719</f>
        <v>202700</v>
      </c>
      <c r="J719" s="706">
        <f t="shared" ref="J719" si="465">I719</f>
        <v>202700</v>
      </c>
      <c r="K719" s="707"/>
      <c r="L719" s="1106"/>
    </row>
    <row r="720" spans="1:15" s="619" customFormat="1">
      <c r="A720" s="708"/>
      <c r="B720" s="709" t="s">
        <v>1077</v>
      </c>
      <c r="C720" s="710"/>
      <c r="D720" s="711">
        <f>SUM(D719:D719)</f>
        <v>202700</v>
      </c>
      <c r="E720" s="711">
        <f>SUM(E719:E719)</f>
        <v>202700</v>
      </c>
      <c r="F720" s="711">
        <f>SUM(F719:F719)</f>
        <v>202700</v>
      </c>
      <c r="G720" s="711">
        <f t="shared" ref="G720:J720" si="466">SUM(G719:G719)</f>
        <v>202700</v>
      </c>
      <c r="H720" s="711">
        <f t="shared" si="466"/>
        <v>202700</v>
      </c>
      <c r="I720" s="711">
        <f t="shared" si="466"/>
        <v>202700</v>
      </c>
      <c r="J720" s="711">
        <f t="shared" si="466"/>
        <v>202700</v>
      </c>
      <c r="K720" s="712">
        <f>SUM(D720:F720)</f>
        <v>608100</v>
      </c>
      <c r="L720" s="1106">
        <f t="shared" si="444"/>
        <v>810800</v>
      </c>
      <c r="M720" s="619" t="s">
        <v>1933</v>
      </c>
      <c r="O720" s="619" t="s">
        <v>1935</v>
      </c>
    </row>
    <row r="721" spans="1:14" s="619" customFormat="1">
      <c r="A721" s="620"/>
      <c r="B721" s="617"/>
      <c r="C721" s="588"/>
      <c r="D721" s="618"/>
      <c r="E721" s="618"/>
      <c r="F721" s="618"/>
      <c r="G721" s="618"/>
      <c r="H721" s="618"/>
      <c r="I721" s="618"/>
      <c r="J721" s="618"/>
      <c r="K721" s="618"/>
      <c r="L721" s="1106"/>
    </row>
    <row r="722" spans="1:14">
      <c r="A722" s="652" t="str">
        <f>'NSP Summary Budget (16-18)'!A114</f>
        <v>3.2.9</v>
      </c>
      <c r="B722" s="632" t="str">
        <f>'NSP Summary Budget (16-18)'!B114</f>
        <v>WHO reviews of the National TB Program</v>
      </c>
      <c r="C722" s="633"/>
      <c r="D722" s="634"/>
      <c r="E722" s="634"/>
      <c r="F722" s="634"/>
      <c r="G722" s="969"/>
      <c r="H722" s="969"/>
      <c r="I722" s="969"/>
      <c r="J722" s="969"/>
      <c r="K722" s="635"/>
      <c r="L722" s="1106"/>
    </row>
    <row r="723" spans="1:14">
      <c r="A723" s="653"/>
      <c r="B723" s="640" t="str">
        <f>B93</f>
        <v xml:space="preserve">Cost of WHO review of the national TB program </v>
      </c>
      <c r="C723" s="641">
        <f>C93</f>
        <v>97300</v>
      </c>
      <c r="D723" s="642">
        <f>C723</f>
        <v>97300</v>
      </c>
      <c r="E723" s="642">
        <f>D723</f>
        <v>97300</v>
      </c>
      <c r="F723" s="642">
        <f>E723</f>
        <v>97300</v>
      </c>
      <c r="G723" s="642">
        <f t="shared" ref="G723:J723" si="467">F723</f>
        <v>97300</v>
      </c>
      <c r="H723" s="642">
        <f t="shared" si="467"/>
        <v>97300</v>
      </c>
      <c r="I723" s="642">
        <f t="shared" si="467"/>
        <v>97300</v>
      </c>
      <c r="J723" s="642">
        <f t="shared" si="467"/>
        <v>97300</v>
      </c>
      <c r="K723" s="638"/>
      <c r="L723" s="1106"/>
    </row>
    <row r="724" spans="1:14">
      <c r="A724" s="653"/>
      <c r="B724" s="654" t="s">
        <v>1108</v>
      </c>
      <c r="C724" s="636"/>
      <c r="D724" s="637">
        <v>0</v>
      </c>
      <c r="E724" s="637">
        <v>1</v>
      </c>
      <c r="F724" s="637">
        <v>0</v>
      </c>
      <c r="G724" s="637">
        <v>1</v>
      </c>
      <c r="H724" s="637">
        <v>0</v>
      </c>
      <c r="I724" s="637">
        <v>1</v>
      </c>
      <c r="J724" s="637">
        <v>0</v>
      </c>
      <c r="K724" s="638"/>
      <c r="L724" s="1106"/>
    </row>
    <row r="725" spans="1:14">
      <c r="A725" s="655"/>
      <c r="B725" s="648" t="s">
        <v>1077</v>
      </c>
      <c r="C725" s="657"/>
      <c r="D725" s="650">
        <f>D723*D724</f>
        <v>0</v>
      </c>
      <c r="E725" s="650">
        <f t="shared" ref="E725:J725" si="468">E723*E724</f>
        <v>97300</v>
      </c>
      <c r="F725" s="650">
        <f t="shared" si="468"/>
        <v>0</v>
      </c>
      <c r="G725" s="650">
        <f t="shared" si="468"/>
        <v>97300</v>
      </c>
      <c r="H725" s="650">
        <f t="shared" si="468"/>
        <v>0</v>
      </c>
      <c r="I725" s="650">
        <f t="shared" si="468"/>
        <v>97300</v>
      </c>
      <c r="J725" s="650">
        <f t="shared" si="468"/>
        <v>0</v>
      </c>
      <c r="K725" s="651">
        <f>SUM(D725:F725)</f>
        <v>97300</v>
      </c>
      <c r="L725" s="1106">
        <f t="shared" si="444"/>
        <v>194600</v>
      </c>
      <c r="M725" s="1492" t="s">
        <v>1933</v>
      </c>
      <c r="N725" s="1492"/>
    </row>
    <row r="726" spans="1:14">
      <c r="A726" s="611"/>
      <c r="B726" s="548"/>
      <c r="C726" s="546"/>
      <c r="D726" s="550"/>
      <c r="E726" s="550"/>
      <c r="F726" s="550"/>
      <c r="G726" s="550"/>
      <c r="H726" s="550"/>
      <c r="I726" s="550"/>
      <c r="J726" s="550"/>
      <c r="K726" s="550"/>
      <c r="L726" s="1106"/>
    </row>
    <row r="727" spans="1:14" s="619" customFormat="1">
      <c r="A727" s="652" t="str">
        <f>'NSP Summary Budget (16-18)'!A115</f>
        <v>3.2.10</v>
      </c>
      <c r="B727" s="661" t="str">
        <f>'NSP Summary Budget (16-18)'!B115</f>
        <v>Management and administration costs of the Global Fund TB project</v>
      </c>
      <c r="C727" s="702"/>
      <c r="D727" s="703"/>
      <c r="E727" s="703"/>
      <c r="F727" s="703"/>
      <c r="G727" s="1100"/>
      <c r="H727" s="1100"/>
      <c r="I727" s="1100"/>
      <c r="J727" s="1100"/>
      <c r="K727" s="704"/>
      <c r="L727" s="1106"/>
    </row>
    <row r="728" spans="1:14" s="619" customFormat="1">
      <c r="A728" s="705"/>
      <c r="B728" s="664" t="s">
        <v>1824</v>
      </c>
      <c r="C728" s="713"/>
      <c r="D728" s="706">
        <f>208383*2</f>
        <v>416766</v>
      </c>
      <c r="E728" s="706">
        <v>324260</v>
      </c>
      <c r="F728" s="706">
        <v>206280</v>
      </c>
      <c r="G728" s="706">
        <v>206280</v>
      </c>
      <c r="H728" s="706">
        <v>206280</v>
      </c>
      <c r="I728" s="706">
        <v>206280</v>
      </c>
      <c r="J728" s="706">
        <v>206280</v>
      </c>
      <c r="K728" s="707"/>
      <c r="L728" s="1106"/>
    </row>
    <row r="729" spans="1:14" s="619" customFormat="1">
      <c r="A729" s="708"/>
      <c r="B729" s="709" t="s">
        <v>1077</v>
      </c>
      <c r="C729" s="710"/>
      <c r="D729" s="711">
        <f>SUM(D728:D728)</f>
        <v>416766</v>
      </c>
      <c r="E729" s="711">
        <f>SUM(E728:E728)</f>
        <v>324260</v>
      </c>
      <c r="F729" s="711">
        <f>SUM(F728:F728)</f>
        <v>206280</v>
      </c>
      <c r="G729" s="711">
        <f t="shared" ref="G729:J729" si="469">SUM(G728:G728)</f>
        <v>206280</v>
      </c>
      <c r="H729" s="711">
        <f t="shared" si="469"/>
        <v>206280</v>
      </c>
      <c r="I729" s="711">
        <f t="shared" si="469"/>
        <v>206280</v>
      </c>
      <c r="J729" s="711">
        <f t="shared" si="469"/>
        <v>206280</v>
      </c>
      <c r="K729" s="712">
        <f>SUM(D729:F729)</f>
        <v>947306</v>
      </c>
      <c r="L729" s="1106">
        <f t="shared" si="444"/>
        <v>825120</v>
      </c>
      <c r="M729" s="619" t="s">
        <v>1933</v>
      </c>
    </row>
    <row r="730" spans="1:14">
      <c r="A730" s="611"/>
      <c r="B730" s="548"/>
      <c r="C730" s="546"/>
      <c r="D730" s="550"/>
      <c r="E730" s="550"/>
      <c r="F730" s="550"/>
      <c r="G730" s="550"/>
      <c r="H730" s="550"/>
      <c r="I730" s="550"/>
      <c r="J730" s="550"/>
      <c r="K730" s="550"/>
      <c r="L730" s="1106"/>
    </row>
    <row r="731" spans="1:14" ht="31.15" customHeight="1">
      <c r="A731" s="589">
        <f>'NSP Summary Budget (16-18)'!A116</f>
        <v>3.3</v>
      </c>
      <c r="B731" s="1783" t="str">
        <f>'NSP Summary Budget (16-18)'!B116</f>
        <v>Advocacy, communication, social mobilization (ACSM) and civil society engagement for TB control</v>
      </c>
      <c r="C731" s="1783"/>
      <c r="D731" s="590"/>
      <c r="E731" s="590"/>
      <c r="F731" s="590"/>
      <c r="G731" s="590"/>
      <c r="H731" s="590"/>
      <c r="I731" s="590"/>
      <c r="J731" s="590"/>
      <c r="K731" s="590"/>
      <c r="L731" s="1490">
        <f>SUM(L733:L773)</f>
        <v>1937075</v>
      </c>
    </row>
    <row r="732" spans="1:14">
      <c r="A732" s="611"/>
      <c r="B732" s="602"/>
      <c r="C732" s="546"/>
      <c r="D732" s="605"/>
      <c r="E732" s="605"/>
      <c r="F732" s="605"/>
      <c r="G732" s="605"/>
      <c r="H732" s="605"/>
      <c r="I732" s="605"/>
      <c r="J732" s="605"/>
      <c r="K732" s="605"/>
      <c r="L732" s="1106"/>
    </row>
    <row r="733" spans="1:14">
      <c r="A733" s="652" t="str">
        <f>'NSP Summary Budget (16-18)'!A117</f>
        <v>3.3.1</v>
      </c>
      <c r="B733" s="661" t="str">
        <f>'NSP Summary Budget (16-18)'!B117</f>
        <v>Support to the National Stop TB Partnership</v>
      </c>
      <c r="C733" s="633"/>
      <c r="D733" s="634"/>
      <c r="E733" s="634"/>
      <c r="F733" s="634"/>
      <c r="G733" s="969"/>
      <c r="H733" s="969"/>
      <c r="I733" s="969"/>
      <c r="J733" s="969"/>
      <c r="K733" s="635"/>
      <c r="L733" s="1106"/>
    </row>
    <row r="734" spans="1:14">
      <c r="A734" s="653"/>
      <c r="B734" s="640" t="str">
        <f>B11</f>
        <v>'Standard' cost of TWG per year</v>
      </c>
      <c r="C734" s="641">
        <f>C11</f>
        <v>12000</v>
      </c>
      <c r="D734" s="642">
        <f>C734</f>
        <v>12000</v>
      </c>
      <c r="E734" s="642">
        <f>D734</f>
        <v>12000</v>
      </c>
      <c r="F734" s="642">
        <f>E734</f>
        <v>12000</v>
      </c>
      <c r="G734" s="642">
        <f t="shared" ref="G734:J734" si="470">F734</f>
        <v>12000</v>
      </c>
      <c r="H734" s="642">
        <f t="shared" si="470"/>
        <v>12000</v>
      </c>
      <c r="I734" s="642">
        <f t="shared" si="470"/>
        <v>12000</v>
      </c>
      <c r="J734" s="642">
        <f t="shared" si="470"/>
        <v>12000</v>
      </c>
      <c r="K734" s="638"/>
      <c r="L734" s="1106"/>
    </row>
    <row r="735" spans="1:14">
      <c r="A735" s="653"/>
      <c r="B735" s="654" t="s">
        <v>1078</v>
      </c>
      <c r="C735" s="636"/>
      <c r="D735" s="672">
        <v>0.5</v>
      </c>
      <c r="E735" s="672">
        <v>1</v>
      </c>
      <c r="F735" s="672">
        <v>1</v>
      </c>
      <c r="G735" s="672">
        <v>1</v>
      </c>
      <c r="H735" s="672">
        <v>1</v>
      </c>
      <c r="I735" s="672">
        <v>1</v>
      </c>
      <c r="J735" s="672">
        <v>1</v>
      </c>
      <c r="K735" s="638"/>
      <c r="L735" s="1106"/>
    </row>
    <row r="736" spans="1:14">
      <c r="A736" s="655"/>
      <c r="B736" s="648" t="s">
        <v>1077</v>
      </c>
      <c r="C736" s="656"/>
      <c r="D736" s="650">
        <f>D734*D735</f>
        <v>6000</v>
      </c>
      <c r="E736" s="650">
        <f t="shared" ref="E736:J736" si="471">E734*E735</f>
        <v>12000</v>
      </c>
      <c r="F736" s="650">
        <f t="shared" si="471"/>
        <v>12000</v>
      </c>
      <c r="G736" s="650">
        <f t="shared" si="471"/>
        <v>12000</v>
      </c>
      <c r="H736" s="650">
        <f t="shared" si="471"/>
        <v>12000</v>
      </c>
      <c r="I736" s="650">
        <f t="shared" si="471"/>
        <v>12000</v>
      </c>
      <c r="J736" s="650">
        <f t="shared" si="471"/>
        <v>12000</v>
      </c>
      <c r="K736" s="651">
        <f>SUM(D736:F736)</f>
        <v>30000</v>
      </c>
      <c r="L736" s="1106">
        <f t="shared" si="444"/>
        <v>48000</v>
      </c>
      <c r="M736" s="1492" t="s">
        <v>1933</v>
      </c>
      <c r="N736" s="1492"/>
    </row>
    <row r="737" spans="1:14">
      <c r="A737" s="611"/>
      <c r="B737" s="548"/>
      <c r="C737" s="549"/>
      <c r="D737" s="550"/>
      <c r="E737" s="550"/>
      <c r="F737" s="550"/>
      <c r="G737" s="550"/>
      <c r="H737" s="550"/>
      <c r="I737" s="550"/>
      <c r="J737" s="550"/>
      <c r="K737" s="550"/>
      <c r="L737" s="1106"/>
    </row>
    <row r="738" spans="1:14">
      <c r="A738" s="652" t="str">
        <f>'NSP Summary Budget (16-18)'!A118</f>
        <v>3.3.2</v>
      </c>
      <c r="B738" s="661" t="str">
        <f>'NSP Summary Budget (16-18)'!B118</f>
        <v>NGO projects for innovative approaches in adherence support</v>
      </c>
      <c r="C738" s="633"/>
      <c r="D738" s="634"/>
      <c r="E738" s="634"/>
      <c r="F738" s="634"/>
      <c r="G738" s="969"/>
      <c r="H738" s="969"/>
      <c r="I738" s="969"/>
      <c r="J738" s="969"/>
      <c r="K738" s="635"/>
      <c r="L738" s="1106"/>
    </row>
    <row r="739" spans="1:14">
      <c r="A739" s="653"/>
      <c r="B739" s="654" t="str">
        <f>B95</f>
        <v>Average annual cost of one NGO project</v>
      </c>
      <c r="C739" s="641">
        <f>C95</f>
        <v>60000</v>
      </c>
      <c r="D739" s="642">
        <f>C739</f>
        <v>60000</v>
      </c>
      <c r="E739" s="642">
        <f>D739</f>
        <v>60000</v>
      </c>
      <c r="F739" s="642">
        <f>E739</f>
        <v>60000</v>
      </c>
      <c r="G739" s="642">
        <f t="shared" ref="G739:J739" si="472">F739</f>
        <v>60000</v>
      </c>
      <c r="H739" s="642">
        <f t="shared" si="472"/>
        <v>60000</v>
      </c>
      <c r="I739" s="642">
        <f t="shared" si="472"/>
        <v>60000</v>
      </c>
      <c r="J739" s="642">
        <f t="shared" si="472"/>
        <v>60000</v>
      </c>
      <c r="K739" s="638"/>
      <c r="L739" s="1106"/>
    </row>
    <row r="740" spans="1:14">
      <c r="A740" s="653"/>
      <c r="B740" s="654" t="s">
        <v>1107</v>
      </c>
      <c r="C740" s="641"/>
      <c r="D740" s="642">
        <f>1*100%+1*100%+1*0%+1*0%</f>
        <v>2</v>
      </c>
      <c r="E740" s="642">
        <f>1*100%+1*100%+1*100%+1*100%</f>
        <v>4</v>
      </c>
      <c r="F740" s="642">
        <f>1*100%+1*100%+1*100%+1*100%</f>
        <v>4</v>
      </c>
      <c r="G740" s="642">
        <v>4</v>
      </c>
      <c r="H740" s="642">
        <v>4</v>
      </c>
      <c r="I740" s="642">
        <v>4</v>
      </c>
      <c r="J740" s="642">
        <v>4</v>
      </c>
      <c r="K740" s="638"/>
      <c r="L740" s="1106"/>
    </row>
    <row r="741" spans="1:14">
      <c r="A741" s="655"/>
      <c r="B741" s="648" t="s">
        <v>1077</v>
      </c>
      <c r="C741" s="657"/>
      <c r="D741" s="650">
        <f>D739*D740</f>
        <v>120000</v>
      </c>
      <c r="E741" s="650">
        <f t="shared" ref="E741:J741" si="473">E739*E740</f>
        <v>240000</v>
      </c>
      <c r="F741" s="650">
        <f t="shared" si="473"/>
        <v>240000</v>
      </c>
      <c r="G741" s="650">
        <f t="shared" si="473"/>
        <v>240000</v>
      </c>
      <c r="H741" s="650">
        <f t="shared" si="473"/>
        <v>240000</v>
      </c>
      <c r="I741" s="650">
        <f t="shared" si="473"/>
        <v>240000</v>
      </c>
      <c r="J741" s="650">
        <f t="shared" si="473"/>
        <v>240000</v>
      </c>
      <c r="K741" s="651">
        <f>SUM(D741:F741)</f>
        <v>600000</v>
      </c>
      <c r="L741" s="1106">
        <f t="shared" si="444"/>
        <v>960000</v>
      </c>
      <c r="M741" s="1492" t="s">
        <v>1933</v>
      </c>
      <c r="N741" s="1492"/>
    </row>
    <row r="742" spans="1:14">
      <c r="A742" s="611"/>
      <c r="B742" s="548"/>
      <c r="C742" s="546"/>
      <c r="D742" s="550"/>
      <c r="E742" s="550"/>
      <c r="F742" s="550"/>
      <c r="G742" s="550"/>
      <c r="H742" s="550"/>
      <c r="I742" s="550"/>
      <c r="J742" s="550"/>
      <c r="K742" s="550"/>
      <c r="L742" s="1106"/>
    </row>
    <row r="743" spans="1:14">
      <c r="A743" s="652" t="str">
        <f>'NSP Summary Budget (16-18)'!A119</f>
        <v>3.3.3</v>
      </c>
      <c r="B743" s="661" t="str">
        <f>'NSP Summary Budget (16-18)'!B119</f>
        <v xml:space="preserve">NGO projects for case detection, case management and prevention among risk groups </v>
      </c>
      <c r="C743" s="633"/>
      <c r="D743" s="634"/>
      <c r="E743" s="634"/>
      <c r="F743" s="634"/>
      <c r="G743" s="969"/>
      <c r="H743" s="969"/>
      <c r="I743" s="969"/>
      <c r="J743" s="969"/>
      <c r="K743" s="635"/>
      <c r="L743" s="1106"/>
    </row>
    <row r="744" spans="1:14">
      <c r="A744" s="653"/>
      <c r="B744" s="654" t="str">
        <f>B95</f>
        <v>Average annual cost of one NGO project</v>
      </c>
      <c r="C744" s="641">
        <f>C95</f>
        <v>60000</v>
      </c>
      <c r="D744" s="642">
        <f>C744</f>
        <v>60000</v>
      </c>
      <c r="E744" s="642">
        <f>D744</f>
        <v>60000</v>
      </c>
      <c r="F744" s="642">
        <f>E744</f>
        <v>60000</v>
      </c>
      <c r="G744" s="642">
        <f t="shared" ref="G744:J744" si="474">F744</f>
        <v>60000</v>
      </c>
      <c r="H744" s="642">
        <f t="shared" si="474"/>
        <v>60000</v>
      </c>
      <c r="I744" s="642">
        <f t="shared" si="474"/>
        <v>60000</v>
      </c>
      <c r="J744" s="642">
        <f t="shared" si="474"/>
        <v>60000</v>
      </c>
      <c r="K744" s="638"/>
      <c r="L744" s="1106"/>
    </row>
    <row r="745" spans="1:14">
      <c r="A745" s="653"/>
      <c r="B745" s="654" t="s">
        <v>1107</v>
      </c>
      <c r="C745" s="641"/>
      <c r="D745" s="642">
        <f>1*100%+1*100%</f>
        <v>2</v>
      </c>
      <c r="E745" s="642">
        <f>1*100%+1*100%</f>
        <v>2</v>
      </c>
      <c r="F745" s="642">
        <f>1*100%+1*100%</f>
        <v>2</v>
      </c>
      <c r="G745" s="642">
        <v>2</v>
      </c>
      <c r="H745" s="642">
        <v>2</v>
      </c>
      <c r="I745" s="642">
        <v>2</v>
      </c>
      <c r="J745" s="642">
        <v>2</v>
      </c>
      <c r="K745" s="638"/>
      <c r="L745" s="1106"/>
    </row>
    <row r="746" spans="1:14">
      <c r="A746" s="655"/>
      <c r="B746" s="648" t="s">
        <v>1077</v>
      </c>
      <c r="C746" s="657"/>
      <c r="D746" s="650">
        <f>D744*D745</f>
        <v>120000</v>
      </c>
      <c r="E746" s="650">
        <f t="shared" ref="E746:J746" si="475">E744*E745</f>
        <v>120000</v>
      </c>
      <c r="F746" s="650">
        <f t="shared" si="475"/>
        <v>120000</v>
      </c>
      <c r="G746" s="650">
        <f t="shared" si="475"/>
        <v>120000</v>
      </c>
      <c r="H746" s="650">
        <f t="shared" si="475"/>
        <v>120000</v>
      </c>
      <c r="I746" s="650">
        <f t="shared" si="475"/>
        <v>120000</v>
      </c>
      <c r="J746" s="650">
        <f t="shared" si="475"/>
        <v>120000</v>
      </c>
      <c r="K746" s="651">
        <f>SUM(D746:F746)</f>
        <v>360000</v>
      </c>
      <c r="L746" s="1106">
        <f t="shared" si="444"/>
        <v>480000</v>
      </c>
      <c r="M746" s="1492" t="s">
        <v>1933</v>
      </c>
      <c r="N746" s="1492"/>
    </row>
    <row r="747" spans="1:14">
      <c r="A747" s="611"/>
      <c r="B747" s="548"/>
      <c r="C747" s="546"/>
      <c r="D747" s="550"/>
      <c r="E747" s="550"/>
      <c r="F747" s="550"/>
      <c r="G747" s="550"/>
      <c r="H747" s="550"/>
      <c r="I747" s="550"/>
      <c r="J747" s="550"/>
      <c r="K747" s="550"/>
      <c r="L747" s="1106"/>
    </row>
    <row r="748" spans="1:14">
      <c r="A748" s="652" t="str">
        <f>'NSP Summary Budget (16-18)'!A120</f>
        <v>3.3.4</v>
      </c>
      <c r="B748" s="661" t="str">
        <f>'NSP Summary Budget (16-18)'!B120</f>
        <v>National NGO workshops on TB control, civil society involvement and community response</v>
      </c>
      <c r="C748" s="633"/>
      <c r="D748" s="634"/>
      <c r="E748" s="634"/>
      <c r="F748" s="634"/>
      <c r="G748" s="969"/>
      <c r="H748" s="969"/>
      <c r="I748" s="969"/>
      <c r="J748" s="969"/>
      <c r="K748" s="635"/>
      <c r="L748" s="1106"/>
    </row>
    <row r="749" spans="1:14">
      <c r="A749" s="653"/>
      <c r="B749" s="640" t="str">
        <f>B15</f>
        <v>Average cost of national workshop</v>
      </c>
      <c r="C749" s="641">
        <f>Training!G402</f>
        <v>7000</v>
      </c>
      <c r="D749" s="642">
        <f t="shared" ref="D749" si="476">C749</f>
        <v>7000</v>
      </c>
      <c r="E749" s="642">
        <f t="shared" ref="E749" si="477">D749</f>
        <v>7000</v>
      </c>
      <c r="F749" s="642">
        <f t="shared" ref="F749" si="478">E749</f>
        <v>7000</v>
      </c>
      <c r="G749" s="642">
        <f t="shared" ref="G749" si="479">F749</f>
        <v>7000</v>
      </c>
      <c r="H749" s="642">
        <f t="shared" ref="H749" si="480">G749</f>
        <v>7000</v>
      </c>
      <c r="I749" s="642">
        <f t="shared" ref="I749" si="481">H749</f>
        <v>7000</v>
      </c>
      <c r="J749" s="642">
        <f t="shared" ref="J749" si="482">I749</f>
        <v>7000</v>
      </c>
      <c r="K749" s="638"/>
      <c r="L749" s="1106"/>
    </row>
    <row r="750" spans="1:14">
      <c r="A750" s="653"/>
      <c r="B750" s="671" t="s">
        <v>1087</v>
      </c>
      <c r="C750" s="636"/>
      <c r="D750" s="637">
        <v>1</v>
      </c>
      <c r="E750" s="637">
        <v>1</v>
      </c>
      <c r="F750" s="637">
        <v>1</v>
      </c>
      <c r="G750" s="637">
        <v>1</v>
      </c>
      <c r="H750" s="637">
        <v>1</v>
      </c>
      <c r="I750" s="637">
        <v>1</v>
      </c>
      <c r="J750" s="637">
        <v>1</v>
      </c>
      <c r="K750" s="638"/>
      <c r="L750" s="1106"/>
    </row>
    <row r="751" spans="1:14">
      <c r="A751" s="655"/>
      <c r="B751" s="648" t="s">
        <v>1077</v>
      </c>
      <c r="C751" s="657"/>
      <c r="D751" s="650">
        <f>D749*D750</f>
        <v>7000</v>
      </c>
      <c r="E751" s="650">
        <f t="shared" ref="E751:J751" si="483">E749*E750</f>
        <v>7000</v>
      </c>
      <c r="F751" s="650">
        <f t="shared" si="483"/>
        <v>7000</v>
      </c>
      <c r="G751" s="650">
        <f t="shared" si="483"/>
        <v>7000</v>
      </c>
      <c r="H751" s="650">
        <f t="shared" si="483"/>
        <v>7000</v>
      </c>
      <c r="I751" s="650">
        <f t="shared" si="483"/>
        <v>7000</v>
      </c>
      <c r="J751" s="650">
        <f t="shared" si="483"/>
        <v>7000</v>
      </c>
      <c r="K751" s="651">
        <f>SUM(D751:F751)</f>
        <v>21000</v>
      </c>
      <c r="L751" s="1106">
        <f t="shared" si="444"/>
        <v>28000</v>
      </c>
      <c r="M751" s="1492" t="s">
        <v>1933</v>
      </c>
      <c r="N751" s="1492"/>
    </row>
    <row r="752" spans="1:14">
      <c r="A752" s="611"/>
      <c r="B752" s="548"/>
      <c r="C752" s="546"/>
      <c r="D752" s="550"/>
      <c r="E752" s="550"/>
      <c r="F752" s="550"/>
      <c r="G752" s="550"/>
      <c r="H752" s="550"/>
      <c r="I752" s="550"/>
      <c r="J752" s="550"/>
      <c r="K752" s="550"/>
      <c r="L752" s="1106"/>
    </row>
    <row r="753" spans="1:14" s="619" customFormat="1">
      <c r="A753" s="652" t="str">
        <f>'NSP Summary Budget (16-18)'!A121</f>
        <v>3.3.5</v>
      </c>
      <c r="B753" s="661" t="str">
        <f>'NSP Summary Budget (16-18)'!B121</f>
        <v>TB knowledge, attitude and practice (KAP) studies</v>
      </c>
      <c r="C753" s="702"/>
      <c r="D753" s="703"/>
      <c r="E753" s="703"/>
      <c r="F753" s="703"/>
      <c r="G753" s="1100"/>
      <c r="H753" s="1100"/>
      <c r="I753" s="1100"/>
      <c r="J753" s="1100"/>
      <c r="K753" s="704"/>
      <c r="L753" s="1106"/>
    </row>
    <row r="754" spans="1:14" s="619" customFormat="1">
      <c r="A754" s="705"/>
      <c r="B754" s="664" t="str">
        <f>B97</f>
        <v>Average cost of one KAP study</v>
      </c>
      <c r="C754" s="713">
        <f>C97</f>
        <v>30000</v>
      </c>
      <c r="D754" s="706">
        <f>C754</f>
        <v>30000</v>
      </c>
      <c r="E754" s="706">
        <f>D754</f>
        <v>30000</v>
      </c>
      <c r="F754" s="706">
        <f>E754</f>
        <v>30000</v>
      </c>
      <c r="G754" s="706">
        <f t="shared" ref="G754:J754" si="484">F754</f>
        <v>30000</v>
      </c>
      <c r="H754" s="706">
        <f t="shared" si="484"/>
        <v>30000</v>
      </c>
      <c r="I754" s="706">
        <f t="shared" si="484"/>
        <v>30000</v>
      </c>
      <c r="J754" s="706">
        <f t="shared" si="484"/>
        <v>30000</v>
      </c>
      <c r="K754" s="707"/>
      <c r="L754" s="1106"/>
    </row>
    <row r="755" spans="1:14">
      <c r="A755" s="653"/>
      <c r="B755" s="671" t="s">
        <v>1616</v>
      </c>
      <c r="C755" s="636"/>
      <c r="D755" s="637">
        <v>0</v>
      </c>
      <c r="E755" s="637">
        <v>0</v>
      </c>
      <c r="F755" s="637">
        <v>1</v>
      </c>
      <c r="G755" s="637"/>
      <c r="H755" s="637"/>
      <c r="I755" s="637"/>
      <c r="J755" s="637">
        <v>1</v>
      </c>
      <c r="K755" s="638"/>
      <c r="L755" s="1106"/>
    </row>
    <row r="756" spans="1:14" s="619" customFormat="1">
      <c r="A756" s="708"/>
      <c r="B756" s="709" t="s">
        <v>1077</v>
      </c>
      <c r="C756" s="710"/>
      <c r="D756" s="711">
        <f>D754*D755</f>
        <v>0</v>
      </c>
      <c r="E756" s="711">
        <f t="shared" ref="E756:J756" si="485">E754*E755</f>
        <v>0</v>
      </c>
      <c r="F756" s="711">
        <f t="shared" si="485"/>
        <v>30000</v>
      </c>
      <c r="G756" s="711">
        <f t="shared" si="485"/>
        <v>0</v>
      </c>
      <c r="H756" s="711">
        <f t="shared" si="485"/>
        <v>0</v>
      </c>
      <c r="I756" s="711">
        <f t="shared" si="485"/>
        <v>0</v>
      </c>
      <c r="J756" s="711">
        <f t="shared" si="485"/>
        <v>30000</v>
      </c>
      <c r="K756" s="712">
        <f>SUM(D756:F756)</f>
        <v>30000</v>
      </c>
      <c r="L756" s="1106">
        <f t="shared" si="444"/>
        <v>30000</v>
      </c>
      <c r="M756" s="619" t="s">
        <v>1933</v>
      </c>
    </row>
    <row r="757" spans="1:14">
      <c r="A757" s="611"/>
      <c r="B757" s="548"/>
      <c r="C757" s="546"/>
      <c r="D757" s="550"/>
      <c r="E757" s="550"/>
      <c r="F757" s="550"/>
      <c r="G757" s="550"/>
      <c r="H757" s="550"/>
      <c r="I757" s="550"/>
      <c r="J757" s="550"/>
      <c r="K757" s="550"/>
      <c r="L757" s="1106"/>
    </row>
    <row r="758" spans="1:14" s="619" customFormat="1">
      <c r="A758" s="652" t="str">
        <f>'NSP Summary Budget (16-18)'!A122</f>
        <v>3.3.6</v>
      </c>
      <c r="B758" s="661" t="str">
        <f>'NSP Summary Budget (16-18)'!B122</f>
        <v>TB informational and educational materials</v>
      </c>
      <c r="C758" s="702"/>
      <c r="D758" s="703"/>
      <c r="E758" s="703"/>
      <c r="F758" s="703"/>
      <c r="G758" s="1100"/>
      <c r="H758" s="1100"/>
      <c r="I758" s="1100"/>
      <c r="J758" s="1100"/>
      <c r="K758" s="704"/>
      <c r="L758" s="1106"/>
    </row>
    <row r="759" spans="1:14" s="619" customFormat="1" ht="30">
      <c r="A759" s="705"/>
      <c r="B759" s="664" t="str">
        <f>B98</f>
        <v>Annual cost of TB informational and educational materials: printed</v>
      </c>
      <c r="C759" s="713">
        <f>C98</f>
        <v>15000</v>
      </c>
      <c r="D759" s="706">
        <f t="shared" ref="D759:F760" si="486">C759</f>
        <v>15000</v>
      </c>
      <c r="E759" s="706">
        <f t="shared" si="486"/>
        <v>15000</v>
      </c>
      <c r="F759" s="706">
        <f t="shared" si="486"/>
        <v>15000</v>
      </c>
      <c r="G759" s="706">
        <f t="shared" ref="G759:G760" si="487">F759</f>
        <v>15000</v>
      </c>
      <c r="H759" s="706">
        <f t="shared" ref="H759:H760" si="488">G759</f>
        <v>15000</v>
      </c>
      <c r="I759" s="706">
        <f t="shared" ref="I759:I760" si="489">H759</f>
        <v>15000</v>
      </c>
      <c r="J759" s="706">
        <f t="shared" ref="J759:J760" si="490">I759</f>
        <v>15000</v>
      </c>
      <c r="K759" s="707"/>
      <c r="L759" s="1106"/>
    </row>
    <row r="760" spans="1:14" s="619" customFormat="1" ht="30">
      <c r="A760" s="705"/>
      <c r="B760" s="664" t="str">
        <f>B99</f>
        <v>Annual cost of TB informational and educational materials: audio / video</v>
      </c>
      <c r="C760" s="713">
        <f>C99</f>
        <v>10000</v>
      </c>
      <c r="D760" s="706">
        <f t="shared" si="486"/>
        <v>10000</v>
      </c>
      <c r="E760" s="706">
        <f t="shared" si="486"/>
        <v>10000</v>
      </c>
      <c r="F760" s="706">
        <f t="shared" si="486"/>
        <v>10000</v>
      </c>
      <c r="G760" s="706">
        <f t="shared" si="487"/>
        <v>10000</v>
      </c>
      <c r="H760" s="706">
        <f t="shared" si="488"/>
        <v>10000</v>
      </c>
      <c r="I760" s="706">
        <f t="shared" si="489"/>
        <v>10000</v>
      </c>
      <c r="J760" s="706">
        <f t="shared" si="490"/>
        <v>10000</v>
      </c>
      <c r="K760" s="707"/>
      <c r="L760" s="1106"/>
    </row>
    <row r="761" spans="1:14" s="619" customFormat="1">
      <c r="A761" s="708"/>
      <c r="B761" s="709" t="s">
        <v>1077</v>
      </c>
      <c r="C761" s="710"/>
      <c r="D761" s="711">
        <f>SUM(D759:D760)</f>
        <v>25000</v>
      </c>
      <c r="E761" s="711">
        <f t="shared" ref="E761:J761" si="491">SUM(E759:E760)</f>
        <v>25000</v>
      </c>
      <c r="F761" s="711">
        <f t="shared" si="491"/>
        <v>25000</v>
      </c>
      <c r="G761" s="711">
        <f t="shared" si="491"/>
        <v>25000</v>
      </c>
      <c r="H761" s="711">
        <f t="shared" si="491"/>
        <v>25000</v>
      </c>
      <c r="I761" s="711">
        <f t="shared" si="491"/>
        <v>25000</v>
      </c>
      <c r="J761" s="711">
        <f t="shared" si="491"/>
        <v>25000</v>
      </c>
      <c r="K761" s="712">
        <f>SUM(D761:F761)</f>
        <v>75000</v>
      </c>
      <c r="L761" s="1106">
        <f t="shared" ref="L761:L782" si="492">SUM(G761:J761)</f>
        <v>100000</v>
      </c>
      <c r="M761" s="619" t="s">
        <v>1933</v>
      </c>
    </row>
    <row r="762" spans="1:14">
      <c r="A762" s="611"/>
      <c r="B762" s="548"/>
      <c r="C762" s="546"/>
      <c r="D762" s="550"/>
      <c r="E762" s="550"/>
      <c r="F762" s="550"/>
      <c r="G762" s="550"/>
      <c r="H762" s="550"/>
      <c r="I762" s="550"/>
      <c r="J762" s="550"/>
      <c r="K762" s="550"/>
      <c r="L762" s="1106"/>
    </row>
    <row r="763" spans="1:14">
      <c r="A763" s="652" t="str">
        <f>'NSP Summary Budget (16-18)'!A123</f>
        <v>3.3.7</v>
      </c>
      <c r="B763" s="661" t="str">
        <f>'NSP Summary Budget (16-18)'!B123</f>
        <v>Training and briefings for mass-media on TB</v>
      </c>
      <c r="C763" s="633"/>
      <c r="D763" s="634"/>
      <c r="E763" s="634"/>
      <c r="F763" s="634"/>
      <c r="G763" s="969"/>
      <c r="H763" s="969"/>
      <c r="I763" s="969"/>
      <c r="J763" s="969"/>
      <c r="K763" s="635"/>
      <c r="L763" s="1106"/>
    </row>
    <row r="764" spans="1:14">
      <c r="A764" s="653"/>
      <c r="B764" s="640" t="str">
        <f>B12</f>
        <v>Average cost of training, central level</v>
      </c>
      <c r="C764" s="641">
        <f>Training!G421</f>
        <v>4100</v>
      </c>
      <c r="D764" s="642">
        <f t="shared" ref="D764:D765" si="493">C764</f>
        <v>4100</v>
      </c>
      <c r="E764" s="642">
        <f t="shared" ref="E764:E765" si="494">D764</f>
        <v>4100</v>
      </c>
      <c r="F764" s="642">
        <f t="shared" ref="F764:F765" si="495">E764</f>
        <v>4100</v>
      </c>
      <c r="G764" s="642">
        <f t="shared" ref="G764:G765" si="496">F764</f>
        <v>4100</v>
      </c>
      <c r="H764" s="642">
        <f t="shared" ref="H764:H765" si="497">G764</f>
        <v>4100</v>
      </c>
      <c r="I764" s="642">
        <f t="shared" ref="I764:I765" si="498">H764</f>
        <v>4100</v>
      </c>
      <c r="J764" s="642">
        <f t="shared" ref="J764:J765" si="499">I764</f>
        <v>4100</v>
      </c>
      <c r="K764" s="638"/>
      <c r="L764" s="1106"/>
    </row>
    <row r="765" spans="1:14">
      <c r="A765" s="653"/>
      <c r="B765" s="640" t="str">
        <f>B13</f>
        <v>Average cost of training, regional level</v>
      </c>
      <c r="C765" s="641">
        <f>Training!G438</f>
        <v>1200</v>
      </c>
      <c r="D765" s="642">
        <f t="shared" si="493"/>
        <v>1200</v>
      </c>
      <c r="E765" s="642">
        <f t="shared" si="494"/>
        <v>1200</v>
      </c>
      <c r="F765" s="642">
        <f t="shared" si="495"/>
        <v>1200</v>
      </c>
      <c r="G765" s="642">
        <f t="shared" si="496"/>
        <v>1200</v>
      </c>
      <c r="H765" s="642">
        <f t="shared" si="497"/>
        <v>1200</v>
      </c>
      <c r="I765" s="642">
        <f t="shared" si="498"/>
        <v>1200</v>
      </c>
      <c r="J765" s="642">
        <f t="shared" si="499"/>
        <v>1200</v>
      </c>
      <c r="K765" s="638"/>
      <c r="L765" s="1106"/>
    </row>
    <row r="766" spans="1:14">
      <c r="A766" s="653"/>
      <c r="B766" s="654" t="s">
        <v>1080</v>
      </c>
      <c r="C766" s="636"/>
      <c r="D766" s="637">
        <v>2</v>
      </c>
      <c r="E766" s="637">
        <v>2</v>
      </c>
      <c r="F766" s="637">
        <v>2</v>
      </c>
      <c r="G766" s="637">
        <v>2</v>
      </c>
      <c r="H766" s="637">
        <v>2</v>
      </c>
      <c r="I766" s="637">
        <v>2</v>
      </c>
      <c r="J766" s="637">
        <v>2</v>
      </c>
      <c r="K766" s="638"/>
      <c r="L766" s="1106"/>
    </row>
    <row r="767" spans="1:14">
      <c r="A767" s="653"/>
      <c r="B767" s="654" t="s">
        <v>1081</v>
      </c>
      <c r="C767" s="636"/>
      <c r="D767" s="637">
        <v>4</v>
      </c>
      <c r="E767" s="637">
        <v>4</v>
      </c>
      <c r="F767" s="637">
        <v>4</v>
      </c>
      <c r="G767" s="637">
        <v>4</v>
      </c>
      <c r="H767" s="637">
        <v>4</v>
      </c>
      <c r="I767" s="637">
        <v>4</v>
      </c>
      <c r="J767" s="637">
        <v>4</v>
      </c>
      <c r="K767" s="638"/>
      <c r="L767" s="1106"/>
    </row>
    <row r="768" spans="1:14">
      <c r="A768" s="655"/>
      <c r="B768" s="648" t="s">
        <v>1077</v>
      </c>
      <c r="C768" s="657"/>
      <c r="D768" s="650">
        <f>D764*D766+D765*D767</f>
        <v>13000</v>
      </c>
      <c r="E768" s="650">
        <f t="shared" ref="E768:J768" si="500">E764*E766+E765*E767</f>
        <v>13000</v>
      </c>
      <c r="F768" s="650">
        <f t="shared" si="500"/>
        <v>13000</v>
      </c>
      <c r="G768" s="650">
        <f t="shared" si="500"/>
        <v>13000</v>
      </c>
      <c r="H768" s="650">
        <f t="shared" si="500"/>
        <v>13000</v>
      </c>
      <c r="I768" s="650">
        <f t="shared" si="500"/>
        <v>13000</v>
      </c>
      <c r="J768" s="650">
        <f t="shared" si="500"/>
        <v>13000</v>
      </c>
      <c r="K768" s="651">
        <f>SUM(D768:F768)</f>
        <v>39000</v>
      </c>
      <c r="L768" s="1106">
        <f t="shared" si="492"/>
        <v>52000</v>
      </c>
      <c r="M768" s="1492" t="s">
        <v>1933</v>
      </c>
      <c r="N768" s="1492"/>
    </row>
    <row r="769" spans="1:17">
      <c r="A769" s="611"/>
      <c r="B769" s="548"/>
      <c r="C769" s="546"/>
      <c r="D769" s="550"/>
      <c r="E769" s="550"/>
      <c r="F769" s="550"/>
      <c r="G769" s="550"/>
      <c r="H769" s="550"/>
      <c r="I769" s="550"/>
      <c r="J769" s="550"/>
      <c r="K769" s="550"/>
      <c r="L769" s="1106"/>
    </row>
    <row r="770" spans="1:17" s="619" customFormat="1">
      <c r="A770" s="652" t="str">
        <f>'NSP Summary Budget (16-18)'!A124</f>
        <v>3.3.8</v>
      </c>
      <c r="B770" s="661" t="str">
        <f>'NSP Summary Budget (16-18)'!B124</f>
        <v>ACSM activities during the World TB Days</v>
      </c>
      <c r="C770" s="702"/>
      <c r="D770" s="703"/>
      <c r="E770" s="703"/>
      <c r="F770" s="703"/>
      <c r="G770" s="1100"/>
      <c r="H770" s="1100"/>
      <c r="I770" s="1100"/>
      <c r="J770" s="1100"/>
      <c r="K770" s="704"/>
      <c r="L770" s="1106"/>
    </row>
    <row r="771" spans="1:17" s="619" customFormat="1" ht="30">
      <c r="A771" s="705"/>
      <c r="B771" s="664" t="str">
        <f>B100</f>
        <v>Annual cost of ACSM activities during the World TB Days</v>
      </c>
      <c r="C771" s="713">
        <f>C100</f>
        <v>20000</v>
      </c>
      <c r="D771" s="706">
        <f>C771</f>
        <v>20000</v>
      </c>
      <c r="E771" s="706">
        <f>D771</f>
        <v>20000</v>
      </c>
      <c r="F771" s="706">
        <f>E771</f>
        <v>20000</v>
      </c>
      <c r="G771" s="706">
        <f t="shared" ref="G771:J771" si="501">F771</f>
        <v>20000</v>
      </c>
      <c r="H771" s="706">
        <f t="shared" si="501"/>
        <v>20000</v>
      </c>
      <c r="I771" s="706">
        <f t="shared" si="501"/>
        <v>20000</v>
      </c>
      <c r="J771" s="706">
        <f t="shared" si="501"/>
        <v>20000</v>
      </c>
      <c r="K771" s="707"/>
      <c r="L771" s="1106"/>
    </row>
    <row r="772" spans="1:17" s="619" customFormat="1">
      <c r="A772" s="708"/>
      <c r="B772" s="709" t="s">
        <v>1077</v>
      </c>
      <c r="C772" s="710"/>
      <c r="D772" s="711">
        <f>SUM(D771:D771)</f>
        <v>20000</v>
      </c>
      <c r="E772" s="711">
        <f>SUM(E771:E771)</f>
        <v>20000</v>
      </c>
      <c r="F772" s="711">
        <f>SUM(F771:F771)</f>
        <v>20000</v>
      </c>
      <c r="G772" s="711">
        <f t="shared" ref="G772:J772" si="502">SUM(G771:G771)</f>
        <v>20000</v>
      </c>
      <c r="H772" s="711">
        <f t="shared" si="502"/>
        <v>20000</v>
      </c>
      <c r="I772" s="711">
        <f t="shared" si="502"/>
        <v>20000</v>
      </c>
      <c r="J772" s="711">
        <f t="shared" si="502"/>
        <v>20000</v>
      </c>
      <c r="K772" s="712">
        <f>SUM(D772:F772)</f>
        <v>60000</v>
      </c>
      <c r="L772" s="1106">
        <f t="shared" si="492"/>
        <v>80000</v>
      </c>
      <c r="M772" s="619" t="s">
        <v>1933</v>
      </c>
    </row>
    <row r="773" spans="1:17" ht="30">
      <c r="A773" s="1491" t="s">
        <v>2075</v>
      </c>
      <c r="B773" s="548" t="str">
        <f>'NSP Summary Budget (19-22)'!B128</f>
        <v>TGF SR management and administration cost for CSO / ACSM component</v>
      </c>
      <c r="C773" s="546"/>
      <c r="D773" s="550"/>
      <c r="E773" s="550"/>
      <c r="F773" s="550"/>
      <c r="G773" s="550">
        <v>22725</v>
      </c>
      <c r="H773" s="550">
        <v>45450</v>
      </c>
      <c r="I773" s="550">
        <v>45450</v>
      </c>
      <c r="J773" s="550">
        <v>45450</v>
      </c>
      <c r="K773" s="550">
        <f>G773+H773+I773+J773</f>
        <v>159075</v>
      </c>
      <c r="L773" s="1106">
        <f>K773</f>
        <v>159075</v>
      </c>
      <c r="M773" s="1492" t="s">
        <v>1933</v>
      </c>
      <c r="N773" s="1492"/>
    </row>
    <row r="774" spans="1:17" ht="18.95" customHeight="1">
      <c r="A774" s="589">
        <f>'NSP Summary Budget (16-18)'!A126</f>
        <v>3.4</v>
      </c>
      <c r="B774" s="1783" t="str">
        <f>'NSP Summary Budget (16-18)'!B126</f>
        <v>Research on priority issues of TB control</v>
      </c>
      <c r="C774" s="1783"/>
      <c r="D774" s="590"/>
      <c r="E774" s="590"/>
      <c r="F774" s="590"/>
      <c r="G774" s="590"/>
      <c r="H774" s="590"/>
      <c r="I774" s="590"/>
      <c r="J774" s="590"/>
      <c r="K774" s="590"/>
      <c r="L774" s="1486">
        <f>L778+L782</f>
        <v>880000</v>
      </c>
    </row>
    <row r="775" spans="1:17">
      <c r="A775" s="611"/>
      <c r="B775" s="602"/>
      <c r="C775" s="546"/>
      <c r="D775" s="605"/>
      <c r="E775" s="605"/>
      <c r="F775" s="605"/>
      <c r="G775" s="605"/>
      <c r="H775" s="605"/>
      <c r="I775" s="605"/>
      <c r="J775" s="605"/>
      <c r="K775" s="605"/>
      <c r="L775" s="1106"/>
    </row>
    <row r="776" spans="1:17" s="619" customFormat="1">
      <c r="A776" s="652" t="str">
        <f>'NSP Summary Budget (16-18)'!A127</f>
        <v>3.4.1</v>
      </c>
      <c r="B776" s="661" t="str">
        <f>'NSP Summary Budget (16-18)'!B127</f>
        <v xml:space="preserve">Clinical research studies </v>
      </c>
      <c r="C776" s="702"/>
      <c r="D776" s="703"/>
      <c r="E776" s="703"/>
      <c r="F776" s="703"/>
      <c r="G776" s="1100"/>
      <c r="H776" s="1100"/>
      <c r="I776" s="1100"/>
      <c r="J776" s="1100"/>
      <c r="K776" s="704"/>
      <c r="L776" s="1106"/>
    </row>
    <row r="777" spans="1:17" s="619" customFormat="1" ht="30">
      <c r="A777" s="705"/>
      <c r="B777" s="664" t="str">
        <f>B101</f>
        <v>Annual cost of clinical research studies</v>
      </c>
      <c r="C777" s="713">
        <f>C101</f>
        <v>2500000</v>
      </c>
      <c r="D777" s="706">
        <f>C777</f>
        <v>2500000</v>
      </c>
      <c r="E777" s="706">
        <f>D777</f>
        <v>2500000</v>
      </c>
      <c r="F777" s="706">
        <f>E777</f>
        <v>2500000</v>
      </c>
      <c r="G777" s="706">
        <v>100000</v>
      </c>
      <c r="H777" s="706">
        <f t="shared" ref="H777:J777" si="503">G777</f>
        <v>100000</v>
      </c>
      <c r="I777" s="706">
        <f t="shared" si="503"/>
        <v>100000</v>
      </c>
      <c r="J777" s="706">
        <f t="shared" si="503"/>
        <v>100000</v>
      </c>
      <c r="K777" s="707"/>
      <c r="L777" s="1106"/>
      <c r="P777" s="1495">
        <v>2500000</v>
      </c>
      <c r="Q777" s="619" t="s">
        <v>1936</v>
      </c>
    </row>
    <row r="778" spans="1:17" s="619" customFormat="1">
      <c r="A778" s="708"/>
      <c r="B778" s="709" t="s">
        <v>1077</v>
      </c>
      <c r="C778" s="710"/>
      <c r="D778" s="711">
        <f>SUM(D777:D777)</f>
        <v>2500000</v>
      </c>
      <c r="E778" s="711">
        <f>SUM(E777:E777)</f>
        <v>2500000</v>
      </c>
      <c r="F778" s="711">
        <f>SUM(F777:F777)</f>
        <v>2500000</v>
      </c>
      <c r="G778" s="711">
        <f t="shared" ref="G778:J778" si="504">SUM(G777:G777)</f>
        <v>100000</v>
      </c>
      <c r="H778" s="711">
        <f t="shared" si="504"/>
        <v>100000</v>
      </c>
      <c r="I778" s="711">
        <f t="shared" si="504"/>
        <v>100000</v>
      </c>
      <c r="J778" s="711">
        <f t="shared" si="504"/>
        <v>100000</v>
      </c>
      <c r="K778" s="712">
        <f>SUM(D778:F778)</f>
        <v>7500000</v>
      </c>
      <c r="L778" s="1106">
        <f t="shared" si="492"/>
        <v>400000</v>
      </c>
      <c r="O778" s="619" t="s">
        <v>2077</v>
      </c>
    </row>
    <row r="779" spans="1:17">
      <c r="A779" s="611"/>
      <c r="B779" s="548"/>
      <c r="C779" s="546"/>
      <c r="D779" s="550"/>
      <c r="E779" s="550"/>
      <c r="F779" s="550"/>
      <c r="G779" s="550"/>
      <c r="H779" s="550"/>
      <c r="I779" s="550"/>
      <c r="J779" s="550"/>
      <c r="K779" s="550"/>
      <c r="L779" s="1106"/>
    </row>
    <row r="780" spans="1:17" s="619" customFormat="1">
      <c r="A780" s="652" t="str">
        <f>'NSP Summary Budget (16-18)'!A128</f>
        <v>3.4.2</v>
      </c>
      <c r="B780" s="661" t="str">
        <f>'NSP Summary Budget (16-18)'!B128</f>
        <v xml:space="preserve">Operational research studies </v>
      </c>
      <c r="C780" s="702"/>
      <c r="D780" s="703"/>
      <c r="E780" s="703"/>
      <c r="F780" s="703"/>
      <c r="G780" s="1100"/>
      <c r="H780" s="1100"/>
      <c r="I780" s="1100"/>
      <c r="J780" s="1100"/>
      <c r="K780" s="704"/>
      <c r="L780" s="1106"/>
    </row>
    <row r="781" spans="1:17" s="619" customFormat="1">
      <c r="A781" s="705"/>
      <c r="B781" s="664" t="str">
        <f>B102</f>
        <v>Annual cost of operational research studies</v>
      </c>
      <c r="C781" s="713">
        <f>C102</f>
        <v>120000</v>
      </c>
      <c r="D781" s="706">
        <f>C781</f>
        <v>120000</v>
      </c>
      <c r="E781" s="706">
        <f>D781</f>
        <v>120000</v>
      </c>
      <c r="F781" s="706">
        <f>E781</f>
        <v>120000</v>
      </c>
      <c r="G781" s="706">
        <f t="shared" ref="G781:J781" si="505">F781</f>
        <v>120000</v>
      </c>
      <c r="H781" s="706">
        <f t="shared" si="505"/>
        <v>120000</v>
      </c>
      <c r="I781" s="706">
        <f t="shared" si="505"/>
        <v>120000</v>
      </c>
      <c r="J781" s="706">
        <f t="shared" si="505"/>
        <v>120000</v>
      </c>
      <c r="K781" s="707"/>
      <c r="L781" s="1106"/>
    </row>
    <row r="782" spans="1:17" s="619" customFormat="1">
      <c r="A782" s="708"/>
      <c r="B782" s="709" t="s">
        <v>1077</v>
      </c>
      <c r="C782" s="710"/>
      <c r="D782" s="711">
        <f>SUM(D781:D781)</f>
        <v>120000</v>
      </c>
      <c r="E782" s="711">
        <f>SUM(E781:E781)</f>
        <v>120000</v>
      </c>
      <c r="F782" s="711">
        <f>SUM(F781:F781)</f>
        <v>120000</v>
      </c>
      <c r="G782" s="711">
        <f t="shared" ref="G782:J782" si="506">SUM(G781:G781)</f>
        <v>120000</v>
      </c>
      <c r="H782" s="711">
        <f t="shared" si="506"/>
        <v>120000</v>
      </c>
      <c r="I782" s="711">
        <f t="shared" si="506"/>
        <v>120000</v>
      </c>
      <c r="J782" s="711">
        <f t="shared" si="506"/>
        <v>120000</v>
      </c>
      <c r="K782" s="712">
        <f>SUM(D782:F782)</f>
        <v>360000</v>
      </c>
      <c r="L782" s="1106">
        <f t="shared" si="492"/>
        <v>480000</v>
      </c>
      <c r="O782" s="619" t="s">
        <v>2078</v>
      </c>
    </row>
    <row r="783" spans="1:17">
      <c r="A783" s="611"/>
      <c r="B783" s="548"/>
      <c r="C783" s="546"/>
      <c r="D783" s="550"/>
      <c r="E783" s="550"/>
      <c r="F783" s="550"/>
      <c r="G783" s="550"/>
      <c r="H783" s="550"/>
      <c r="I783" s="550"/>
      <c r="J783" s="550"/>
      <c r="K783" s="550"/>
    </row>
    <row r="784" spans="1:17">
      <c r="A784" s="611"/>
      <c r="B784" s="602"/>
      <c r="C784" s="605"/>
      <c r="D784" s="605"/>
      <c r="E784" s="605"/>
      <c r="F784" s="605"/>
      <c r="G784" s="605"/>
      <c r="H784" s="605"/>
      <c r="I784" s="605"/>
      <c r="J784" s="605"/>
      <c r="K784" s="605"/>
    </row>
    <row r="785" spans="1:12" ht="15.75">
      <c r="A785" s="611"/>
      <c r="B785" s="602"/>
      <c r="C785" s="605"/>
      <c r="D785" s="605"/>
      <c r="E785" s="605"/>
      <c r="F785" s="605"/>
      <c r="G785" s="605"/>
      <c r="H785" s="605"/>
      <c r="I785" s="605"/>
      <c r="J785" s="605"/>
      <c r="K785" s="605"/>
      <c r="L785" s="1483">
        <f>L106+L160+L280+L302+L316+L377+L500+L541+L558+L603+L621+L683+L731+L774</f>
        <v>45524289.855555646</v>
      </c>
    </row>
    <row r="786" spans="1:12">
      <c r="A786" s="611"/>
      <c r="B786" s="602"/>
      <c r="C786" s="605"/>
      <c r="D786" s="605"/>
      <c r="E786" s="605"/>
      <c r="F786" s="605"/>
      <c r="G786" s="605"/>
      <c r="H786" s="605"/>
      <c r="I786" s="605"/>
      <c r="J786" s="605"/>
      <c r="K786" s="1484" t="s">
        <v>26</v>
      </c>
      <c r="L786" s="1485">
        <f>L785-'NSP Summary Budget (19-22)'!M132</f>
        <v>486200</v>
      </c>
    </row>
    <row r="787" spans="1:12">
      <c r="A787" s="611"/>
      <c r="B787" s="602"/>
      <c r="C787" s="605"/>
      <c r="D787" s="605"/>
      <c r="E787" s="605"/>
      <c r="F787" s="605"/>
      <c r="G787" s="605"/>
      <c r="H787" s="605"/>
      <c r="I787" s="605"/>
      <c r="J787" s="605"/>
      <c r="K787" s="605"/>
    </row>
    <row r="788" spans="1:12">
      <c r="A788" s="611"/>
      <c r="B788" s="602"/>
      <c r="C788" s="605"/>
      <c r="D788" s="605"/>
      <c r="E788" s="605"/>
      <c r="F788" s="605"/>
      <c r="G788" s="605"/>
      <c r="H788" s="605"/>
      <c r="I788" s="605"/>
      <c r="J788" s="605"/>
      <c r="K788" s="605"/>
    </row>
    <row r="789" spans="1:12">
      <c r="A789" s="611"/>
      <c r="B789" s="602"/>
      <c r="C789" s="605"/>
      <c r="D789" s="605"/>
      <c r="E789" s="605"/>
      <c r="F789" s="605"/>
      <c r="G789" s="605"/>
      <c r="H789" s="605"/>
      <c r="I789" s="605"/>
      <c r="J789" s="605"/>
      <c r="K789" s="605"/>
    </row>
    <row r="790" spans="1:12">
      <c r="A790" s="611"/>
      <c r="B790" s="602"/>
      <c r="C790" s="605"/>
      <c r="D790" s="605"/>
      <c r="E790" s="605"/>
      <c r="F790" s="605"/>
      <c r="G790" s="605"/>
      <c r="H790" s="605"/>
      <c r="I790" s="605"/>
      <c r="J790" s="605"/>
      <c r="K790" s="605"/>
    </row>
    <row r="791" spans="1:12">
      <c r="A791" s="611"/>
      <c r="B791" s="602"/>
      <c r="C791" s="605"/>
      <c r="D791" s="605"/>
      <c r="E791" s="605"/>
      <c r="F791" s="605"/>
      <c r="G791" s="605"/>
      <c r="H791" s="605"/>
      <c r="I791" s="605"/>
      <c r="J791" s="605"/>
      <c r="K791" s="605"/>
    </row>
    <row r="792" spans="1:12">
      <c r="A792" s="611"/>
      <c r="B792" s="602"/>
      <c r="C792" s="605"/>
      <c r="D792" s="605"/>
      <c r="E792" s="605"/>
      <c r="F792" s="605"/>
      <c r="G792" s="605"/>
      <c r="H792" s="605"/>
      <c r="I792" s="605"/>
      <c r="J792" s="605"/>
      <c r="K792" s="605"/>
    </row>
    <row r="793" spans="1:12">
      <c r="A793" s="611"/>
      <c r="B793" s="602"/>
      <c r="C793" s="605"/>
      <c r="D793" s="605"/>
      <c r="E793" s="605"/>
      <c r="F793" s="605"/>
      <c r="G793" s="605"/>
      <c r="H793" s="605"/>
      <c r="I793" s="605"/>
      <c r="J793" s="605"/>
      <c r="K793" s="605"/>
    </row>
    <row r="794" spans="1:12">
      <c r="A794" s="611"/>
      <c r="B794" s="602"/>
      <c r="C794" s="605"/>
      <c r="D794" s="605"/>
      <c r="E794" s="605"/>
      <c r="F794" s="605"/>
      <c r="G794" s="605"/>
      <c r="H794" s="605"/>
      <c r="I794" s="605"/>
      <c r="J794" s="605"/>
      <c r="K794" s="605"/>
    </row>
    <row r="795" spans="1:12">
      <c r="A795" s="611"/>
      <c r="B795" s="602"/>
      <c r="C795" s="605"/>
      <c r="D795" s="605"/>
      <c r="E795" s="605"/>
      <c r="F795" s="605"/>
      <c r="G795" s="605"/>
      <c r="H795" s="605"/>
      <c r="I795" s="605"/>
      <c r="J795" s="605"/>
      <c r="K795" s="605"/>
    </row>
    <row r="796" spans="1:12">
      <c r="A796" s="611"/>
      <c r="B796" s="602"/>
      <c r="C796" s="605"/>
      <c r="D796" s="605"/>
      <c r="E796" s="605"/>
      <c r="F796" s="605"/>
      <c r="G796" s="605"/>
      <c r="H796" s="605"/>
      <c r="I796" s="605"/>
      <c r="J796" s="605"/>
      <c r="K796" s="605"/>
    </row>
    <row r="797" spans="1:12">
      <c r="A797" s="611"/>
      <c r="B797" s="602"/>
      <c r="C797" s="605"/>
      <c r="D797" s="605"/>
      <c r="E797" s="605"/>
      <c r="F797" s="605"/>
      <c r="G797" s="605"/>
      <c r="H797" s="605"/>
      <c r="I797" s="605"/>
      <c r="J797" s="605"/>
      <c r="K797" s="605"/>
    </row>
    <row r="798" spans="1:12">
      <c r="A798" s="611"/>
      <c r="B798" s="602"/>
      <c r="C798" s="605"/>
      <c r="D798" s="605"/>
      <c r="E798" s="605"/>
      <c r="F798" s="605"/>
      <c r="G798" s="605"/>
      <c r="H798" s="605"/>
      <c r="I798" s="605"/>
      <c r="J798" s="605"/>
      <c r="K798" s="605"/>
    </row>
    <row r="799" spans="1:12">
      <c r="A799" s="611"/>
      <c r="B799" s="602"/>
      <c r="C799" s="605"/>
      <c r="D799" s="605"/>
      <c r="E799" s="605"/>
      <c r="F799" s="605"/>
      <c r="G799" s="605"/>
      <c r="H799" s="605"/>
      <c r="I799" s="605"/>
      <c r="J799" s="605"/>
      <c r="K799" s="605"/>
    </row>
    <row r="800" spans="1:12">
      <c r="A800" s="611"/>
      <c r="B800" s="602"/>
      <c r="C800" s="605"/>
      <c r="D800" s="605"/>
      <c r="E800" s="605"/>
      <c r="F800" s="605"/>
      <c r="G800" s="605"/>
      <c r="H800" s="605"/>
      <c r="I800" s="605"/>
      <c r="J800" s="605"/>
      <c r="K800" s="605"/>
    </row>
    <row r="801" spans="1:11">
      <c r="A801" s="611"/>
      <c r="B801" s="602"/>
      <c r="C801" s="605"/>
      <c r="D801" s="605"/>
      <c r="E801" s="605"/>
      <c r="F801" s="605"/>
      <c r="G801" s="605"/>
      <c r="H801" s="605"/>
      <c r="I801" s="605"/>
      <c r="J801" s="605"/>
      <c r="K801" s="605"/>
    </row>
    <row r="802" spans="1:11">
      <c r="A802" s="611"/>
      <c r="B802" s="602"/>
      <c r="C802" s="605"/>
      <c r="D802" s="605"/>
      <c r="E802" s="605"/>
      <c r="F802" s="605"/>
      <c r="G802" s="605"/>
      <c r="H802" s="605"/>
      <c r="I802" s="605"/>
      <c r="J802" s="605"/>
      <c r="K802" s="605"/>
    </row>
    <row r="803" spans="1:11">
      <c r="A803" s="611"/>
      <c r="B803" s="602"/>
      <c r="C803" s="605"/>
      <c r="D803" s="605"/>
      <c r="E803" s="605"/>
      <c r="F803" s="605"/>
      <c r="G803" s="605"/>
      <c r="H803" s="605"/>
      <c r="I803" s="605"/>
      <c r="J803" s="605"/>
      <c r="K803" s="605"/>
    </row>
    <row r="804" spans="1:11">
      <c r="A804" s="611"/>
      <c r="B804" s="602"/>
      <c r="C804" s="605"/>
      <c r="D804" s="605"/>
      <c r="E804" s="605"/>
      <c r="F804" s="605"/>
      <c r="G804" s="605"/>
      <c r="H804" s="605"/>
      <c r="I804" s="605"/>
      <c r="J804" s="605"/>
      <c r="K804" s="605"/>
    </row>
    <row r="805" spans="1:11">
      <c r="A805" s="611"/>
      <c r="B805" s="602"/>
      <c r="C805" s="605"/>
      <c r="D805" s="605"/>
      <c r="E805" s="605"/>
      <c r="F805" s="605"/>
      <c r="G805" s="605"/>
      <c r="H805" s="605"/>
      <c r="I805" s="605"/>
      <c r="J805" s="605"/>
      <c r="K805" s="605"/>
    </row>
    <row r="806" spans="1:11">
      <c r="A806" s="611"/>
      <c r="B806" s="602"/>
      <c r="C806" s="605"/>
      <c r="D806" s="605"/>
      <c r="E806" s="605"/>
      <c r="F806" s="605"/>
      <c r="G806" s="605"/>
      <c r="H806" s="605"/>
      <c r="I806" s="605"/>
      <c r="J806" s="605"/>
      <c r="K806" s="605"/>
    </row>
    <row r="807" spans="1:11">
      <c r="A807" s="611"/>
      <c r="B807" s="602"/>
      <c r="C807" s="605"/>
      <c r="D807" s="605"/>
      <c r="E807" s="605"/>
      <c r="F807" s="605"/>
      <c r="G807" s="605"/>
      <c r="H807" s="605"/>
      <c r="I807" s="605"/>
      <c r="J807" s="605"/>
      <c r="K807" s="605"/>
    </row>
    <row r="808" spans="1:11">
      <c r="A808" s="611"/>
      <c r="B808" s="602"/>
      <c r="C808" s="605"/>
      <c r="D808" s="605"/>
      <c r="E808" s="605"/>
      <c r="F808" s="605"/>
      <c r="G808" s="605"/>
      <c r="H808" s="605"/>
      <c r="I808" s="605"/>
      <c r="J808" s="605"/>
      <c r="K808" s="605"/>
    </row>
    <row r="809" spans="1:11">
      <c r="A809" s="611"/>
      <c r="B809" s="602"/>
      <c r="C809" s="605"/>
      <c r="D809" s="605"/>
      <c r="E809" s="605"/>
      <c r="F809" s="605"/>
      <c r="G809" s="605"/>
      <c r="H809" s="605"/>
      <c r="I809" s="605"/>
      <c r="J809" s="605"/>
      <c r="K809" s="605"/>
    </row>
    <row r="810" spans="1:11">
      <c r="A810" s="611"/>
      <c r="B810" s="602"/>
      <c r="C810" s="605"/>
      <c r="D810" s="605"/>
      <c r="E810" s="605"/>
      <c r="F810" s="605"/>
      <c r="G810" s="605"/>
      <c r="H810" s="605"/>
      <c r="I810" s="605"/>
      <c r="J810" s="605"/>
      <c r="K810" s="605"/>
    </row>
    <row r="811" spans="1:11">
      <c r="A811" s="611"/>
      <c r="B811" s="602"/>
      <c r="C811" s="605"/>
      <c r="D811" s="605"/>
      <c r="E811" s="605"/>
      <c r="F811" s="605"/>
      <c r="G811" s="605"/>
      <c r="H811" s="605"/>
      <c r="I811" s="605"/>
      <c r="J811" s="605"/>
      <c r="K811" s="605"/>
    </row>
    <row r="812" spans="1:11">
      <c r="A812" s="611"/>
      <c r="B812" s="602"/>
      <c r="C812" s="605"/>
      <c r="D812" s="605"/>
      <c r="E812" s="605"/>
      <c r="F812" s="605"/>
      <c r="G812" s="605"/>
      <c r="H812" s="605"/>
      <c r="I812" s="605"/>
      <c r="J812" s="605"/>
      <c r="K812" s="605"/>
    </row>
    <row r="813" spans="1:11">
      <c r="A813" s="611"/>
      <c r="B813" s="602"/>
      <c r="C813" s="605"/>
      <c r="D813" s="605"/>
      <c r="E813" s="605"/>
      <c r="F813" s="605"/>
      <c r="G813" s="605"/>
      <c r="H813" s="605"/>
      <c r="I813" s="605"/>
      <c r="J813" s="605"/>
      <c r="K813" s="605"/>
    </row>
    <row r="814" spans="1:11">
      <c r="A814" s="611"/>
      <c r="B814" s="602"/>
      <c r="C814" s="605"/>
      <c r="D814" s="605"/>
      <c r="E814" s="605"/>
      <c r="F814" s="605"/>
      <c r="G814" s="605"/>
      <c r="H814" s="605"/>
      <c r="I814" s="605"/>
      <c r="J814" s="605"/>
      <c r="K814" s="605"/>
    </row>
    <row r="815" spans="1:11">
      <c r="A815" s="611"/>
      <c r="B815" s="602"/>
      <c r="C815" s="605"/>
      <c r="D815" s="605"/>
      <c r="E815" s="605"/>
      <c r="F815" s="605"/>
      <c r="G815" s="605"/>
      <c r="H815" s="605"/>
      <c r="I815" s="605"/>
      <c r="J815" s="605"/>
      <c r="K815" s="605"/>
    </row>
    <row r="816" spans="1:11">
      <c r="A816" s="611"/>
      <c r="B816" s="602"/>
      <c r="C816" s="605"/>
      <c r="D816" s="605"/>
      <c r="E816" s="605"/>
      <c r="F816" s="605"/>
      <c r="G816" s="605"/>
      <c r="H816" s="605"/>
      <c r="I816" s="605"/>
      <c r="J816" s="605"/>
      <c r="K816" s="605"/>
    </row>
    <row r="817" spans="1:11">
      <c r="A817" s="611"/>
      <c r="B817" s="602"/>
      <c r="C817" s="605"/>
      <c r="D817" s="605"/>
      <c r="E817" s="605"/>
      <c r="F817" s="605"/>
      <c r="G817" s="605"/>
      <c r="H817" s="605"/>
      <c r="I817" s="605"/>
      <c r="J817" s="605"/>
      <c r="K817" s="605"/>
    </row>
    <row r="818" spans="1:11">
      <c r="A818" s="611"/>
      <c r="B818" s="602"/>
      <c r="C818" s="605"/>
      <c r="D818" s="605"/>
      <c r="E818" s="605"/>
      <c r="F818" s="605"/>
      <c r="G818" s="605"/>
      <c r="H818" s="605"/>
      <c r="I818" s="605"/>
      <c r="J818" s="605"/>
      <c r="K818" s="605"/>
    </row>
    <row r="819" spans="1:11">
      <c r="A819" s="611"/>
      <c r="B819" s="602"/>
      <c r="C819" s="605"/>
      <c r="D819" s="605"/>
      <c r="E819" s="605"/>
      <c r="F819" s="605"/>
      <c r="G819" s="605"/>
      <c r="H819" s="605"/>
      <c r="I819" s="605"/>
      <c r="J819" s="605"/>
      <c r="K819" s="605"/>
    </row>
    <row r="820" spans="1:11">
      <c r="A820" s="611"/>
      <c r="B820" s="602"/>
      <c r="C820" s="605"/>
      <c r="D820" s="605"/>
      <c r="E820" s="605"/>
      <c r="F820" s="605"/>
      <c r="G820" s="605"/>
      <c r="H820" s="605"/>
      <c r="I820" s="605"/>
      <c r="J820" s="605"/>
      <c r="K820" s="605"/>
    </row>
    <row r="821" spans="1:11">
      <c r="A821" s="611"/>
      <c r="B821" s="602"/>
      <c r="C821" s="605"/>
      <c r="D821" s="605"/>
      <c r="E821" s="605"/>
      <c r="F821" s="605"/>
      <c r="G821" s="605"/>
      <c r="H821" s="605"/>
      <c r="I821" s="605"/>
      <c r="J821" s="605"/>
      <c r="K821" s="605"/>
    </row>
    <row r="822" spans="1:11">
      <c r="A822" s="611"/>
      <c r="B822" s="602"/>
      <c r="C822" s="605"/>
      <c r="D822" s="605"/>
      <c r="E822" s="605"/>
      <c r="F822" s="605"/>
      <c r="G822" s="605"/>
      <c r="H822" s="605"/>
      <c r="I822" s="605"/>
      <c r="J822" s="605"/>
      <c r="K822" s="605"/>
    </row>
    <row r="823" spans="1:11">
      <c r="A823" s="611"/>
      <c r="B823" s="602"/>
      <c r="C823" s="605"/>
      <c r="D823" s="605"/>
      <c r="E823" s="605"/>
      <c r="F823" s="605"/>
      <c r="G823" s="605"/>
      <c r="H823" s="605"/>
      <c r="I823" s="605"/>
      <c r="J823" s="605"/>
      <c r="K823" s="605"/>
    </row>
    <row r="824" spans="1:11">
      <c r="A824" s="611"/>
      <c r="B824" s="602"/>
      <c r="C824" s="605"/>
      <c r="D824" s="605"/>
      <c r="E824" s="605"/>
      <c r="F824" s="605"/>
      <c r="G824" s="605"/>
      <c r="H824" s="605"/>
      <c r="I824" s="605"/>
      <c r="J824" s="605"/>
      <c r="K824" s="605"/>
    </row>
    <row r="825" spans="1:11">
      <c r="A825" s="611"/>
      <c r="B825" s="602"/>
      <c r="C825" s="605"/>
      <c r="D825" s="605"/>
      <c r="E825" s="605"/>
      <c r="F825" s="605"/>
      <c r="G825" s="605"/>
      <c r="H825" s="605"/>
      <c r="I825" s="605"/>
      <c r="J825" s="605"/>
      <c r="K825" s="605"/>
    </row>
    <row r="826" spans="1:11">
      <c r="A826" s="611"/>
      <c r="B826" s="602"/>
      <c r="C826" s="605"/>
      <c r="D826" s="605"/>
      <c r="E826" s="605"/>
      <c r="F826" s="605"/>
      <c r="G826" s="605"/>
      <c r="H826" s="605"/>
      <c r="I826" s="605"/>
      <c r="J826" s="605"/>
      <c r="K826" s="605"/>
    </row>
    <row r="827" spans="1:11">
      <c r="A827" s="611"/>
      <c r="B827" s="602"/>
      <c r="C827" s="605"/>
      <c r="D827" s="605"/>
      <c r="E827" s="605"/>
      <c r="F827" s="605"/>
      <c r="G827" s="605"/>
      <c r="H827" s="605"/>
      <c r="I827" s="605"/>
      <c r="J827" s="605"/>
      <c r="K827" s="605"/>
    </row>
    <row r="828" spans="1:11">
      <c r="A828" s="611"/>
      <c r="B828" s="602"/>
      <c r="C828" s="605"/>
      <c r="D828" s="605"/>
      <c r="E828" s="605"/>
      <c r="F828" s="605"/>
      <c r="G828" s="605"/>
      <c r="H828" s="605"/>
      <c r="I828" s="605"/>
      <c r="J828" s="605"/>
      <c r="K828" s="605"/>
    </row>
    <row r="829" spans="1:11">
      <c r="A829" s="611"/>
      <c r="B829" s="602"/>
      <c r="C829" s="605"/>
      <c r="D829" s="605"/>
      <c r="E829" s="605"/>
      <c r="F829" s="605"/>
      <c r="G829" s="605"/>
      <c r="H829" s="605"/>
      <c r="I829" s="605"/>
      <c r="J829" s="605"/>
      <c r="K829" s="605"/>
    </row>
    <row r="830" spans="1:11">
      <c r="A830" s="611"/>
      <c r="B830" s="602"/>
      <c r="C830" s="605"/>
      <c r="D830" s="605"/>
      <c r="E830" s="605"/>
      <c r="F830" s="605"/>
      <c r="G830" s="605"/>
      <c r="H830" s="605"/>
      <c r="I830" s="605"/>
      <c r="J830" s="605"/>
      <c r="K830" s="605"/>
    </row>
    <row r="831" spans="1:11">
      <c r="A831" s="611"/>
      <c r="B831" s="602"/>
      <c r="C831" s="605"/>
      <c r="D831" s="605"/>
      <c r="E831" s="605"/>
      <c r="F831" s="605"/>
      <c r="G831" s="605"/>
      <c r="H831" s="605"/>
      <c r="I831" s="605"/>
      <c r="J831" s="605"/>
      <c r="K831" s="605"/>
    </row>
    <row r="832" spans="1:11">
      <c r="A832" s="611"/>
      <c r="B832" s="602"/>
      <c r="C832" s="605"/>
      <c r="D832" s="605"/>
      <c r="E832" s="605"/>
      <c r="F832" s="605"/>
      <c r="G832" s="605"/>
      <c r="H832" s="605"/>
      <c r="I832" s="605"/>
      <c r="J832" s="605"/>
      <c r="K832" s="605"/>
    </row>
    <row r="833" spans="1:11">
      <c r="A833" s="611"/>
      <c r="B833" s="602"/>
      <c r="C833" s="605"/>
      <c r="D833" s="605"/>
      <c r="E833" s="605"/>
      <c r="F833" s="605"/>
      <c r="G833" s="605"/>
      <c r="H833" s="605"/>
      <c r="I833" s="605"/>
      <c r="J833" s="605"/>
      <c r="K833" s="605"/>
    </row>
    <row r="834" spans="1:11">
      <c r="A834" s="611"/>
      <c r="B834" s="602"/>
      <c r="C834" s="605"/>
      <c r="D834" s="605"/>
      <c r="E834" s="605"/>
      <c r="F834" s="605"/>
      <c r="G834" s="605"/>
      <c r="H834" s="605"/>
      <c r="I834" s="605"/>
      <c r="J834" s="605"/>
      <c r="K834" s="605"/>
    </row>
    <row r="835" spans="1:11">
      <c r="A835" s="611"/>
      <c r="B835" s="602"/>
      <c r="C835" s="605"/>
      <c r="D835" s="605"/>
      <c r="E835" s="605"/>
      <c r="F835" s="605"/>
      <c r="G835" s="605"/>
      <c r="H835" s="605"/>
      <c r="I835" s="605"/>
      <c r="J835" s="605"/>
      <c r="K835" s="605"/>
    </row>
    <row r="836" spans="1:11">
      <c r="A836" s="611"/>
      <c r="B836" s="602"/>
      <c r="C836" s="605"/>
      <c r="D836" s="605"/>
      <c r="E836" s="605"/>
      <c r="F836" s="605"/>
      <c r="G836" s="605"/>
      <c r="H836" s="605"/>
      <c r="I836" s="605"/>
      <c r="J836" s="605"/>
      <c r="K836" s="605"/>
    </row>
    <row r="837" spans="1:11">
      <c r="A837" s="611"/>
      <c r="B837" s="602"/>
      <c r="C837" s="605"/>
      <c r="D837" s="605"/>
      <c r="E837" s="605"/>
      <c r="F837" s="605"/>
      <c r="G837" s="605"/>
      <c r="H837" s="605"/>
      <c r="I837" s="605"/>
      <c r="J837" s="605"/>
      <c r="K837" s="605"/>
    </row>
    <row r="838" spans="1:11">
      <c r="A838" s="611"/>
      <c r="B838" s="602"/>
      <c r="C838" s="605"/>
      <c r="D838" s="605"/>
      <c r="E838" s="605"/>
      <c r="F838" s="605"/>
      <c r="G838" s="605"/>
      <c r="H838" s="605"/>
      <c r="I838" s="605"/>
      <c r="J838" s="605"/>
      <c r="K838" s="605"/>
    </row>
    <row r="839" spans="1:11">
      <c r="A839" s="611"/>
      <c r="B839" s="602"/>
      <c r="C839" s="605"/>
      <c r="D839" s="605"/>
      <c r="E839" s="605"/>
      <c r="F839" s="605"/>
      <c r="G839" s="605"/>
      <c r="H839" s="605"/>
      <c r="I839" s="605"/>
      <c r="J839" s="605"/>
      <c r="K839" s="605"/>
    </row>
    <row r="840" spans="1:11">
      <c r="A840" s="611"/>
      <c r="B840" s="602"/>
      <c r="C840" s="605"/>
      <c r="D840" s="605"/>
      <c r="E840" s="605"/>
      <c r="F840" s="605"/>
      <c r="G840" s="605"/>
      <c r="H840" s="605"/>
      <c r="I840" s="605"/>
      <c r="J840" s="605"/>
      <c r="K840" s="605"/>
    </row>
    <row r="841" spans="1:11">
      <c r="A841" s="611"/>
      <c r="B841" s="602"/>
      <c r="C841" s="605"/>
      <c r="D841" s="605"/>
      <c r="E841" s="605"/>
      <c r="F841" s="605"/>
      <c r="G841" s="605"/>
      <c r="H841" s="605"/>
      <c r="I841" s="605"/>
      <c r="J841" s="605"/>
      <c r="K841" s="605"/>
    </row>
    <row r="842" spans="1:11">
      <c r="A842" s="611"/>
      <c r="B842" s="602"/>
      <c r="C842" s="605"/>
      <c r="D842" s="605"/>
      <c r="E842" s="605"/>
      <c r="F842" s="605"/>
      <c r="G842" s="605"/>
      <c r="H842" s="605"/>
      <c r="I842" s="605"/>
      <c r="J842" s="605"/>
      <c r="K842" s="605"/>
    </row>
    <row r="843" spans="1:11">
      <c r="A843" s="611"/>
      <c r="B843" s="602"/>
      <c r="C843" s="605"/>
      <c r="D843" s="605"/>
      <c r="E843" s="605"/>
      <c r="F843" s="605"/>
      <c r="G843" s="605"/>
      <c r="H843" s="605"/>
      <c r="I843" s="605"/>
      <c r="J843" s="605"/>
      <c r="K843" s="605"/>
    </row>
    <row r="844" spans="1:11">
      <c r="A844" s="611"/>
      <c r="B844" s="602"/>
      <c r="C844" s="605"/>
      <c r="D844" s="605"/>
      <c r="E844" s="605"/>
      <c r="F844" s="605"/>
      <c r="G844" s="605"/>
      <c r="H844" s="605"/>
      <c r="I844" s="605"/>
      <c r="J844" s="605"/>
      <c r="K844" s="605"/>
    </row>
    <row r="845" spans="1:11">
      <c r="A845" s="611"/>
      <c r="B845" s="602"/>
      <c r="C845" s="605"/>
      <c r="D845" s="605"/>
      <c r="E845" s="605"/>
      <c r="F845" s="605"/>
      <c r="G845" s="605"/>
      <c r="H845" s="605"/>
      <c r="I845" s="605"/>
      <c r="J845" s="605"/>
      <c r="K845" s="605"/>
    </row>
    <row r="846" spans="1:11">
      <c r="A846" s="611"/>
      <c r="B846" s="602"/>
      <c r="C846" s="605"/>
      <c r="D846" s="605"/>
      <c r="E846" s="605"/>
      <c r="F846" s="605"/>
      <c r="G846" s="605"/>
      <c r="H846" s="605"/>
      <c r="I846" s="605"/>
      <c r="J846" s="605"/>
      <c r="K846" s="605"/>
    </row>
    <row r="847" spans="1:11">
      <c r="A847" s="611"/>
      <c r="B847" s="602"/>
      <c r="C847" s="605"/>
      <c r="D847" s="605"/>
      <c r="E847" s="605"/>
      <c r="F847" s="605"/>
      <c r="G847" s="605"/>
      <c r="H847" s="605"/>
      <c r="I847" s="605"/>
      <c r="J847" s="605"/>
      <c r="K847" s="605"/>
    </row>
    <row r="848" spans="1:11">
      <c r="A848" s="611"/>
      <c r="B848" s="602"/>
      <c r="C848" s="605"/>
      <c r="D848" s="605"/>
      <c r="E848" s="605"/>
      <c r="F848" s="605"/>
      <c r="G848" s="605"/>
      <c r="H848" s="605"/>
      <c r="I848" s="605"/>
      <c r="J848" s="605"/>
      <c r="K848" s="605"/>
    </row>
    <row r="849" spans="1:11">
      <c r="A849" s="611"/>
      <c r="B849" s="602"/>
      <c r="C849" s="605"/>
      <c r="D849" s="605"/>
      <c r="E849" s="605"/>
      <c r="F849" s="605"/>
      <c r="G849" s="605"/>
      <c r="H849" s="605"/>
      <c r="I849" s="605"/>
      <c r="J849" s="605"/>
      <c r="K849" s="605"/>
    </row>
    <row r="850" spans="1:11">
      <c r="A850" s="611"/>
      <c r="B850" s="602"/>
      <c r="C850" s="605"/>
      <c r="D850" s="605"/>
      <c r="E850" s="605"/>
      <c r="F850" s="605"/>
      <c r="G850" s="605"/>
      <c r="H850" s="605"/>
      <c r="I850" s="605"/>
      <c r="J850" s="605"/>
      <c r="K850" s="605"/>
    </row>
    <row r="851" spans="1:11">
      <c r="A851" s="611"/>
      <c r="B851" s="602"/>
      <c r="C851" s="605"/>
      <c r="D851" s="605"/>
      <c r="E851" s="605"/>
      <c r="F851" s="605"/>
      <c r="G851" s="605"/>
      <c r="H851" s="605"/>
      <c r="I851" s="605"/>
      <c r="J851" s="605"/>
      <c r="K851" s="605"/>
    </row>
    <row r="852" spans="1:11">
      <c r="A852" s="611"/>
      <c r="B852" s="602"/>
      <c r="C852" s="605"/>
      <c r="D852" s="605"/>
      <c r="E852" s="605"/>
      <c r="F852" s="605"/>
      <c r="G852" s="605"/>
      <c r="H852" s="605"/>
      <c r="I852" s="605"/>
      <c r="J852" s="605"/>
      <c r="K852" s="605"/>
    </row>
    <row r="853" spans="1:11">
      <c r="A853" s="611"/>
      <c r="B853" s="602"/>
      <c r="C853" s="605"/>
      <c r="D853" s="605"/>
      <c r="E853" s="605"/>
      <c r="F853" s="605"/>
      <c r="G853" s="605"/>
      <c r="H853" s="605"/>
      <c r="I853" s="605"/>
      <c r="J853" s="605"/>
      <c r="K853" s="605"/>
    </row>
    <row r="854" spans="1:11">
      <c r="A854" s="611"/>
      <c r="B854" s="602"/>
      <c r="C854" s="605"/>
      <c r="D854" s="605"/>
      <c r="E854" s="605"/>
      <c r="F854" s="605"/>
      <c r="G854" s="605"/>
      <c r="H854" s="605"/>
      <c r="I854" s="605"/>
      <c r="J854" s="605"/>
      <c r="K854" s="605"/>
    </row>
    <row r="855" spans="1:11">
      <c r="A855" s="611"/>
      <c r="B855" s="602"/>
      <c r="C855" s="605"/>
      <c r="D855" s="605"/>
      <c r="E855" s="605"/>
      <c r="F855" s="605"/>
      <c r="G855" s="605"/>
      <c r="H855" s="605"/>
      <c r="I855" s="605"/>
      <c r="J855" s="605"/>
      <c r="K855" s="605"/>
    </row>
    <row r="856" spans="1:11">
      <c r="A856" s="611"/>
      <c r="B856" s="602"/>
      <c r="C856" s="605"/>
      <c r="D856" s="605"/>
      <c r="E856" s="605"/>
      <c r="F856" s="605"/>
      <c r="G856" s="605"/>
      <c r="H856" s="605"/>
      <c r="I856" s="605"/>
      <c r="J856" s="605"/>
      <c r="K856" s="605"/>
    </row>
    <row r="857" spans="1:11">
      <c r="A857" s="611"/>
      <c r="B857" s="602"/>
      <c r="C857" s="605"/>
      <c r="D857" s="605"/>
      <c r="E857" s="605"/>
      <c r="F857" s="605"/>
      <c r="G857" s="605"/>
      <c r="H857" s="605"/>
      <c r="I857" s="605"/>
      <c r="J857" s="605"/>
      <c r="K857" s="605"/>
    </row>
    <row r="858" spans="1:11">
      <c r="A858" s="611"/>
      <c r="B858" s="602"/>
      <c r="C858" s="605"/>
      <c r="D858" s="605"/>
      <c r="E858" s="605"/>
      <c r="F858" s="605"/>
      <c r="G858" s="605"/>
      <c r="H858" s="605"/>
      <c r="I858" s="605"/>
      <c r="J858" s="605"/>
      <c r="K858" s="605"/>
    </row>
    <row r="859" spans="1:11">
      <c r="A859" s="611"/>
      <c r="B859" s="602"/>
      <c r="C859" s="605"/>
      <c r="D859" s="605"/>
      <c r="E859" s="605"/>
      <c r="F859" s="605"/>
      <c r="G859" s="605"/>
      <c r="H859" s="605"/>
      <c r="I859" s="605"/>
      <c r="J859" s="605"/>
      <c r="K859" s="605"/>
    </row>
    <row r="860" spans="1:11">
      <c r="A860" s="611"/>
      <c r="B860" s="602"/>
      <c r="C860" s="605"/>
      <c r="D860" s="605"/>
      <c r="E860" s="605"/>
      <c r="F860" s="605"/>
      <c r="G860" s="605"/>
      <c r="H860" s="605"/>
      <c r="I860" s="605"/>
      <c r="J860" s="605"/>
      <c r="K860" s="605"/>
    </row>
    <row r="861" spans="1:11">
      <c r="A861" s="611"/>
      <c r="B861" s="602"/>
      <c r="C861" s="605"/>
      <c r="D861" s="605"/>
      <c r="E861" s="605"/>
      <c r="F861" s="605"/>
      <c r="G861" s="605"/>
      <c r="H861" s="605"/>
      <c r="I861" s="605"/>
      <c r="J861" s="605"/>
      <c r="K861" s="605"/>
    </row>
    <row r="862" spans="1:11">
      <c r="A862" s="611"/>
      <c r="B862" s="602"/>
      <c r="C862" s="605"/>
      <c r="D862" s="605"/>
      <c r="E862" s="605"/>
      <c r="F862" s="605"/>
      <c r="G862" s="605"/>
      <c r="H862" s="605"/>
      <c r="I862" s="605"/>
      <c r="J862" s="605"/>
      <c r="K862" s="605"/>
    </row>
    <row r="863" spans="1:11">
      <c r="A863" s="611"/>
      <c r="B863" s="602"/>
      <c r="C863" s="605"/>
      <c r="D863" s="605"/>
      <c r="E863" s="605"/>
      <c r="F863" s="605"/>
      <c r="G863" s="605"/>
      <c r="H863" s="605"/>
      <c r="I863" s="605"/>
      <c r="J863" s="605"/>
      <c r="K863" s="605"/>
    </row>
    <row r="864" spans="1:11">
      <c r="A864" s="611"/>
      <c r="B864" s="602"/>
      <c r="C864" s="605"/>
      <c r="D864" s="605"/>
      <c r="E864" s="605"/>
      <c r="F864" s="605"/>
      <c r="G864" s="605"/>
      <c r="H864" s="605"/>
      <c r="I864" s="605"/>
      <c r="J864" s="605"/>
      <c r="K864" s="605"/>
    </row>
    <row r="865" spans="1:11">
      <c r="A865" s="611"/>
      <c r="B865" s="602"/>
      <c r="C865" s="605"/>
      <c r="D865" s="605"/>
      <c r="E865" s="605"/>
      <c r="F865" s="605"/>
      <c r="G865" s="605"/>
      <c r="H865" s="605"/>
      <c r="I865" s="605"/>
      <c r="J865" s="605"/>
      <c r="K865" s="605"/>
    </row>
    <row r="866" spans="1:11">
      <c r="A866" s="611"/>
      <c r="B866" s="602"/>
      <c r="C866" s="605"/>
      <c r="D866" s="605"/>
      <c r="E866" s="605"/>
      <c r="F866" s="605"/>
      <c r="G866" s="605"/>
      <c r="H866" s="605"/>
      <c r="I866" s="605"/>
      <c r="J866" s="605"/>
      <c r="K866" s="605"/>
    </row>
    <row r="867" spans="1:11">
      <c r="A867" s="611"/>
      <c r="B867" s="602"/>
      <c r="C867" s="605"/>
      <c r="D867" s="605"/>
      <c r="E867" s="605"/>
      <c r="F867" s="605"/>
      <c r="G867" s="605"/>
      <c r="H867" s="605"/>
      <c r="I867" s="605"/>
      <c r="J867" s="605"/>
      <c r="K867" s="605"/>
    </row>
    <row r="868" spans="1:11">
      <c r="A868" s="611"/>
      <c r="B868" s="602"/>
      <c r="C868" s="605"/>
      <c r="D868" s="605"/>
      <c r="E868" s="605"/>
      <c r="F868" s="605"/>
      <c r="G868" s="605"/>
      <c r="H868" s="605"/>
      <c r="I868" s="605"/>
      <c r="J868" s="605"/>
      <c r="K868" s="605"/>
    </row>
    <row r="869" spans="1:11">
      <c r="A869" s="611"/>
      <c r="B869" s="602"/>
      <c r="C869" s="605"/>
      <c r="D869" s="605"/>
      <c r="E869" s="605"/>
      <c r="F869" s="605"/>
      <c r="G869" s="605"/>
      <c r="H869" s="605"/>
      <c r="I869" s="605"/>
      <c r="J869" s="605"/>
      <c r="K869" s="605"/>
    </row>
    <row r="870" spans="1:11">
      <c r="A870" s="611"/>
      <c r="B870" s="602"/>
      <c r="C870" s="605"/>
      <c r="D870" s="605"/>
      <c r="E870" s="605"/>
      <c r="F870" s="605"/>
      <c r="G870" s="605"/>
      <c r="H870" s="605"/>
      <c r="I870" s="605"/>
      <c r="J870" s="605"/>
      <c r="K870" s="605"/>
    </row>
    <row r="871" spans="1:11">
      <c r="A871" s="611"/>
      <c r="B871" s="602"/>
      <c r="C871" s="605"/>
      <c r="D871" s="605"/>
      <c r="E871" s="605"/>
      <c r="F871" s="605"/>
      <c r="G871" s="605"/>
      <c r="H871" s="605"/>
      <c r="I871" s="605"/>
      <c r="J871" s="605"/>
      <c r="K871" s="605"/>
    </row>
    <row r="872" spans="1:11">
      <c r="A872" s="611"/>
      <c r="B872" s="602"/>
      <c r="C872" s="605"/>
      <c r="D872" s="605"/>
      <c r="E872" s="605"/>
      <c r="F872" s="605"/>
      <c r="G872" s="605"/>
      <c r="H872" s="605"/>
      <c r="I872" s="605"/>
      <c r="J872" s="605"/>
      <c r="K872" s="605"/>
    </row>
    <row r="873" spans="1:11">
      <c r="A873" s="611"/>
      <c r="B873" s="602"/>
      <c r="C873" s="605"/>
      <c r="D873" s="605"/>
      <c r="E873" s="605"/>
      <c r="F873" s="605"/>
      <c r="G873" s="605"/>
      <c r="H873" s="605"/>
      <c r="I873" s="605"/>
      <c r="J873" s="605"/>
      <c r="K873" s="605"/>
    </row>
    <row r="874" spans="1:11">
      <c r="A874" s="611"/>
      <c r="B874" s="602"/>
      <c r="C874" s="605"/>
      <c r="D874" s="605"/>
      <c r="E874" s="605"/>
      <c r="F874" s="605"/>
      <c r="G874" s="605"/>
      <c r="H874" s="605"/>
      <c r="I874" s="605"/>
      <c r="J874" s="605"/>
      <c r="K874" s="605"/>
    </row>
    <row r="875" spans="1:11">
      <c r="A875" s="611"/>
      <c r="B875" s="602"/>
      <c r="C875" s="605"/>
      <c r="D875" s="605"/>
      <c r="E875" s="605"/>
      <c r="F875" s="605"/>
      <c r="G875" s="605"/>
      <c r="H875" s="605"/>
      <c r="I875" s="605"/>
      <c r="J875" s="605"/>
      <c r="K875" s="605"/>
    </row>
    <row r="876" spans="1:11">
      <c r="A876" s="611"/>
      <c r="B876" s="602"/>
      <c r="C876" s="605"/>
      <c r="D876" s="605"/>
      <c r="E876" s="605"/>
      <c r="F876" s="605"/>
      <c r="G876" s="605"/>
      <c r="H876" s="605"/>
      <c r="I876" s="605"/>
      <c r="J876" s="605"/>
      <c r="K876" s="605"/>
    </row>
    <row r="877" spans="1:11">
      <c r="A877" s="611"/>
      <c r="B877" s="602"/>
      <c r="C877" s="605"/>
      <c r="D877" s="605"/>
      <c r="E877" s="605"/>
      <c r="F877" s="605"/>
      <c r="G877" s="605"/>
      <c r="H877" s="605"/>
      <c r="I877" s="605"/>
      <c r="J877" s="605"/>
      <c r="K877" s="605"/>
    </row>
    <row r="878" spans="1:11">
      <c r="A878" s="611"/>
      <c r="B878" s="602"/>
      <c r="C878" s="605"/>
      <c r="D878" s="605"/>
      <c r="E878" s="605"/>
      <c r="F878" s="605"/>
      <c r="G878" s="605"/>
      <c r="H878" s="605"/>
      <c r="I878" s="605"/>
      <c r="J878" s="605"/>
      <c r="K878" s="605"/>
    </row>
    <row r="879" spans="1:11">
      <c r="A879" s="611"/>
      <c r="B879" s="602"/>
      <c r="C879" s="605"/>
      <c r="D879" s="605"/>
      <c r="E879" s="605"/>
      <c r="F879" s="605"/>
      <c r="G879" s="605"/>
      <c r="H879" s="605"/>
      <c r="I879" s="605"/>
      <c r="J879" s="605"/>
      <c r="K879" s="605"/>
    </row>
    <row r="880" spans="1:11">
      <c r="A880" s="611"/>
      <c r="B880" s="602"/>
      <c r="C880" s="605"/>
      <c r="D880" s="605"/>
      <c r="E880" s="605"/>
      <c r="F880" s="605"/>
      <c r="G880" s="605"/>
      <c r="H880" s="605"/>
      <c r="I880" s="605"/>
      <c r="J880" s="605"/>
      <c r="K880" s="605"/>
    </row>
    <row r="881" spans="1:11">
      <c r="A881" s="611"/>
      <c r="B881" s="602"/>
      <c r="C881" s="605"/>
      <c r="D881" s="605"/>
      <c r="E881" s="605"/>
      <c r="F881" s="605"/>
      <c r="G881" s="605"/>
      <c r="H881" s="605"/>
      <c r="I881" s="605"/>
      <c r="J881" s="605"/>
      <c r="K881" s="605"/>
    </row>
    <row r="882" spans="1:11">
      <c r="A882" s="611"/>
      <c r="B882" s="602"/>
      <c r="C882" s="605"/>
      <c r="D882" s="605"/>
      <c r="E882" s="605"/>
      <c r="F882" s="605"/>
      <c r="G882" s="605"/>
      <c r="H882" s="605"/>
      <c r="I882" s="605"/>
      <c r="J882" s="605"/>
      <c r="K882" s="605"/>
    </row>
    <row r="883" spans="1:11">
      <c r="A883" s="611"/>
      <c r="B883" s="602"/>
      <c r="C883" s="605"/>
      <c r="D883" s="605"/>
      <c r="E883" s="605"/>
      <c r="F883" s="605"/>
      <c r="G883" s="605"/>
      <c r="H883" s="605"/>
      <c r="I883" s="605"/>
      <c r="J883" s="605"/>
      <c r="K883" s="605"/>
    </row>
    <row r="884" spans="1:11">
      <c r="A884" s="611"/>
      <c r="B884" s="602"/>
      <c r="C884" s="605"/>
      <c r="D884" s="605"/>
      <c r="E884" s="605"/>
      <c r="F884" s="605"/>
      <c r="G884" s="605"/>
      <c r="H884" s="605"/>
      <c r="I884" s="605"/>
      <c r="J884" s="605"/>
      <c r="K884" s="605"/>
    </row>
    <row r="885" spans="1:11">
      <c r="A885" s="611"/>
      <c r="B885" s="602"/>
      <c r="C885" s="605"/>
      <c r="D885" s="605"/>
      <c r="E885" s="605"/>
      <c r="F885" s="605"/>
      <c r="G885" s="605"/>
      <c r="H885" s="605"/>
      <c r="I885" s="605"/>
      <c r="J885" s="605"/>
      <c r="K885" s="605"/>
    </row>
    <row r="886" spans="1:11">
      <c r="A886" s="611"/>
      <c r="B886" s="602"/>
      <c r="C886" s="605"/>
      <c r="D886" s="605"/>
      <c r="E886" s="605"/>
      <c r="F886" s="605"/>
      <c r="G886" s="605"/>
      <c r="H886" s="605"/>
      <c r="I886" s="605"/>
      <c r="J886" s="605"/>
      <c r="K886" s="605"/>
    </row>
    <row r="887" spans="1:11">
      <c r="A887" s="611"/>
      <c r="B887" s="602"/>
      <c r="C887" s="605"/>
      <c r="D887" s="605"/>
      <c r="E887" s="605"/>
      <c r="F887" s="605"/>
      <c r="G887" s="605"/>
      <c r="H887" s="605"/>
      <c r="I887" s="605"/>
      <c r="J887" s="605"/>
      <c r="K887" s="605"/>
    </row>
    <row r="888" spans="1:11">
      <c r="A888" s="611"/>
      <c r="B888" s="602"/>
      <c r="C888" s="605"/>
      <c r="D888" s="605"/>
      <c r="E888" s="605"/>
      <c r="F888" s="605"/>
      <c r="G888" s="605"/>
      <c r="H888" s="605"/>
      <c r="I888" s="605"/>
      <c r="J888" s="605"/>
      <c r="K888" s="605"/>
    </row>
    <row r="889" spans="1:11">
      <c r="A889" s="611"/>
      <c r="B889" s="602"/>
      <c r="C889" s="605"/>
      <c r="D889" s="605"/>
      <c r="E889" s="605"/>
      <c r="F889" s="605"/>
      <c r="G889" s="605"/>
      <c r="H889" s="605"/>
      <c r="I889" s="605"/>
      <c r="J889" s="605"/>
      <c r="K889" s="605"/>
    </row>
    <row r="890" spans="1:11">
      <c r="A890" s="611"/>
      <c r="B890" s="602"/>
      <c r="C890" s="605"/>
      <c r="D890" s="605"/>
      <c r="E890" s="605"/>
      <c r="F890" s="605"/>
      <c r="G890" s="605"/>
      <c r="H890" s="605"/>
      <c r="I890" s="605"/>
      <c r="J890" s="605"/>
      <c r="K890" s="605"/>
    </row>
    <row r="891" spans="1:11">
      <c r="A891" s="611"/>
      <c r="B891" s="602"/>
      <c r="C891" s="605"/>
      <c r="D891" s="605"/>
      <c r="E891" s="605"/>
      <c r="F891" s="605"/>
      <c r="G891" s="605"/>
      <c r="H891" s="605"/>
      <c r="I891" s="605"/>
      <c r="J891" s="605"/>
      <c r="K891" s="605"/>
    </row>
    <row r="892" spans="1:11">
      <c r="A892" s="611"/>
      <c r="B892" s="602"/>
      <c r="C892" s="605"/>
      <c r="D892" s="605"/>
      <c r="E892" s="605"/>
      <c r="F892" s="605"/>
      <c r="G892" s="605"/>
      <c r="H892" s="605"/>
      <c r="I892" s="605"/>
      <c r="J892" s="605"/>
      <c r="K892" s="605"/>
    </row>
    <row r="893" spans="1:11">
      <c r="A893" s="611"/>
      <c r="B893" s="602"/>
      <c r="C893" s="605"/>
      <c r="D893" s="605"/>
      <c r="E893" s="605"/>
      <c r="F893" s="605"/>
      <c r="G893" s="605"/>
      <c r="H893" s="605"/>
      <c r="I893" s="605"/>
      <c r="J893" s="605"/>
      <c r="K893" s="605"/>
    </row>
    <row r="894" spans="1:11">
      <c r="A894" s="611"/>
      <c r="B894" s="602"/>
      <c r="C894" s="605"/>
      <c r="D894" s="605"/>
      <c r="E894" s="605"/>
      <c r="F894" s="605"/>
      <c r="G894" s="605"/>
      <c r="H894" s="605"/>
      <c r="I894" s="605"/>
      <c r="J894" s="605"/>
      <c r="K894" s="605"/>
    </row>
    <row r="895" spans="1:11">
      <c r="A895" s="611"/>
      <c r="B895" s="602"/>
      <c r="C895" s="605"/>
      <c r="D895" s="605"/>
      <c r="E895" s="605"/>
      <c r="F895" s="605"/>
      <c r="G895" s="605"/>
      <c r="H895" s="605"/>
      <c r="I895" s="605"/>
      <c r="J895" s="605"/>
      <c r="K895" s="605"/>
    </row>
    <row r="896" spans="1:11">
      <c r="A896" s="611"/>
      <c r="B896" s="602"/>
      <c r="C896" s="605"/>
      <c r="D896" s="605"/>
      <c r="E896" s="605"/>
      <c r="F896" s="605"/>
      <c r="G896" s="605"/>
      <c r="H896" s="605"/>
      <c r="I896" s="605"/>
      <c r="J896" s="605"/>
      <c r="K896" s="605"/>
    </row>
    <row r="897" spans="1:11">
      <c r="A897" s="611"/>
      <c r="B897" s="602"/>
      <c r="C897" s="605"/>
      <c r="D897" s="605"/>
      <c r="E897" s="605"/>
      <c r="F897" s="605"/>
      <c r="G897" s="605"/>
      <c r="H897" s="605"/>
      <c r="I897" s="605"/>
      <c r="J897" s="605"/>
      <c r="K897" s="605"/>
    </row>
    <row r="898" spans="1:11">
      <c r="A898" s="611"/>
      <c r="B898" s="602"/>
      <c r="C898" s="605"/>
      <c r="D898" s="605"/>
      <c r="E898" s="605"/>
      <c r="F898" s="605"/>
      <c r="G898" s="605"/>
      <c r="H898" s="605"/>
      <c r="I898" s="605"/>
      <c r="J898" s="605"/>
      <c r="K898" s="605"/>
    </row>
    <row r="899" spans="1:11">
      <c r="A899" s="611"/>
      <c r="B899" s="602"/>
      <c r="C899" s="605"/>
      <c r="D899" s="605"/>
      <c r="E899" s="605"/>
      <c r="F899" s="605"/>
      <c r="G899" s="605"/>
      <c r="H899" s="605"/>
      <c r="I899" s="605"/>
      <c r="J899" s="605"/>
      <c r="K899" s="605"/>
    </row>
    <row r="900" spans="1:11">
      <c r="A900" s="611"/>
      <c r="B900" s="602"/>
      <c r="C900" s="605"/>
      <c r="D900" s="605"/>
      <c r="E900" s="605"/>
      <c r="F900" s="605"/>
      <c r="G900" s="605"/>
      <c r="H900" s="605"/>
      <c r="I900" s="605"/>
      <c r="J900" s="605"/>
      <c r="K900" s="605"/>
    </row>
    <row r="901" spans="1:11">
      <c r="A901" s="611"/>
      <c r="B901" s="602"/>
      <c r="C901" s="605"/>
      <c r="D901" s="605"/>
      <c r="E901" s="605"/>
      <c r="F901" s="605"/>
      <c r="G901" s="605"/>
      <c r="H901" s="605"/>
      <c r="I901" s="605"/>
      <c r="J901" s="605"/>
      <c r="K901" s="605"/>
    </row>
    <row r="902" spans="1:11">
      <c r="A902" s="611"/>
      <c r="B902" s="602"/>
      <c r="C902" s="605"/>
      <c r="D902" s="605"/>
      <c r="E902" s="605"/>
      <c r="F902" s="605"/>
      <c r="G902" s="605"/>
      <c r="H902" s="605"/>
      <c r="I902" s="605"/>
      <c r="J902" s="605"/>
      <c r="K902" s="605"/>
    </row>
    <row r="903" spans="1:11">
      <c r="A903" s="611"/>
      <c r="B903" s="602"/>
      <c r="C903" s="605"/>
      <c r="D903" s="605"/>
      <c r="E903" s="605"/>
      <c r="F903" s="605"/>
      <c r="G903" s="605"/>
      <c r="H903" s="605"/>
      <c r="I903" s="605"/>
      <c r="J903" s="605"/>
      <c r="K903" s="605"/>
    </row>
    <row r="904" spans="1:11">
      <c r="A904" s="611"/>
      <c r="B904" s="602"/>
      <c r="C904" s="605"/>
      <c r="D904" s="605"/>
      <c r="E904" s="605"/>
      <c r="F904" s="605"/>
      <c r="G904" s="605"/>
      <c r="H904" s="605"/>
      <c r="I904" s="605"/>
      <c r="J904" s="605"/>
      <c r="K904" s="605"/>
    </row>
    <row r="905" spans="1:11">
      <c r="A905" s="611"/>
      <c r="B905" s="602"/>
      <c r="C905" s="605"/>
      <c r="D905" s="605"/>
      <c r="E905" s="605"/>
      <c r="F905" s="605"/>
      <c r="G905" s="605"/>
      <c r="H905" s="605"/>
      <c r="I905" s="605"/>
      <c r="J905" s="605"/>
      <c r="K905" s="605"/>
    </row>
    <row r="906" spans="1:11">
      <c r="A906" s="611"/>
      <c r="B906" s="602"/>
      <c r="C906" s="605"/>
      <c r="D906" s="605"/>
      <c r="E906" s="605"/>
      <c r="F906" s="605"/>
      <c r="G906" s="605"/>
      <c r="H906" s="605"/>
      <c r="I906" s="605"/>
      <c r="J906" s="605"/>
      <c r="K906" s="605"/>
    </row>
    <row r="907" spans="1:11">
      <c r="A907" s="611"/>
      <c r="B907" s="602"/>
      <c r="C907" s="605"/>
      <c r="D907" s="605"/>
      <c r="E907" s="605"/>
      <c r="F907" s="605"/>
      <c r="G907" s="605"/>
      <c r="H907" s="605"/>
      <c r="I907" s="605"/>
      <c r="J907" s="605"/>
      <c r="K907" s="605"/>
    </row>
    <row r="908" spans="1:11">
      <c r="A908" s="611"/>
      <c r="B908" s="602"/>
      <c r="C908" s="605"/>
      <c r="D908" s="605"/>
      <c r="E908" s="605"/>
      <c r="F908" s="605"/>
      <c r="G908" s="605"/>
      <c r="H908" s="605"/>
      <c r="I908" s="605"/>
      <c r="J908" s="605"/>
      <c r="K908" s="605"/>
    </row>
    <row r="909" spans="1:11">
      <c r="A909" s="611"/>
      <c r="B909" s="602"/>
      <c r="C909" s="605"/>
      <c r="D909" s="605"/>
      <c r="E909" s="605"/>
      <c r="F909" s="605"/>
      <c r="G909" s="605"/>
      <c r="H909" s="605"/>
      <c r="I909" s="605"/>
      <c r="J909" s="605"/>
      <c r="K909" s="605"/>
    </row>
    <row r="910" spans="1:11">
      <c r="A910" s="611"/>
      <c r="B910" s="602"/>
      <c r="C910" s="605"/>
      <c r="D910" s="605"/>
      <c r="E910" s="605"/>
      <c r="F910" s="605"/>
      <c r="G910" s="605"/>
      <c r="H910" s="605"/>
      <c r="I910" s="605"/>
      <c r="J910" s="605"/>
      <c r="K910" s="605"/>
    </row>
    <row r="911" spans="1:11">
      <c r="A911" s="611"/>
      <c r="B911" s="602"/>
      <c r="C911" s="605"/>
      <c r="D911" s="605"/>
      <c r="E911" s="605"/>
      <c r="F911" s="605"/>
      <c r="G911" s="605"/>
      <c r="H911" s="605"/>
      <c r="I911" s="605"/>
      <c r="J911" s="605"/>
      <c r="K911" s="605"/>
    </row>
    <row r="912" spans="1:11">
      <c r="A912" s="611"/>
      <c r="B912" s="602"/>
      <c r="C912" s="605"/>
      <c r="D912" s="605"/>
      <c r="E912" s="605"/>
      <c r="F912" s="605"/>
      <c r="G912" s="605"/>
      <c r="H912" s="605"/>
      <c r="I912" s="605"/>
      <c r="J912" s="605"/>
      <c r="K912" s="605"/>
    </row>
    <row r="913" spans="1:11">
      <c r="A913" s="611"/>
      <c r="B913" s="602"/>
      <c r="C913" s="605"/>
      <c r="D913" s="605"/>
      <c r="E913" s="605"/>
      <c r="F913" s="605"/>
      <c r="G913" s="605"/>
      <c r="H913" s="605"/>
      <c r="I913" s="605"/>
      <c r="J913" s="605"/>
      <c r="K913" s="605"/>
    </row>
    <row r="914" spans="1:11">
      <c r="A914" s="611"/>
      <c r="B914" s="602"/>
      <c r="C914" s="605"/>
      <c r="D914" s="605"/>
      <c r="E914" s="605"/>
      <c r="F914" s="605"/>
      <c r="G914" s="605"/>
      <c r="H914" s="605"/>
      <c r="I914" s="605"/>
      <c r="J914" s="605"/>
      <c r="K914" s="605"/>
    </row>
    <row r="915" spans="1:11">
      <c r="A915" s="611"/>
      <c r="B915" s="602"/>
      <c r="C915" s="605"/>
      <c r="D915" s="605"/>
      <c r="E915" s="605"/>
      <c r="F915" s="605"/>
      <c r="G915" s="605"/>
      <c r="H915" s="605"/>
      <c r="I915" s="605"/>
      <c r="J915" s="605"/>
      <c r="K915" s="605"/>
    </row>
    <row r="916" spans="1:11">
      <c r="A916" s="611"/>
      <c r="B916" s="602"/>
      <c r="C916" s="605"/>
      <c r="D916" s="605"/>
      <c r="E916" s="605"/>
      <c r="F916" s="605"/>
      <c r="G916" s="605"/>
      <c r="H916" s="605"/>
      <c r="I916" s="605"/>
      <c r="J916" s="605"/>
      <c r="K916" s="605"/>
    </row>
    <row r="917" spans="1:11">
      <c r="A917" s="611"/>
      <c r="B917" s="602"/>
      <c r="C917" s="605"/>
      <c r="D917" s="605"/>
      <c r="E917" s="605"/>
      <c r="F917" s="605"/>
      <c r="G917" s="605"/>
      <c r="H917" s="605"/>
      <c r="I917" s="605"/>
      <c r="J917" s="605"/>
      <c r="K917" s="605"/>
    </row>
    <row r="918" spans="1:11">
      <c r="A918" s="611"/>
      <c r="B918" s="602"/>
      <c r="C918" s="605"/>
      <c r="D918" s="605"/>
      <c r="E918" s="605"/>
      <c r="F918" s="605"/>
      <c r="G918" s="605"/>
      <c r="H918" s="605"/>
      <c r="I918" s="605"/>
      <c r="J918" s="605"/>
      <c r="K918" s="605"/>
    </row>
    <row r="919" spans="1:11">
      <c r="A919" s="611"/>
      <c r="B919" s="602"/>
      <c r="C919" s="605"/>
      <c r="D919" s="605"/>
      <c r="E919" s="605"/>
      <c r="F919" s="605"/>
      <c r="G919" s="605"/>
      <c r="H919" s="605"/>
      <c r="I919" s="605"/>
      <c r="J919" s="605"/>
      <c r="K919" s="605"/>
    </row>
    <row r="920" spans="1:11">
      <c r="A920" s="611"/>
      <c r="B920" s="602"/>
      <c r="C920" s="605"/>
      <c r="D920" s="605"/>
      <c r="E920" s="605"/>
      <c r="F920" s="605"/>
      <c r="G920" s="605"/>
      <c r="H920" s="605"/>
      <c r="I920" s="605"/>
      <c r="J920" s="605"/>
      <c r="K920" s="605"/>
    </row>
    <row r="921" spans="1:11">
      <c r="A921" s="611"/>
      <c r="B921" s="602"/>
      <c r="C921" s="605"/>
      <c r="D921" s="605"/>
      <c r="E921" s="605"/>
      <c r="F921" s="605"/>
      <c r="G921" s="605"/>
      <c r="H921" s="605"/>
      <c r="I921" s="605"/>
      <c r="J921" s="605"/>
      <c r="K921" s="605"/>
    </row>
    <row r="922" spans="1:11">
      <c r="A922" s="611"/>
      <c r="B922" s="602"/>
      <c r="C922" s="605"/>
      <c r="D922" s="605"/>
      <c r="E922" s="605"/>
      <c r="F922" s="605"/>
      <c r="G922" s="605"/>
      <c r="H922" s="605"/>
      <c r="I922" s="605"/>
      <c r="J922" s="605"/>
      <c r="K922" s="605"/>
    </row>
    <row r="923" spans="1:11">
      <c r="A923" s="611"/>
      <c r="B923" s="602"/>
      <c r="C923" s="605"/>
      <c r="D923" s="605"/>
      <c r="E923" s="605"/>
      <c r="F923" s="605"/>
      <c r="G923" s="605"/>
      <c r="H923" s="605"/>
      <c r="I923" s="605"/>
      <c r="J923" s="605"/>
      <c r="K923" s="605"/>
    </row>
    <row r="924" spans="1:11">
      <c r="A924" s="611"/>
      <c r="B924" s="602"/>
      <c r="C924" s="605"/>
      <c r="D924" s="605"/>
      <c r="E924" s="605"/>
      <c r="F924" s="605"/>
      <c r="G924" s="605"/>
      <c r="H924" s="605"/>
      <c r="I924" s="605"/>
      <c r="J924" s="605"/>
      <c r="K924" s="605"/>
    </row>
    <row r="925" spans="1:11">
      <c r="A925" s="611"/>
      <c r="B925" s="602"/>
      <c r="C925" s="605"/>
      <c r="D925" s="605"/>
      <c r="E925" s="605"/>
      <c r="F925" s="605"/>
      <c r="G925" s="605"/>
      <c r="H925" s="605"/>
      <c r="I925" s="605"/>
      <c r="J925" s="605"/>
      <c r="K925" s="605"/>
    </row>
    <row r="926" spans="1:11">
      <c r="A926" s="611"/>
      <c r="B926" s="602"/>
      <c r="C926" s="605"/>
      <c r="D926" s="605"/>
      <c r="E926" s="605"/>
      <c r="F926" s="605"/>
      <c r="G926" s="605"/>
      <c r="H926" s="605"/>
      <c r="I926" s="605"/>
      <c r="J926" s="605"/>
      <c r="K926" s="605"/>
    </row>
    <row r="927" spans="1:11">
      <c r="A927" s="611"/>
      <c r="B927" s="602"/>
      <c r="C927" s="605"/>
      <c r="D927" s="605"/>
      <c r="E927" s="605"/>
      <c r="F927" s="605"/>
      <c r="G927" s="605"/>
      <c r="H927" s="605"/>
      <c r="I927" s="605"/>
      <c r="J927" s="605"/>
      <c r="K927" s="605"/>
    </row>
    <row r="928" spans="1:11">
      <c r="A928" s="611"/>
      <c r="B928" s="602"/>
      <c r="C928" s="605"/>
      <c r="D928" s="605"/>
      <c r="E928" s="605"/>
      <c r="F928" s="605"/>
      <c r="G928" s="605"/>
      <c r="H928" s="605"/>
      <c r="I928" s="605"/>
      <c r="J928" s="605"/>
      <c r="K928" s="605"/>
    </row>
    <row r="929" spans="1:11">
      <c r="A929" s="611"/>
      <c r="B929" s="602"/>
      <c r="C929" s="605"/>
      <c r="D929" s="605"/>
      <c r="E929" s="605"/>
      <c r="F929" s="605"/>
      <c r="G929" s="605"/>
      <c r="H929" s="605"/>
      <c r="I929" s="605"/>
      <c r="J929" s="605"/>
      <c r="K929" s="605"/>
    </row>
    <row r="930" spans="1:11">
      <c r="A930" s="611"/>
      <c r="B930" s="602"/>
      <c r="C930" s="605"/>
      <c r="D930" s="605"/>
      <c r="E930" s="605"/>
      <c r="F930" s="605"/>
      <c r="G930" s="605"/>
      <c r="H930" s="605"/>
      <c r="I930" s="605"/>
      <c r="J930" s="605"/>
      <c r="K930" s="605"/>
    </row>
    <row r="931" spans="1:11">
      <c r="A931" s="611"/>
      <c r="B931" s="602"/>
      <c r="C931" s="605"/>
      <c r="D931" s="605"/>
      <c r="E931" s="605"/>
      <c r="F931" s="605"/>
      <c r="G931" s="605"/>
      <c r="H931" s="605"/>
      <c r="I931" s="605"/>
      <c r="J931" s="605"/>
      <c r="K931" s="605"/>
    </row>
    <row r="932" spans="1:11">
      <c r="A932" s="611"/>
      <c r="B932" s="602"/>
      <c r="C932" s="605"/>
      <c r="D932" s="605"/>
      <c r="E932" s="605"/>
      <c r="F932" s="605"/>
      <c r="G932" s="605"/>
      <c r="H932" s="605"/>
      <c r="I932" s="605"/>
      <c r="J932" s="605"/>
      <c r="K932" s="605"/>
    </row>
    <row r="933" spans="1:11">
      <c r="A933" s="611"/>
      <c r="B933" s="602"/>
      <c r="C933" s="605"/>
      <c r="D933" s="605"/>
      <c r="E933" s="605"/>
      <c r="F933" s="605"/>
      <c r="G933" s="605"/>
      <c r="H933" s="605"/>
      <c r="I933" s="605"/>
      <c r="J933" s="605"/>
      <c r="K933" s="605"/>
    </row>
    <row r="934" spans="1:11">
      <c r="A934" s="611"/>
      <c r="B934" s="602"/>
      <c r="C934" s="605"/>
      <c r="D934" s="605"/>
      <c r="E934" s="605"/>
      <c r="F934" s="605"/>
      <c r="G934" s="605"/>
      <c r="H934" s="605"/>
      <c r="I934" s="605"/>
      <c r="J934" s="605"/>
      <c r="K934" s="605"/>
    </row>
    <row r="935" spans="1:11">
      <c r="A935" s="611"/>
      <c r="B935" s="602"/>
      <c r="C935" s="605"/>
      <c r="D935" s="605"/>
      <c r="E935" s="605"/>
      <c r="F935" s="605"/>
      <c r="G935" s="605"/>
      <c r="H935" s="605"/>
      <c r="I935" s="605"/>
      <c r="J935" s="605"/>
      <c r="K935" s="605"/>
    </row>
    <row r="936" spans="1:11">
      <c r="A936" s="611"/>
      <c r="B936" s="602"/>
      <c r="C936" s="605"/>
      <c r="D936" s="605"/>
      <c r="E936" s="605"/>
      <c r="F936" s="605"/>
      <c r="G936" s="605"/>
      <c r="H936" s="605"/>
      <c r="I936" s="605"/>
      <c r="J936" s="605"/>
      <c r="K936" s="605"/>
    </row>
    <row r="937" spans="1:11">
      <c r="A937" s="611"/>
      <c r="B937" s="602"/>
      <c r="C937" s="605"/>
      <c r="D937" s="605"/>
      <c r="E937" s="605"/>
      <c r="F937" s="605"/>
      <c r="G937" s="605"/>
      <c r="H937" s="605"/>
      <c r="I937" s="605"/>
      <c r="J937" s="605"/>
      <c r="K937" s="605"/>
    </row>
    <row r="938" spans="1:11">
      <c r="A938" s="611"/>
      <c r="B938" s="602"/>
      <c r="C938" s="605"/>
      <c r="D938" s="605"/>
      <c r="E938" s="605"/>
      <c r="F938" s="605"/>
      <c r="G938" s="605"/>
      <c r="H938" s="605"/>
      <c r="I938" s="605"/>
      <c r="J938" s="605"/>
      <c r="K938" s="605"/>
    </row>
    <row r="939" spans="1:11">
      <c r="A939" s="611"/>
      <c r="B939" s="602"/>
      <c r="C939" s="605"/>
      <c r="D939" s="605"/>
      <c r="E939" s="605"/>
      <c r="F939" s="605"/>
      <c r="G939" s="605"/>
      <c r="H939" s="605"/>
      <c r="I939" s="605"/>
      <c r="J939" s="605"/>
      <c r="K939" s="605"/>
    </row>
    <row r="940" spans="1:11">
      <c r="A940" s="611"/>
      <c r="B940" s="602"/>
      <c r="C940" s="605"/>
      <c r="D940" s="605"/>
      <c r="E940" s="605"/>
      <c r="F940" s="605"/>
      <c r="G940" s="605"/>
      <c r="H940" s="605"/>
      <c r="I940" s="605"/>
      <c r="J940" s="605"/>
      <c r="K940" s="605"/>
    </row>
    <row r="941" spans="1:11">
      <c r="A941" s="611"/>
      <c r="B941" s="602"/>
      <c r="C941" s="605"/>
      <c r="D941" s="605"/>
      <c r="E941" s="605"/>
      <c r="F941" s="605"/>
      <c r="G941" s="605"/>
      <c r="H941" s="605"/>
      <c r="I941" s="605"/>
      <c r="J941" s="605"/>
      <c r="K941" s="605"/>
    </row>
    <row r="942" spans="1:11">
      <c r="A942" s="611"/>
      <c r="B942" s="602"/>
      <c r="C942" s="605"/>
      <c r="D942" s="605"/>
      <c r="E942" s="605"/>
      <c r="F942" s="605"/>
      <c r="G942" s="605"/>
      <c r="H942" s="605"/>
      <c r="I942" s="605"/>
      <c r="J942" s="605"/>
      <c r="K942" s="605"/>
    </row>
    <row r="943" spans="1:11">
      <c r="A943" s="611"/>
      <c r="B943" s="602"/>
      <c r="C943" s="605"/>
      <c r="D943" s="605"/>
      <c r="E943" s="605"/>
      <c r="F943" s="605"/>
      <c r="G943" s="605"/>
      <c r="H943" s="605"/>
      <c r="I943" s="605"/>
      <c r="J943" s="605"/>
      <c r="K943" s="605"/>
    </row>
    <row r="944" spans="1:11">
      <c r="A944" s="611"/>
      <c r="B944" s="602"/>
      <c r="C944" s="605"/>
      <c r="D944" s="605"/>
      <c r="E944" s="605"/>
      <c r="F944" s="605"/>
      <c r="G944" s="605"/>
      <c r="H944" s="605"/>
      <c r="I944" s="605"/>
      <c r="J944" s="605"/>
      <c r="K944" s="605"/>
    </row>
    <row r="945" spans="1:11">
      <c r="A945" s="611"/>
      <c r="B945" s="602"/>
      <c r="C945" s="605"/>
      <c r="D945" s="605"/>
      <c r="E945" s="605"/>
      <c r="F945" s="605"/>
      <c r="G945" s="605"/>
      <c r="H945" s="605"/>
      <c r="I945" s="605"/>
      <c r="J945" s="605"/>
      <c r="K945" s="605"/>
    </row>
    <row r="946" spans="1:11">
      <c r="A946" s="611"/>
      <c r="B946" s="602"/>
      <c r="C946" s="605"/>
      <c r="D946" s="605"/>
      <c r="E946" s="605"/>
      <c r="F946" s="605"/>
      <c r="G946" s="605"/>
      <c r="H946" s="605"/>
      <c r="I946" s="605"/>
      <c r="J946" s="605"/>
      <c r="K946" s="605"/>
    </row>
    <row r="947" spans="1:11">
      <c r="A947" s="611"/>
      <c r="B947" s="602"/>
      <c r="C947" s="605"/>
      <c r="D947" s="605"/>
      <c r="E947" s="605"/>
      <c r="F947" s="605"/>
      <c r="G947" s="605"/>
      <c r="H947" s="605"/>
      <c r="I947" s="605"/>
      <c r="J947" s="605"/>
      <c r="K947" s="605"/>
    </row>
    <row r="948" spans="1:11">
      <c r="A948" s="611"/>
      <c r="B948" s="602"/>
      <c r="C948" s="605"/>
      <c r="D948" s="605"/>
      <c r="E948" s="605"/>
      <c r="F948" s="605"/>
      <c r="G948" s="605"/>
      <c r="H948" s="605"/>
      <c r="I948" s="605"/>
      <c r="J948" s="605"/>
      <c r="K948" s="605"/>
    </row>
    <row r="949" spans="1:11">
      <c r="A949" s="611"/>
      <c r="B949" s="602"/>
      <c r="C949" s="605"/>
      <c r="D949" s="605"/>
      <c r="E949" s="605"/>
      <c r="F949" s="605"/>
      <c r="G949" s="605"/>
      <c r="H949" s="605"/>
      <c r="I949" s="605"/>
      <c r="J949" s="605"/>
      <c r="K949" s="605"/>
    </row>
    <row r="950" spans="1:11">
      <c r="A950" s="611"/>
      <c r="B950" s="602"/>
      <c r="C950" s="605"/>
      <c r="D950" s="605"/>
      <c r="E950" s="605"/>
      <c r="F950" s="605"/>
      <c r="G950" s="605"/>
      <c r="H950" s="605"/>
      <c r="I950" s="605"/>
      <c r="J950" s="605"/>
      <c r="K950" s="605"/>
    </row>
    <row r="951" spans="1:11">
      <c r="A951" s="611"/>
      <c r="B951" s="602"/>
      <c r="C951" s="605"/>
      <c r="D951" s="605"/>
      <c r="E951" s="605"/>
      <c r="F951" s="605"/>
      <c r="G951" s="605"/>
      <c r="H951" s="605"/>
      <c r="I951" s="605"/>
      <c r="J951" s="605"/>
      <c r="K951" s="605"/>
    </row>
    <row r="952" spans="1:11">
      <c r="A952" s="611"/>
      <c r="B952" s="602"/>
      <c r="C952" s="605"/>
      <c r="D952" s="605"/>
      <c r="E952" s="605"/>
      <c r="F952" s="605"/>
      <c r="G952" s="605"/>
      <c r="H952" s="605"/>
      <c r="I952" s="605"/>
      <c r="J952" s="605"/>
      <c r="K952" s="605"/>
    </row>
    <row r="953" spans="1:11">
      <c r="A953" s="611"/>
      <c r="B953" s="602"/>
      <c r="C953" s="605"/>
      <c r="D953" s="605"/>
      <c r="E953" s="605"/>
      <c r="F953" s="605"/>
      <c r="G953" s="605"/>
      <c r="H953" s="605"/>
      <c r="I953" s="605"/>
      <c r="J953" s="605"/>
      <c r="K953" s="605"/>
    </row>
    <row r="954" spans="1:11">
      <c r="A954" s="611"/>
      <c r="B954" s="602"/>
      <c r="C954" s="605"/>
      <c r="D954" s="605"/>
      <c r="E954" s="605"/>
      <c r="F954" s="605"/>
      <c r="G954" s="605"/>
      <c r="H954" s="605"/>
      <c r="I954" s="605"/>
      <c r="J954" s="605"/>
      <c r="K954" s="605"/>
    </row>
    <row r="955" spans="1:11">
      <c r="A955" s="611"/>
      <c r="B955" s="602"/>
      <c r="C955" s="605"/>
      <c r="D955" s="605"/>
      <c r="E955" s="605"/>
      <c r="F955" s="605"/>
      <c r="G955" s="605"/>
      <c r="H955" s="605"/>
      <c r="I955" s="605"/>
      <c r="J955" s="605"/>
      <c r="K955" s="605"/>
    </row>
    <row r="956" spans="1:11">
      <c r="A956" s="611"/>
      <c r="B956" s="602"/>
      <c r="C956" s="605"/>
      <c r="D956" s="605"/>
      <c r="E956" s="605"/>
      <c r="F956" s="605"/>
      <c r="G956" s="605"/>
      <c r="H956" s="605"/>
      <c r="I956" s="605"/>
      <c r="J956" s="605"/>
      <c r="K956" s="605"/>
    </row>
    <row r="957" spans="1:11">
      <c r="A957" s="611"/>
      <c r="B957" s="602"/>
      <c r="C957" s="605"/>
      <c r="D957" s="605"/>
      <c r="E957" s="605"/>
      <c r="F957" s="605"/>
      <c r="G957" s="605"/>
      <c r="H957" s="605"/>
      <c r="I957" s="605"/>
      <c r="J957" s="605"/>
      <c r="K957" s="605"/>
    </row>
    <row r="958" spans="1:11">
      <c r="A958" s="611"/>
      <c r="B958" s="602"/>
      <c r="C958" s="605"/>
      <c r="D958" s="605"/>
      <c r="E958" s="605"/>
      <c r="F958" s="605"/>
      <c r="G958" s="605"/>
      <c r="H958" s="605"/>
      <c r="I958" s="605"/>
      <c r="J958" s="605"/>
      <c r="K958" s="605"/>
    </row>
    <row r="959" spans="1:11">
      <c r="A959" s="611"/>
      <c r="B959" s="602"/>
      <c r="C959" s="605"/>
      <c r="D959" s="605"/>
      <c r="E959" s="605"/>
      <c r="F959" s="605"/>
      <c r="G959" s="605"/>
      <c r="H959" s="605"/>
      <c r="I959" s="605"/>
      <c r="J959" s="605"/>
      <c r="K959" s="605"/>
    </row>
    <row r="960" spans="1:11">
      <c r="A960" s="611"/>
      <c r="B960" s="602"/>
      <c r="C960" s="605"/>
      <c r="D960" s="605"/>
      <c r="E960" s="605"/>
      <c r="F960" s="605"/>
      <c r="G960" s="605"/>
      <c r="H960" s="605"/>
      <c r="I960" s="605"/>
      <c r="J960" s="605"/>
      <c r="K960" s="605"/>
    </row>
    <row r="961" spans="1:11">
      <c r="A961" s="611"/>
      <c r="B961" s="602"/>
      <c r="C961" s="605"/>
      <c r="D961" s="605"/>
      <c r="E961" s="605"/>
      <c r="F961" s="605"/>
      <c r="G961" s="605"/>
      <c r="H961" s="605"/>
      <c r="I961" s="605"/>
      <c r="J961" s="605"/>
      <c r="K961" s="605"/>
    </row>
    <row r="962" spans="1:11">
      <c r="A962" s="611"/>
      <c r="B962" s="602"/>
      <c r="C962" s="605"/>
      <c r="D962" s="605"/>
      <c r="E962" s="605"/>
      <c r="F962" s="605"/>
      <c r="G962" s="605"/>
      <c r="H962" s="605"/>
      <c r="I962" s="605"/>
      <c r="J962" s="605"/>
      <c r="K962" s="605"/>
    </row>
    <row r="963" spans="1:11">
      <c r="A963" s="611"/>
      <c r="B963" s="602"/>
      <c r="C963" s="605"/>
      <c r="D963" s="605"/>
      <c r="E963" s="605"/>
      <c r="F963" s="605"/>
      <c r="G963" s="605"/>
      <c r="H963" s="605"/>
      <c r="I963" s="605"/>
      <c r="J963" s="605"/>
      <c r="K963" s="605"/>
    </row>
    <row r="964" spans="1:11">
      <c r="A964" s="611"/>
      <c r="B964" s="602"/>
      <c r="C964" s="605"/>
      <c r="D964" s="605"/>
      <c r="E964" s="605"/>
      <c r="F964" s="605"/>
      <c r="G964" s="605"/>
      <c r="H964" s="605"/>
      <c r="I964" s="605"/>
      <c r="J964" s="605"/>
      <c r="K964" s="605"/>
    </row>
    <row r="965" spans="1:11">
      <c r="A965" s="611"/>
      <c r="B965" s="602"/>
      <c r="C965" s="605"/>
      <c r="D965" s="605"/>
      <c r="E965" s="605"/>
      <c r="F965" s="605"/>
      <c r="G965" s="605"/>
      <c r="H965" s="605"/>
      <c r="I965" s="605"/>
      <c r="J965" s="605"/>
      <c r="K965" s="605"/>
    </row>
    <row r="966" spans="1:11">
      <c r="A966" s="611"/>
      <c r="B966" s="602"/>
      <c r="C966" s="605"/>
      <c r="D966" s="605"/>
      <c r="E966" s="605"/>
      <c r="F966" s="605"/>
      <c r="G966" s="605"/>
      <c r="H966" s="605"/>
      <c r="I966" s="605"/>
      <c r="J966" s="605"/>
      <c r="K966" s="605"/>
    </row>
    <row r="967" spans="1:11">
      <c r="A967" s="611"/>
      <c r="B967" s="602"/>
      <c r="C967" s="605"/>
      <c r="D967" s="605"/>
      <c r="E967" s="605"/>
      <c r="F967" s="605"/>
      <c r="G967" s="605"/>
      <c r="H967" s="605"/>
      <c r="I967" s="605"/>
      <c r="J967" s="605"/>
      <c r="K967" s="605"/>
    </row>
    <row r="968" spans="1:11">
      <c r="A968" s="611"/>
      <c r="B968" s="602"/>
      <c r="C968" s="605"/>
      <c r="D968" s="605"/>
      <c r="E968" s="605"/>
      <c r="F968" s="605"/>
      <c r="G968" s="605"/>
      <c r="H968" s="605"/>
      <c r="I968" s="605"/>
      <c r="J968" s="605"/>
      <c r="K968" s="605"/>
    </row>
    <row r="969" spans="1:11">
      <c r="A969" s="611"/>
      <c r="B969" s="602"/>
      <c r="C969" s="605"/>
      <c r="D969" s="605"/>
      <c r="E969" s="605"/>
      <c r="F969" s="605"/>
      <c r="G969" s="605"/>
      <c r="H969" s="605"/>
      <c r="I969" s="605"/>
      <c r="J969" s="605"/>
      <c r="K969" s="605"/>
    </row>
    <row r="970" spans="1:11">
      <c r="A970" s="611"/>
      <c r="B970" s="602"/>
      <c r="C970" s="605"/>
      <c r="D970" s="605"/>
      <c r="E970" s="605"/>
      <c r="F970" s="605"/>
      <c r="G970" s="605"/>
      <c r="H970" s="605"/>
      <c r="I970" s="605"/>
      <c r="J970" s="605"/>
      <c r="K970" s="605"/>
    </row>
    <row r="971" spans="1:11">
      <c r="A971" s="611"/>
      <c r="B971" s="602"/>
      <c r="C971" s="605"/>
      <c r="D971" s="605"/>
      <c r="E971" s="605"/>
      <c r="F971" s="605"/>
      <c r="G971" s="605"/>
      <c r="H971" s="605"/>
      <c r="I971" s="605"/>
      <c r="J971" s="605"/>
      <c r="K971" s="605"/>
    </row>
    <row r="972" spans="1:11">
      <c r="A972" s="611"/>
      <c r="B972" s="602"/>
      <c r="C972" s="605"/>
      <c r="D972" s="605"/>
      <c r="E972" s="605"/>
      <c r="F972" s="605"/>
      <c r="G972" s="605"/>
      <c r="H972" s="605"/>
      <c r="I972" s="605"/>
      <c r="J972" s="605"/>
      <c r="K972" s="605"/>
    </row>
    <row r="973" spans="1:11">
      <c r="A973" s="611"/>
      <c r="B973" s="602"/>
      <c r="C973" s="605"/>
      <c r="D973" s="605"/>
      <c r="E973" s="605"/>
      <c r="F973" s="605"/>
      <c r="G973" s="605"/>
      <c r="H973" s="605"/>
      <c r="I973" s="605"/>
      <c r="J973" s="605"/>
      <c r="K973" s="605"/>
    </row>
    <row r="974" spans="1:11">
      <c r="A974" s="611"/>
      <c r="B974" s="602"/>
      <c r="C974" s="605"/>
      <c r="D974" s="605"/>
      <c r="E974" s="605"/>
      <c r="F974" s="605"/>
      <c r="G974" s="605"/>
      <c r="H974" s="605"/>
      <c r="I974" s="605"/>
      <c r="J974" s="605"/>
      <c r="K974" s="605"/>
    </row>
    <row r="975" spans="1:11">
      <c r="A975" s="611"/>
      <c r="B975" s="602"/>
      <c r="C975" s="605"/>
      <c r="D975" s="605"/>
      <c r="E975" s="605"/>
      <c r="F975" s="605"/>
      <c r="G975" s="605"/>
      <c r="H975" s="605"/>
      <c r="I975" s="605"/>
      <c r="J975" s="605"/>
      <c r="K975" s="605"/>
    </row>
    <row r="976" spans="1:11">
      <c r="A976" s="611"/>
      <c r="B976" s="602"/>
      <c r="C976" s="605"/>
      <c r="D976" s="605"/>
      <c r="E976" s="605"/>
      <c r="F976" s="605"/>
      <c r="G976" s="605"/>
      <c r="H976" s="605"/>
      <c r="I976" s="605"/>
      <c r="J976" s="605"/>
      <c r="K976" s="605"/>
    </row>
    <row r="977" spans="1:11">
      <c r="A977" s="611"/>
      <c r="B977" s="602"/>
      <c r="C977" s="605"/>
      <c r="D977" s="605"/>
      <c r="E977" s="605"/>
      <c r="F977" s="605"/>
      <c r="G977" s="605"/>
      <c r="H977" s="605"/>
      <c r="I977" s="605"/>
      <c r="J977" s="605"/>
      <c r="K977" s="605"/>
    </row>
    <row r="978" spans="1:11">
      <c r="A978" s="611"/>
      <c r="B978" s="602"/>
      <c r="C978" s="605"/>
      <c r="D978" s="605"/>
      <c r="E978" s="605"/>
      <c r="F978" s="605"/>
      <c r="G978" s="605"/>
      <c r="H978" s="605"/>
      <c r="I978" s="605"/>
      <c r="J978" s="605"/>
      <c r="K978" s="605"/>
    </row>
    <row r="979" spans="1:11">
      <c r="A979" s="611"/>
      <c r="B979" s="602"/>
      <c r="C979" s="605"/>
      <c r="D979" s="605"/>
      <c r="E979" s="605"/>
      <c r="F979" s="605"/>
      <c r="G979" s="605"/>
      <c r="H979" s="605"/>
      <c r="I979" s="605"/>
      <c r="J979" s="605"/>
      <c r="K979" s="605"/>
    </row>
    <row r="980" spans="1:11">
      <c r="A980" s="611"/>
      <c r="B980" s="602"/>
      <c r="C980" s="605"/>
      <c r="D980" s="605"/>
      <c r="E980" s="605"/>
      <c r="F980" s="605"/>
      <c r="G980" s="605"/>
      <c r="H980" s="605"/>
      <c r="I980" s="605"/>
      <c r="J980" s="605"/>
      <c r="K980" s="605"/>
    </row>
    <row r="981" spans="1:11">
      <c r="A981" s="611"/>
      <c r="B981" s="602"/>
      <c r="C981" s="605"/>
      <c r="D981" s="605"/>
      <c r="E981" s="605"/>
      <c r="F981" s="605"/>
      <c r="G981" s="605"/>
      <c r="H981" s="605"/>
      <c r="I981" s="605"/>
      <c r="J981" s="605"/>
      <c r="K981" s="605"/>
    </row>
    <row r="982" spans="1:11">
      <c r="A982" s="611"/>
      <c r="B982" s="602"/>
      <c r="C982" s="605"/>
      <c r="D982" s="605"/>
      <c r="E982" s="605"/>
      <c r="F982" s="605"/>
      <c r="G982" s="605"/>
      <c r="H982" s="605"/>
      <c r="I982" s="605"/>
      <c r="J982" s="605"/>
      <c r="K982" s="605"/>
    </row>
    <row r="983" spans="1:11">
      <c r="A983" s="611"/>
      <c r="B983" s="602"/>
      <c r="C983" s="605"/>
      <c r="D983" s="605"/>
      <c r="E983" s="605"/>
      <c r="F983" s="605"/>
      <c r="G983" s="605"/>
      <c r="H983" s="605"/>
      <c r="I983" s="605"/>
      <c r="J983" s="605"/>
      <c r="K983" s="605"/>
    </row>
    <row r="984" spans="1:11">
      <c r="A984" s="611"/>
      <c r="B984" s="602"/>
      <c r="C984" s="605"/>
      <c r="D984" s="605"/>
      <c r="E984" s="605"/>
      <c r="F984" s="605"/>
      <c r="G984" s="605"/>
      <c r="H984" s="605"/>
      <c r="I984" s="605"/>
      <c r="J984" s="605"/>
      <c r="K984" s="605"/>
    </row>
    <row r="985" spans="1:11">
      <c r="A985" s="611"/>
      <c r="B985" s="602"/>
      <c r="C985" s="605"/>
      <c r="D985" s="605"/>
      <c r="E985" s="605"/>
      <c r="F985" s="605"/>
      <c r="G985" s="605"/>
      <c r="H985" s="605"/>
      <c r="I985" s="605"/>
      <c r="J985" s="605"/>
      <c r="K985" s="605"/>
    </row>
    <row r="986" spans="1:11">
      <c r="A986" s="611"/>
      <c r="B986" s="602"/>
      <c r="C986" s="605"/>
      <c r="D986" s="605"/>
      <c r="E986" s="605"/>
      <c r="F986" s="605"/>
      <c r="G986" s="605"/>
      <c r="H986" s="605"/>
      <c r="I986" s="605"/>
      <c r="J986" s="605"/>
      <c r="K986" s="605"/>
    </row>
    <row r="987" spans="1:11">
      <c r="A987" s="611"/>
      <c r="B987" s="602"/>
      <c r="C987" s="605"/>
      <c r="D987" s="605"/>
      <c r="E987" s="605"/>
      <c r="F987" s="605"/>
      <c r="G987" s="605"/>
      <c r="H987" s="605"/>
      <c r="I987" s="605"/>
      <c r="J987" s="605"/>
      <c r="K987" s="605"/>
    </row>
    <row r="988" spans="1:11">
      <c r="A988" s="611"/>
      <c r="B988" s="602"/>
      <c r="C988" s="605"/>
      <c r="D988" s="605"/>
      <c r="E988" s="605"/>
      <c r="F988" s="605"/>
      <c r="G988" s="605"/>
      <c r="H988" s="605"/>
      <c r="I988" s="605"/>
      <c r="J988" s="605"/>
      <c r="K988" s="605"/>
    </row>
    <row r="989" spans="1:11">
      <c r="A989" s="611"/>
      <c r="B989" s="602"/>
      <c r="C989" s="605"/>
      <c r="D989" s="605"/>
      <c r="E989" s="605"/>
      <c r="F989" s="605"/>
      <c r="G989" s="605"/>
      <c r="H989" s="605"/>
      <c r="I989" s="605"/>
      <c r="J989" s="605"/>
      <c r="K989" s="605"/>
    </row>
    <row r="990" spans="1:11">
      <c r="A990" s="611"/>
      <c r="B990" s="602"/>
      <c r="C990" s="605"/>
      <c r="D990" s="605"/>
      <c r="E990" s="605"/>
      <c r="F990" s="605"/>
      <c r="G990" s="605"/>
      <c r="H990" s="605"/>
      <c r="I990" s="605"/>
      <c r="J990" s="605"/>
      <c r="K990" s="605"/>
    </row>
    <row r="991" spans="1:11">
      <c r="A991" s="611"/>
      <c r="B991" s="602"/>
      <c r="C991" s="605"/>
      <c r="D991" s="605"/>
      <c r="E991" s="605"/>
      <c r="F991" s="605"/>
      <c r="G991" s="605"/>
      <c r="H991" s="605"/>
      <c r="I991" s="605"/>
      <c r="J991" s="605"/>
      <c r="K991" s="605"/>
    </row>
    <row r="992" spans="1:11">
      <c r="A992" s="611"/>
      <c r="B992" s="602"/>
      <c r="C992" s="605"/>
      <c r="D992" s="605"/>
      <c r="E992" s="605"/>
      <c r="F992" s="605"/>
      <c r="G992" s="605"/>
      <c r="H992" s="605"/>
      <c r="I992" s="605"/>
      <c r="J992" s="605"/>
      <c r="K992" s="605"/>
    </row>
    <row r="993" spans="1:11">
      <c r="A993" s="611"/>
      <c r="B993" s="602"/>
      <c r="C993" s="605"/>
      <c r="D993" s="605"/>
      <c r="E993" s="605"/>
      <c r="F993" s="605"/>
      <c r="G993" s="605"/>
      <c r="H993" s="605"/>
      <c r="I993" s="605"/>
      <c r="J993" s="605"/>
      <c r="K993" s="605"/>
    </row>
    <row r="994" spans="1:11">
      <c r="A994" s="611"/>
      <c r="B994" s="602"/>
      <c r="C994" s="605"/>
      <c r="D994" s="605"/>
      <c r="E994" s="605"/>
      <c r="F994" s="605"/>
      <c r="G994" s="605"/>
      <c r="H994" s="605"/>
      <c r="I994" s="605"/>
      <c r="J994" s="605"/>
      <c r="K994" s="605"/>
    </row>
    <row r="995" spans="1:11">
      <c r="A995" s="611"/>
      <c r="B995" s="602"/>
      <c r="C995" s="605"/>
      <c r="D995" s="605"/>
      <c r="E995" s="605"/>
      <c r="F995" s="605"/>
      <c r="G995" s="605"/>
      <c r="H995" s="605"/>
      <c r="I995" s="605"/>
      <c r="J995" s="605"/>
      <c r="K995" s="605"/>
    </row>
    <row r="996" spans="1:11">
      <c r="A996" s="611"/>
      <c r="B996" s="602"/>
      <c r="C996" s="605"/>
      <c r="D996" s="605"/>
      <c r="E996" s="605"/>
      <c r="F996" s="605"/>
      <c r="G996" s="605"/>
      <c r="H996" s="605"/>
      <c r="I996" s="605"/>
      <c r="J996" s="605"/>
      <c r="K996" s="605"/>
    </row>
    <row r="997" spans="1:11">
      <c r="A997" s="611"/>
      <c r="B997" s="602"/>
      <c r="C997" s="605"/>
      <c r="D997" s="605"/>
      <c r="E997" s="605"/>
      <c r="F997" s="605"/>
      <c r="G997" s="605"/>
      <c r="H997" s="605"/>
      <c r="I997" s="605"/>
      <c r="J997" s="605"/>
      <c r="K997" s="605"/>
    </row>
    <row r="998" spans="1:11">
      <c r="A998" s="611"/>
      <c r="B998" s="602"/>
      <c r="C998" s="605"/>
      <c r="D998" s="605"/>
      <c r="E998" s="605"/>
      <c r="F998" s="605"/>
      <c r="G998" s="605"/>
      <c r="H998" s="605"/>
      <c r="I998" s="605"/>
      <c r="J998" s="605"/>
      <c r="K998" s="605"/>
    </row>
    <row r="999" spans="1:11">
      <c r="A999" s="611"/>
      <c r="B999" s="602"/>
      <c r="C999" s="605"/>
      <c r="D999" s="605"/>
      <c r="E999" s="605"/>
      <c r="F999" s="605"/>
      <c r="G999" s="605"/>
      <c r="H999" s="605"/>
      <c r="I999" s="605"/>
      <c r="J999" s="605"/>
      <c r="K999" s="605"/>
    </row>
    <row r="1000" spans="1:11">
      <c r="A1000" s="611"/>
      <c r="B1000" s="602"/>
      <c r="C1000" s="605"/>
      <c r="D1000" s="605"/>
      <c r="E1000" s="605"/>
      <c r="F1000" s="605"/>
      <c r="G1000" s="605"/>
      <c r="H1000" s="605"/>
      <c r="I1000" s="605"/>
      <c r="J1000" s="605"/>
      <c r="K1000" s="605"/>
    </row>
    <row r="1001" spans="1:11">
      <c r="A1001" s="611"/>
      <c r="B1001" s="602"/>
      <c r="C1001" s="605"/>
      <c r="D1001" s="605"/>
      <c r="E1001" s="605"/>
      <c r="F1001" s="605"/>
      <c r="G1001" s="605"/>
      <c r="H1001" s="605"/>
      <c r="I1001" s="605"/>
      <c r="J1001" s="605"/>
      <c r="K1001" s="605"/>
    </row>
    <row r="1002" spans="1:11">
      <c r="A1002" s="611"/>
      <c r="B1002" s="602"/>
      <c r="C1002" s="605"/>
      <c r="D1002" s="605"/>
      <c r="E1002" s="605"/>
      <c r="F1002" s="605"/>
      <c r="G1002" s="605"/>
      <c r="H1002" s="605"/>
      <c r="I1002" s="605"/>
      <c r="J1002" s="605"/>
      <c r="K1002" s="605"/>
    </row>
    <row r="1003" spans="1:11">
      <c r="A1003" s="611"/>
      <c r="B1003" s="602"/>
      <c r="C1003" s="605"/>
      <c r="D1003" s="605"/>
      <c r="E1003" s="605"/>
      <c r="F1003" s="605"/>
      <c r="G1003" s="605"/>
      <c r="H1003" s="605"/>
      <c r="I1003" s="605"/>
      <c r="J1003" s="605"/>
      <c r="K1003" s="605"/>
    </row>
    <row r="1004" spans="1:11">
      <c r="A1004" s="611"/>
      <c r="B1004" s="602"/>
      <c r="C1004" s="605"/>
      <c r="D1004" s="605"/>
      <c r="E1004" s="605"/>
      <c r="F1004" s="605"/>
      <c r="G1004" s="605"/>
      <c r="H1004" s="605"/>
      <c r="I1004" s="605"/>
      <c r="J1004" s="605"/>
      <c r="K1004" s="605"/>
    </row>
    <row r="1005" spans="1:11">
      <c r="A1005" s="611"/>
      <c r="B1005" s="602"/>
      <c r="C1005" s="605"/>
      <c r="D1005" s="605"/>
      <c r="E1005" s="605"/>
      <c r="F1005" s="605"/>
      <c r="G1005" s="605"/>
      <c r="H1005" s="605"/>
      <c r="I1005" s="605"/>
      <c r="J1005" s="605"/>
      <c r="K1005" s="605"/>
    </row>
    <row r="1006" spans="1:11">
      <c r="A1006" s="611"/>
      <c r="B1006" s="602"/>
      <c r="C1006" s="605"/>
      <c r="D1006" s="605"/>
      <c r="E1006" s="605"/>
      <c r="F1006" s="605"/>
      <c r="G1006" s="605"/>
      <c r="H1006" s="605"/>
      <c r="I1006" s="605"/>
      <c r="J1006" s="605"/>
      <c r="K1006" s="605"/>
    </row>
    <row r="1007" spans="1:11">
      <c r="A1007" s="611"/>
      <c r="B1007" s="602"/>
      <c r="C1007" s="605"/>
      <c r="D1007" s="605"/>
      <c r="E1007" s="605"/>
      <c r="F1007" s="605"/>
      <c r="G1007" s="605"/>
      <c r="H1007" s="605"/>
      <c r="I1007" s="605"/>
      <c r="J1007" s="605"/>
      <c r="K1007" s="605"/>
    </row>
    <row r="1008" spans="1:11">
      <c r="A1008" s="611"/>
      <c r="B1008" s="602"/>
      <c r="C1008" s="605"/>
      <c r="D1008" s="605"/>
      <c r="E1008" s="605"/>
      <c r="F1008" s="605"/>
      <c r="G1008" s="605"/>
      <c r="H1008" s="605"/>
      <c r="I1008" s="605"/>
      <c r="J1008" s="605"/>
      <c r="K1008" s="605"/>
    </row>
    <row r="1009" spans="1:11">
      <c r="A1009" s="611"/>
      <c r="B1009" s="602"/>
      <c r="C1009" s="605"/>
      <c r="D1009" s="605"/>
      <c r="E1009" s="605"/>
      <c r="F1009" s="605"/>
      <c r="G1009" s="605"/>
      <c r="H1009" s="605"/>
      <c r="I1009" s="605"/>
      <c r="J1009" s="605"/>
      <c r="K1009" s="605"/>
    </row>
    <row r="1010" spans="1:11">
      <c r="A1010" s="611"/>
      <c r="B1010" s="602"/>
      <c r="C1010" s="605"/>
      <c r="D1010" s="605"/>
      <c r="E1010" s="605"/>
      <c r="F1010" s="605"/>
      <c r="G1010" s="605"/>
      <c r="H1010" s="605"/>
      <c r="I1010" s="605"/>
      <c r="J1010" s="605"/>
      <c r="K1010" s="605"/>
    </row>
    <row r="1011" spans="1:11">
      <c r="A1011" s="611"/>
      <c r="B1011" s="602"/>
      <c r="C1011" s="605"/>
      <c r="D1011" s="605"/>
      <c r="E1011" s="605"/>
      <c r="F1011" s="605"/>
      <c r="G1011" s="605"/>
      <c r="H1011" s="605"/>
      <c r="I1011" s="605"/>
      <c r="J1011" s="605"/>
      <c r="K1011" s="605"/>
    </row>
    <row r="1012" spans="1:11">
      <c r="A1012" s="611"/>
      <c r="B1012" s="602"/>
      <c r="C1012" s="605"/>
      <c r="D1012" s="605"/>
      <c r="E1012" s="605"/>
      <c r="F1012" s="605"/>
      <c r="G1012" s="605"/>
      <c r="H1012" s="605"/>
      <c r="I1012" s="605"/>
      <c r="J1012" s="605"/>
      <c r="K1012" s="605"/>
    </row>
    <row r="1013" spans="1:11">
      <c r="A1013" s="611"/>
      <c r="B1013" s="602"/>
      <c r="C1013" s="605"/>
      <c r="D1013" s="605"/>
      <c r="E1013" s="605"/>
      <c r="F1013" s="605"/>
      <c r="G1013" s="605"/>
      <c r="H1013" s="605"/>
      <c r="I1013" s="605"/>
      <c r="J1013" s="605"/>
      <c r="K1013" s="605"/>
    </row>
    <row r="1014" spans="1:11">
      <c r="A1014" s="611"/>
      <c r="B1014" s="602"/>
      <c r="C1014" s="605"/>
      <c r="D1014" s="605"/>
      <c r="E1014" s="605"/>
      <c r="F1014" s="605"/>
      <c r="G1014" s="605"/>
      <c r="H1014" s="605"/>
      <c r="I1014" s="605"/>
      <c r="J1014" s="605"/>
      <c r="K1014" s="605"/>
    </row>
    <row r="1015" spans="1:11">
      <c r="A1015" s="611"/>
      <c r="B1015" s="602"/>
      <c r="C1015" s="605"/>
      <c r="D1015" s="605"/>
      <c r="E1015" s="605"/>
      <c r="F1015" s="605"/>
      <c r="G1015" s="605"/>
      <c r="H1015" s="605"/>
      <c r="I1015" s="605"/>
      <c r="J1015" s="605"/>
      <c r="K1015" s="605"/>
    </row>
    <row r="1016" spans="1:11">
      <c r="A1016" s="611"/>
      <c r="B1016" s="602"/>
      <c r="C1016" s="605"/>
      <c r="D1016" s="605"/>
      <c r="E1016" s="605"/>
      <c r="F1016" s="605"/>
      <c r="G1016" s="605"/>
      <c r="H1016" s="605"/>
      <c r="I1016" s="605"/>
      <c r="J1016" s="605"/>
      <c r="K1016" s="605"/>
    </row>
    <row r="1017" spans="1:11">
      <c r="A1017" s="611"/>
      <c r="B1017" s="602"/>
      <c r="C1017" s="605"/>
      <c r="D1017" s="605"/>
      <c r="E1017" s="605"/>
      <c r="F1017" s="605"/>
      <c r="G1017" s="605"/>
      <c r="H1017" s="605"/>
      <c r="I1017" s="605"/>
      <c r="J1017" s="605"/>
      <c r="K1017" s="605"/>
    </row>
    <row r="1018" spans="1:11">
      <c r="A1018" s="611"/>
      <c r="B1018" s="602"/>
      <c r="C1018" s="605"/>
      <c r="D1018" s="605"/>
      <c r="E1018" s="605"/>
      <c r="F1018" s="605"/>
      <c r="G1018" s="605"/>
      <c r="H1018" s="605"/>
      <c r="I1018" s="605"/>
      <c r="J1018" s="605"/>
      <c r="K1018" s="605"/>
    </row>
    <row r="1019" spans="1:11">
      <c r="A1019" s="611"/>
      <c r="B1019" s="602"/>
      <c r="C1019" s="605"/>
      <c r="D1019" s="605"/>
      <c r="E1019" s="605"/>
      <c r="F1019" s="605"/>
      <c r="G1019" s="605"/>
      <c r="H1019" s="605"/>
      <c r="I1019" s="605"/>
      <c r="J1019" s="605"/>
      <c r="K1019" s="605"/>
    </row>
    <row r="1020" spans="1:11">
      <c r="A1020" s="611"/>
      <c r="B1020" s="602"/>
      <c r="C1020" s="605"/>
      <c r="D1020" s="605"/>
      <c r="E1020" s="605"/>
      <c r="F1020" s="605"/>
      <c r="G1020" s="605"/>
      <c r="H1020" s="605"/>
      <c r="I1020" s="605"/>
      <c r="J1020" s="605"/>
      <c r="K1020" s="605"/>
    </row>
    <row r="1021" spans="1:11">
      <c r="A1021" s="611"/>
      <c r="B1021" s="602"/>
      <c r="C1021" s="605"/>
      <c r="D1021" s="605"/>
      <c r="E1021" s="605"/>
      <c r="F1021" s="605"/>
      <c r="G1021" s="605"/>
      <c r="H1021" s="605"/>
      <c r="I1021" s="605"/>
      <c r="J1021" s="605"/>
      <c r="K1021" s="605"/>
    </row>
    <row r="1022" spans="1:11">
      <c r="A1022" s="611"/>
      <c r="B1022" s="602"/>
      <c r="C1022" s="605"/>
      <c r="D1022" s="605"/>
      <c r="E1022" s="605"/>
      <c r="F1022" s="605"/>
      <c r="G1022" s="605"/>
      <c r="H1022" s="605"/>
      <c r="I1022" s="605"/>
      <c r="J1022" s="605"/>
      <c r="K1022" s="605"/>
    </row>
    <row r="1023" spans="1:11">
      <c r="A1023" s="611"/>
      <c r="B1023" s="602"/>
      <c r="C1023" s="605"/>
      <c r="D1023" s="605"/>
      <c r="E1023" s="605"/>
      <c r="F1023" s="605"/>
      <c r="G1023" s="605"/>
      <c r="H1023" s="605"/>
      <c r="I1023" s="605"/>
      <c r="J1023" s="605"/>
      <c r="K1023" s="605"/>
    </row>
    <row r="1024" spans="1:11">
      <c r="A1024" s="611"/>
      <c r="B1024" s="602"/>
      <c r="C1024" s="605"/>
      <c r="D1024" s="605"/>
      <c r="E1024" s="605"/>
      <c r="F1024" s="605"/>
      <c r="G1024" s="605"/>
      <c r="H1024" s="605"/>
      <c r="I1024" s="605"/>
      <c r="J1024" s="605"/>
      <c r="K1024" s="605"/>
    </row>
    <row r="1025" spans="1:11">
      <c r="A1025" s="611"/>
      <c r="B1025" s="602"/>
      <c r="C1025" s="605"/>
      <c r="D1025" s="605"/>
      <c r="E1025" s="605"/>
      <c r="F1025" s="605"/>
      <c r="G1025" s="605"/>
      <c r="H1025" s="605"/>
      <c r="I1025" s="605"/>
      <c r="J1025" s="605"/>
      <c r="K1025" s="605"/>
    </row>
    <row r="1026" spans="1:11">
      <c r="A1026" s="611"/>
      <c r="B1026" s="602"/>
      <c r="C1026" s="605"/>
      <c r="D1026" s="605"/>
      <c r="E1026" s="605"/>
      <c r="F1026" s="605"/>
      <c r="G1026" s="605"/>
      <c r="H1026" s="605"/>
      <c r="I1026" s="605"/>
      <c r="J1026" s="605"/>
      <c r="K1026" s="605"/>
    </row>
    <row r="1027" spans="1:11">
      <c r="A1027" s="611"/>
      <c r="B1027" s="602"/>
      <c r="C1027" s="605"/>
      <c r="D1027" s="605"/>
      <c r="E1027" s="605"/>
      <c r="F1027" s="605"/>
      <c r="G1027" s="605"/>
      <c r="H1027" s="605"/>
      <c r="I1027" s="605"/>
      <c r="J1027" s="605"/>
      <c r="K1027" s="605"/>
    </row>
    <row r="1028" spans="1:11">
      <c r="A1028" s="611"/>
      <c r="B1028" s="602"/>
      <c r="C1028" s="605"/>
      <c r="D1028" s="605"/>
      <c r="E1028" s="605"/>
      <c r="F1028" s="605"/>
      <c r="G1028" s="605"/>
      <c r="H1028" s="605"/>
      <c r="I1028" s="605"/>
      <c r="J1028" s="605"/>
      <c r="K1028" s="605"/>
    </row>
    <row r="1029" spans="1:11">
      <c r="A1029" s="611"/>
      <c r="B1029" s="602"/>
      <c r="C1029" s="605"/>
      <c r="D1029" s="605"/>
      <c r="E1029" s="605"/>
      <c r="F1029" s="605"/>
      <c r="G1029" s="605"/>
      <c r="H1029" s="605"/>
      <c r="I1029" s="605"/>
      <c r="J1029" s="605"/>
      <c r="K1029" s="605"/>
    </row>
    <row r="1030" spans="1:11">
      <c r="A1030" s="611"/>
      <c r="B1030" s="602"/>
      <c r="C1030" s="605"/>
      <c r="D1030" s="605"/>
      <c r="E1030" s="605"/>
      <c r="F1030" s="605"/>
      <c r="G1030" s="605"/>
      <c r="H1030" s="605"/>
      <c r="I1030" s="605"/>
      <c r="J1030" s="605"/>
      <c r="K1030" s="605"/>
    </row>
    <row r="1031" spans="1:11">
      <c r="A1031" s="611"/>
      <c r="B1031" s="602"/>
      <c r="C1031" s="605"/>
      <c r="D1031" s="605"/>
      <c r="E1031" s="605"/>
      <c r="F1031" s="605"/>
      <c r="G1031" s="605"/>
      <c r="H1031" s="605"/>
      <c r="I1031" s="605"/>
      <c r="J1031" s="605"/>
      <c r="K1031" s="605"/>
    </row>
    <row r="1032" spans="1:11">
      <c r="A1032" s="611"/>
      <c r="B1032" s="602"/>
      <c r="C1032" s="605"/>
      <c r="D1032" s="605"/>
      <c r="E1032" s="605"/>
      <c r="F1032" s="605"/>
      <c r="G1032" s="605"/>
      <c r="H1032" s="605"/>
      <c r="I1032" s="605"/>
      <c r="J1032" s="605"/>
      <c r="K1032" s="605"/>
    </row>
    <row r="1033" spans="1:11">
      <c r="A1033" s="611"/>
      <c r="B1033" s="602"/>
      <c r="C1033" s="605"/>
      <c r="D1033" s="605"/>
      <c r="E1033" s="605"/>
      <c r="F1033" s="605"/>
      <c r="G1033" s="605"/>
      <c r="H1033" s="605"/>
      <c r="I1033" s="605"/>
      <c r="J1033" s="605"/>
      <c r="K1033" s="605"/>
    </row>
    <row r="1034" spans="1:11">
      <c r="A1034" s="611"/>
      <c r="B1034" s="602"/>
      <c r="C1034" s="605"/>
      <c r="D1034" s="605"/>
      <c r="E1034" s="605"/>
      <c r="F1034" s="605"/>
      <c r="G1034" s="605"/>
      <c r="H1034" s="605"/>
      <c r="I1034" s="605"/>
      <c r="J1034" s="605"/>
      <c r="K1034" s="605"/>
    </row>
    <row r="1035" spans="1:11">
      <c r="A1035" s="611"/>
      <c r="B1035" s="602"/>
      <c r="C1035" s="605"/>
      <c r="D1035" s="605"/>
      <c r="E1035" s="605"/>
      <c r="F1035" s="605"/>
      <c r="G1035" s="605"/>
      <c r="H1035" s="605"/>
      <c r="I1035" s="605"/>
      <c r="J1035" s="605"/>
      <c r="K1035" s="605"/>
    </row>
    <row r="1036" spans="1:11">
      <c r="A1036" s="611"/>
      <c r="B1036" s="602"/>
      <c r="C1036" s="605"/>
      <c r="D1036" s="605"/>
      <c r="E1036" s="605"/>
      <c r="F1036" s="605"/>
      <c r="G1036" s="605"/>
      <c r="H1036" s="605"/>
      <c r="I1036" s="605"/>
      <c r="J1036" s="605"/>
      <c r="K1036" s="605"/>
    </row>
    <row r="1037" spans="1:11">
      <c r="A1037" s="611"/>
      <c r="B1037" s="602"/>
      <c r="C1037" s="605"/>
      <c r="D1037" s="605"/>
      <c r="E1037" s="605"/>
      <c r="F1037" s="605"/>
      <c r="G1037" s="605"/>
      <c r="H1037" s="605"/>
      <c r="I1037" s="605"/>
      <c r="J1037" s="605"/>
      <c r="K1037" s="605"/>
    </row>
    <row r="1038" spans="1:11">
      <c r="A1038" s="611"/>
      <c r="B1038" s="602"/>
      <c r="C1038" s="605"/>
      <c r="D1038" s="605"/>
      <c r="E1038" s="605"/>
      <c r="F1038" s="605"/>
      <c r="G1038" s="605"/>
      <c r="H1038" s="605"/>
      <c r="I1038" s="605"/>
      <c r="J1038" s="605"/>
      <c r="K1038" s="605"/>
    </row>
    <row r="1039" spans="1:11">
      <c r="A1039" s="611"/>
      <c r="B1039" s="602"/>
      <c r="C1039" s="605"/>
      <c r="D1039" s="605"/>
      <c r="E1039" s="605"/>
      <c r="F1039" s="605"/>
      <c r="G1039" s="605"/>
      <c r="H1039" s="605"/>
      <c r="I1039" s="605"/>
      <c r="J1039" s="605"/>
      <c r="K1039" s="605"/>
    </row>
    <row r="1040" spans="1:11">
      <c r="A1040" s="611"/>
      <c r="B1040" s="602"/>
      <c r="C1040" s="605"/>
      <c r="D1040" s="605"/>
      <c r="E1040" s="605"/>
      <c r="F1040" s="605"/>
      <c r="G1040" s="605"/>
      <c r="H1040" s="605"/>
      <c r="I1040" s="605"/>
      <c r="J1040" s="605"/>
      <c r="K1040" s="605"/>
    </row>
    <row r="1041" spans="1:11">
      <c r="A1041" s="611"/>
      <c r="B1041" s="602"/>
      <c r="C1041" s="605"/>
      <c r="D1041" s="605"/>
      <c r="E1041" s="605"/>
      <c r="F1041" s="605"/>
      <c r="G1041" s="605"/>
      <c r="H1041" s="605"/>
      <c r="I1041" s="605"/>
      <c r="J1041" s="605"/>
      <c r="K1041" s="605"/>
    </row>
    <row r="1042" spans="1:11">
      <c r="A1042" s="611"/>
      <c r="B1042" s="602"/>
      <c r="C1042" s="605"/>
      <c r="D1042" s="605"/>
      <c r="E1042" s="605"/>
      <c r="F1042" s="605"/>
      <c r="G1042" s="605"/>
      <c r="H1042" s="605"/>
      <c r="I1042" s="605"/>
      <c r="J1042" s="605"/>
      <c r="K1042" s="605"/>
    </row>
    <row r="1043" spans="1:11">
      <c r="A1043" s="611"/>
      <c r="B1043" s="602"/>
      <c r="C1043" s="605"/>
      <c r="D1043" s="605"/>
      <c r="E1043" s="605"/>
      <c r="F1043" s="605"/>
      <c r="G1043" s="605"/>
      <c r="H1043" s="605"/>
      <c r="I1043" s="605"/>
      <c r="J1043" s="605"/>
      <c r="K1043" s="605"/>
    </row>
    <row r="1044" spans="1:11">
      <c r="A1044" s="611"/>
      <c r="B1044" s="602"/>
      <c r="C1044" s="605"/>
      <c r="D1044" s="605"/>
      <c r="E1044" s="605"/>
      <c r="F1044" s="605"/>
      <c r="G1044" s="605"/>
      <c r="H1044" s="605"/>
      <c r="I1044" s="605"/>
      <c r="J1044" s="605"/>
      <c r="K1044" s="605"/>
    </row>
    <row r="1045" spans="1:11">
      <c r="A1045" s="611"/>
      <c r="B1045" s="602"/>
      <c r="C1045" s="605"/>
      <c r="D1045" s="605"/>
      <c r="E1045" s="605"/>
      <c r="F1045" s="605"/>
      <c r="G1045" s="605"/>
      <c r="H1045" s="605"/>
      <c r="I1045" s="605"/>
      <c r="J1045" s="605"/>
      <c r="K1045" s="605"/>
    </row>
    <row r="1046" spans="1:11">
      <c r="A1046" s="611"/>
      <c r="B1046" s="602"/>
      <c r="C1046" s="605"/>
      <c r="D1046" s="605"/>
      <c r="E1046" s="605"/>
      <c r="F1046" s="605"/>
      <c r="G1046" s="605"/>
      <c r="H1046" s="605"/>
      <c r="I1046" s="605"/>
      <c r="J1046" s="605"/>
      <c r="K1046" s="605"/>
    </row>
    <row r="1047" spans="1:11">
      <c r="A1047" s="611"/>
      <c r="B1047" s="602"/>
      <c r="C1047" s="605"/>
      <c r="D1047" s="605"/>
      <c r="E1047" s="605"/>
      <c r="F1047" s="605"/>
      <c r="G1047" s="605"/>
      <c r="H1047" s="605"/>
      <c r="I1047" s="605"/>
      <c r="J1047" s="605"/>
      <c r="K1047" s="605"/>
    </row>
    <row r="1048" spans="1:11">
      <c r="A1048" s="611"/>
      <c r="B1048" s="602"/>
      <c r="C1048" s="605"/>
      <c r="D1048" s="605"/>
      <c r="E1048" s="605"/>
      <c r="F1048" s="605"/>
      <c r="G1048" s="605"/>
      <c r="H1048" s="605"/>
      <c r="I1048" s="605"/>
      <c r="J1048" s="605"/>
      <c r="K1048" s="605"/>
    </row>
    <row r="1049" spans="1:11">
      <c r="A1049" s="611"/>
      <c r="B1049" s="602"/>
      <c r="C1049" s="605"/>
      <c r="D1049" s="605"/>
      <c r="E1049" s="605"/>
      <c r="F1049" s="605"/>
      <c r="G1049" s="605"/>
      <c r="H1049" s="605"/>
      <c r="I1049" s="605"/>
      <c r="J1049" s="605"/>
      <c r="K1049" s="605"/>
    </row>
    <row r="1050" spans="1:11">
      <c r="A1050" s="611"/>
      <c r="B1050" s="602"/>
      <c r="C1050" s="605"/>
      <c r="D1050" s="605"/>
      <c r="E1050" s="605"/>
      <c r="F1050" s="605"/>
      <c r="G1050" s="605"/>
      <c r="H1050" s="605"/>
      <c r="I1050" s="605"/>
      <c r="J1050" s="605"/>
      <c r="K1050" s="605"/>
    </row>
    <row r="1051" spans="1:11">
      <c r="A1051" s="611"/>
      <c r="B1051" s="602"/>
      <c r="C1051" s="605"/>
      <c r="D1051" s="605"/>
      <c r="E1051" s="605"/>
      <c r="F1051" s="605"/>
      <c r="G1051" s="605"/>
      <c r="H1051" s="605"/>
      <c r="I1051" s="605"/>
      <c r="J1051" s="605"/>
      <c r="K1051" s="605"/>
    </row>
    <row r="1052" spans="1:11">
      <c r="A1052" s="611"/>
      <c r="B1052" s="602"/>
      <c r="C1052" s="605"/>
      <c r="D1052" s="605"/>
      <c r="E1052" s="605"/>
      <c r="F1052" s="605"/>
      <c r="G1052" s="605"/>
      <c r="H1052" s="605"/>
      <c r="I1052" s="605"/>
      <c r="J1052" s="605"/>
      <c r="K1052" s="605"/>
    </row>
    <row r="1053" spans="1:11">
      <c r="A1053" s="611"/>
      <c r="B1053" s="602"/>
      <c r="C1053" s="605"/>
      <c r="D1053" s="605"/>
      <c r="E1053" s="605"/>
      <c r="F1053" s="605"/>
      <c r="G1053" s="605"/>
      <c r="H1053" s="605"/>
      <c r="I1053" s="605"/>
      <c r="J1053" s="605"/>
      <c r="K1053" s="605"/>
    </row>
    <row r="1054" spans="1:11">
      <c r="A1054" s="611"/>
      <c r="B1054" s="602"/>
      <c r="C1054" s="605"/>
      <c r="D1054" s="605"/>
      <c r="E1054" s="605"/>
      <c r="F1054" s="605"/>
      <c r="G1054" s="605"/>
      <c r="H1054" s="605"/>
      <c r="I1054" s="605"/>
      <c r="J1054" s="605"/>
      <c r="K1054" s="605"/>
    </row>
    <row r="1055" spans="1:11">
      <c r="A1055" s="611"/>
      <c r="B1055" s="602"/>
      <c r="C1055" s="605"/>
      <c r="D1055" s="605"/>
      <c r="E1055" s="605"/>
      <c r="F1055" s="605"/>
      <c r="G1055" s="605"/>
      <c r="H1055" s="605"/>
      <c r="I1055" s="605"/>
      <c r="J1055" s="605"/>
      <c r="K1055" s="605"/>
    </row>
    <row r="1056" spans="1:11">
      <c r="A1056" s="611"/>
      <c r="B1056" s="602"/>
      <c r="C1056" s="605"/>
      <c r="D1056" s="605"/>
      <c r="E1056" s="605"/>
      <c r="F1056" s="605"/>
      <c r="G1056" s="605"/>
      <c r="H1056" s="605"/>
      <c r="I1056" s="605"/>
      <c r="J1056" s="605"/>
      <c r="K1056" s="605"/>
    </row>
    <row r="1057" spans="1:11">
      <c r="A1057" s="611"/>
      <c r="B1057" s="602"/>
      <c r="C1057" s="605"/>
      <c r="D1057" s="605"/>
      <c r="E1057" s="605"/>
      <c r="F1057" s="605"/>
      <c r="G1057" s="605"/>
      <c r="H1057" s="605"/>
      <c r="I1057" s="605"/>
      <c r="J1057" s="605"/>
      <c r="K1057" s="605"/>
    </row>
    <row r="1058" spans="1:11">
      <c r="A1058" s="611"/>
      <c r="B1058" s="602"/>
      <c r="C1058" s="605"/>
      <c r="D1058" s="605"/>
      <c r="E1058" s="605"/>
      <c r="F1058" s="605"/>
      <c r="G1058" s="605"/>
      <c r="H1058" s="605"/>
      <c r="I1058" s="605"/>
      <c r="J1058" s="605"/>
      <c r="K1058" s="605"/>
    </row>
    <row r="1059" spans="1:11">
      <c r="A1059" s="611"/>
      <c r="B1059" s="602"/>
      <c r="C1059" s="605"/>
      <c r="D1059" s="605"/>
      <c r="E1059" s="605"/>
      <c r="F1059" s="605"/>
      <c r="G1059" s="605"/>
      <c r="H1059" s="605"/>
      <c r="I1059" s="605"/>
      <c r="J1059" s="605"/>
      <c r="K1059" s="605"/>
    </row>
    <row r="1060" spans="1:11">
      <c r="A1060" s="611"/>
      <c r="B1060" s="602"/>
      <c r="C1060" s="605"/>
      <c r="D1060" s="605"/>
      <c r="E1060" s="605"/>
      <c r="F1060" s="605"/>
      <c r="G1060" s="605"/>
      <c r="H1060" s="605"/>
      <c r="I1060" s="605"/>
      <c r="J1060" s="605"/>
      <c r="K1060" s="605"/>
    </row>
    <row r="1061" spans="1:11">
      <c r="A1061" s="611"/>
      <c r="B1061" s="602"/>
      <c r="C1061" s="605"/>
      <c r="D1061" s="605"/>
      <c r="E1061" s="605"/>
      <c r="F1061" s="605"/>
      <c r="G1061" s="605"/>
      <c r="H1061" s="605"/>
      <c r="I1061" s="605"/>
      <c r="J1061" s="605"/>
      <c r="K1061" s="605"/>
    </row>
    <row r="1062" spans="1:11">
      <c r="A1062" s="611"/>
      <c r="B1062" s="602"/>
      <c r="C1062" s="605"/>
      <c r="D1062" s="605"/>
      <c r="E1062" s="605"/>
      <c r="F1062" s="605"/>
      <c r="G1062" s="605"/>
      <c r="H1062" s="605"/>
      <c r="I1062" s="605"/>
      <c r="J1062" s="605"/>
      <c r="K1062" s="605"/>
    </row>
    <row r="1063" spans="1:11">
      <c r="A1063" s="611"/>
      <c r="B1063" s="602"/>
      <c r="C1063" s="605"/>
      <c r="D1063" s="605"/>
      <c r="E1063" s="605"/>
      <c r="F1063" s="605"/>
      <c r="G1063" s="605"/>
      <c r="H1063" s="605"/>
      <c r="I1063" s="605"/>
      <c r="J1063" s="605"/>
      <c r="K1063" s="605"/>
    </row>
    <row r="1064" spans="1:11">
      <c r="A1064" s="611"/>
      <c r="B1064" s="602"/>
      <c r="C1064" s="605"/>
      <c r="D1064" s="605"/>
      <c r="E1064" s="605"/>
      <c r="F1064" s="605"/>
      <c r="G1064" s="605"/>
      <c r="H1064" s="605"/>
      <c r="I1064" s="605"/>
      <c r="J1064" s="605"/>
      <c r="K1064" s="605"/>
    </row>
    <row r="1065" spans="1:11">
      <c r="A1065" s="611"/>
      <c r="B1065" s="602"/>
      <c r="C1065" s="605"/>
      <c r="D1065" s="605"/>
      <c r="E1065" s="605"/>
      <c r="F1065" s="605"/>
      <c r="G1065" s="605"/>
      <c r="H1065" s="605"/>
      <c r="I1065" s="605"/>
      <c r="J1065" s="605"/>
      <c r="K1065" s="605"/>
    </row>
    <row r="1066" spans="1:11">
      <c r="A1066" s="611"/>
      <c r="B1066" s="602"/>
      <c r="C1066" s="605"/>
      <c r="D1066" s="605"/>
      <c r="E1066" s="605"/>
      <c r="F1066" s="605"/>
      <c r="G1066" s="605"/>
      <c r="H1066" s="605"/>
      <c r="I1066" s="605"/>
      <c r="J1066" s="605"/>
      <c r="K1066" s="605"/>
    </row>
    <row r="1067" spans="1:11">
      <c r="A1067" s="611"/>
      <c r="B1067" s="602"/>
      <c r="C1067" s="605"/>
      <c r="D1067" s="605"/>
      <c r="E1067" s="605"/>
      <c r="F1067" s="605"/>
      <c r="G1067" s="605"/>
      <c r="H1067" s="605"/>
      <c r="I1067" s="605"/>
      <c r="J1067" s="605"/>
      <c r="K1067" s="605"/>
    </row>
    <row r="1068" spans="1:11">
      <c r="A1068" s="611"/>
      <c r="B1068" s="602"/>
      <c r="C1068" s="605"/>
      <c r="D1068" s="605"/>
      <c r="E1068" s="605"/>
      <c r="F1068" s="605"/>
      <c r="G1068" s="605"/>
      <c r="H1068" s="605"/>
      <c r="I1068" s="605"/>
      <c r="J1068" s="605"/>
      <c r="K1068" s="605"/>
    </row>
    <row r="1069" spans="1:11">
      <c r="A1069" s="611"/>
      <c r="B1069" s="602"/>
      <c r="C1069" s="605"/>
      <c r="D1069" s="605"/>
      <c r="E1069" s="605"/>
      <c r="F1069" s="605"/>
      <c r="G1069" s="605"/>
      <c r="H1069" s="605"/>
      <c r="I1069" s="605"/>
      <c r="J1069" s="605"/>
      <c r="K1069" s="605"/>
    </row>
    <row r="1070" spans="1:11">
      <c r="A1070" s="611"/>
      <c r="B1070" s="602"/>
      <c r="C1070" s="605"/>
      <c r="D1070" s="605"/>
      <c r="E1070" s="605"/>
      <c r="F1070" s="605"/>
      <c r="G1070" s="605"/>
      <c r="H1070" s="605"/>
      <c r="I1070" s="605"/>
      <c r="J1070" s="605"/>
      <c r="K1070" s="605"/>
    </row>
    <row r="1071" spans="1:11">
      <c r="A1071" s="611"/>
      <c r="B1071" s="602"/>
      <c r="C1071" s="605"/>
      <c r="D1071" s="605"/>
      <c r="E1071" s="605"/>
      <c r="F1071" s="605"/>
      <c r="G1071" s="605"/>
      <c r="H1071" s="605"/>
      <c r="I1071" s="605"/>
      <c r="J1071" s="605"/>
      <c r="K1071" s="605"/>
    </row>
    <row r="1072" spans="1:11">
      <c r="A1072" s="611"/>
      <c r="B1072" s="602"/>
      <c r="C1072" s="605"/>
      <c r="D1072" s="605"/>
      <c r="E1072" s="605"/>
      <c r="F1072" s="605"/>
      <c r="G1072" s="605"/>
      <c r="H1072" s="605"/>
      <c r="I1072" s="605"/>
      <c r="J1072" s="605"/>
      <c r="K1072" s="605"/>
    </row>
    <row r="1073" spans="1:11">
      <c r="A1073" s="611"/>
      <c r="B1073" s="602"/>
      <c r="C1073" s="605"/>
      <c r="D1073" s="605"/>
      <c r="E1073" s="605"/>
      <c r="F1073" s="605"/>
      <c r="G1073" s="605"/>
      <c r="H1073" s="605"/>
      <c r="I1073" s="605"/>
      <c r="J1073" s="605"/>
      <c r="K1073" s="605"/>
    </row>
    <row r="1074" spans="1:11">
      <c r="A1074" s="611"/>
      <c r="B1074" s="602"/>
      <c r="C1074" s="605"/>
      <c r="D1074" s="605"/>
      <c r="E1074" s="605"/>
      <c r="F1074" s="605"/>
      <c r="G1074" s="605"/>
      <c r="H1074" s="605"/>
      <c r="I1074" s="605"/>
      <c r="J1074" s="605"/>
      <c r="K1074" s="605"/>
    </row>
    <row r="1075" spans="1:11">
      <c r="A1075" s="611"/>
      <c r="B1075" s="602"/>
      <c r="C1075" s="605"/>
      <c r="D1075" s="605"/>
      <c r="E1075" s="605"/>
      <c r="F1075" s="605"/>
      <c r="G1075" s="605"/>
      <c r="H1075" s="605"/>
      <c r="I1075" s="605"/>
      <c r="J1075" s="605"/>
      <c r="K1075" s="605"/>
    </row>
    <row r="1076" spans="1:11">
      <c r="A1076" s="611"/>
      <c r="B1076" s="602"/>
      <c r="C1076" s="605"/>
      <c r="D1076" s="605"/>
      <c r="E1076" s="605"/>
      <c r="F1076" s="605"/>
      <c r="G1076" s="605"/>
      <c r="H1076" s="605"/>
      <c r="I1076" s="605"/>
      <c r="J1076" s="605"/>
      <c r="K1076" s="605"/>
    </row>
    <row r="1077" spans="1:11">
      <c r="A1077" s="611"/>
      <c r="B1077" s="602"/>
      <c r="C1077" s="605"/>
      <c r="D1077" s="605"/>
      <c r="E1077" s="605"/>
      <c r="F1077" s="605"/>
      <c r="G1077" s="605"/>
      <c r="H1077" s="605"/>
      <c r="I1077" s="605"/>
      <c r="J1077" s="605"/>
      <c r="K1077" s="605"/>
    </row>
    <row r="1078" spans="1:11">
      <c r="A1078" s="611"/>
      <c r="B1078" s="602"/>
      <c r="C1078" s="605"/>
      <c r="D1078" s="605"/>
      <c r="E1078" s="605"/>
      <c r="F1078" s="605"/>
      <c r="G1078" s="605"/>
      <c r="H1078" s="605"/>
      <c r="I1078" s="605"/>
      <c r="J1078" s="605"/>
      <c r="K1078" s="605"/>
    </row>
    <row r="1079" spans="1:11">
      <c r="A1079" s="611"/>
      <c r="B1079" s="602"/>
      <c r="C1079" s="605"/>
      <c r="D1079" s="605"/>
      <c r="E1079" s="605"/>
      <c r="F1079" s="605"/>
      <c r="G1079" s="605"/>
      <c r="H1079" s="605"/>
      <c r="I1079" s="605"/>
      <c r="J1079" s="605"/>
      <c r="K1079" s="605"/>
    </row>
    <row r="1080" spans="1:11">
      <c r="A1080" s="611"/>
      <c r="B1080" s="602"/>
      <c r="C1080" s="605"/>
      <c r="D1080" s="605"/>
      <c r="E1080" s="605"/>
      <c r="F1080" s="605"/>
      <c r="G1080" s="605"/>
      <c r="H1080" s="605"/>
      <c r="I1080" s="605"/>
      <c r="J1080" s="605"/>
      <c r="K1080" s="605"/>
    </row>
    <row r="1081" spans="1:11">
      <c r="A1081" s="611"/>
      <c r="B1081" s="602"/>
      <c r="C1081" s="605"/>
      <c r="D1081" s="605"/>
      <c r="E1081" s="605"/>
      <c r="F1081" s="605"/>
      <c r="G1081" s="605"/>
      <c r="H1081" s="605"/>
      <c r="I1081" s="605"/>
      <c r="J1081" s="605"/>
      <c r="K1081" s="605"/>
    </row>
    <row r="1082" spans="1:11">
      <c r="A1082" s="611"/>
      <c r="B1082" s="602"/>
      <c r="C1082" s="605"/>
      <c r="D1082" s="605"/>
      <c r="E1082" s="605"/>
      <c r="F1082" s="605"/>
      <c r="G1082" s="605"/>
      <c r="H1082" s="605"/>
      <c r="I1082" s="605"/>
      <c r="J1082" s="605"/>
      <c r="K1082" s="605"/>
    </row>
    <row r="1083" spans="1:11">
      <c r="A1083" s="611"/>
      <c r="B1083" s="602"/>
      <c r="C1083" s="605"/>
      <c r="D1083" s="605"/>
      <c r="E1083" s="605"/>
      <c r="F1083" s="605"/>
      <c r="G1083" s="605"/>
      <c r="H1083" s="605"/>
      <c r="I1083" s="605"/>
      <c r="J1083" s="605"/>
      <c r="K1083" s="605"/>
    </row>
    <row r="1084" spans="1:11">
      <c r="A1084" s="611"/>
      <c r="B1084" s="602"/>
      <c r="C1084" s="605"/>
      <c r="D1084" s="605"/>
      <c r="E1084" s="605"/>
      <c r="F1084" s="605"/>
      <c r="G1084" s="605"/>
      <c r="H1084" s="605"/>
      <c r="I1084" s="605"/>
      <c r="J1084" s="605"/>
      <c r="K1084" s="605"/>
    </row>
    <row r="1085" spans="1:11">
      <c r="A1085" s="611"/>
      <c r="B1085" s="602"/>
      <c r="C1085" s="605"/>
      <c r="D1085" s="605"/>
      <c r="E1085" s="605"/>
      <c r="F1085" s="605"/>
      <c r="G1085" s="605"/>
      <c r="H1085" s="605"/>
      <c r="I1085" s="605"/>
      <c r="J1085" s="605"/>
      <c r="K1085" s="605"/>
    </row>
    <row r="1086" spans="1:11">
      <c r="A1086" s="611"/>
      <c r="B1086" s="602"/>
      <c r="C1086" s="605"/>
      <c r="D1086" s="605"/>
      <c r="E1086" s="605"/>
      <c r="F1086" s="605"/>
      <c r="G1086" s="605"/>
      <c r="H1086" s="605"/>
      <c r="I1086" s="605"/>
      <c r="J1086" s="605"/>
      <c r="K1086" s="605"/>
    </row>
    <row r="1087" spans="1:11">
      <c r="A1087" s="611"/>
      <c r="B1087" s="602"/>
      <c r="C1087" s="605"/>
      <c r="D1087" s="605"/>
      <c r="E1087" s="605"/>
      <c r="F1087" s="605"/>
      <c r="G1087" s="605"/>
      <c r="H1087" s="605"/>
      <c r="I1087" s="605"/>
      <c r="J1087" s="605"/>
      <c r="K1087" s="605"/>
    </row>
    <row r="1088" spans="1:11">
      <c r="A1088" s="611"/>
      <c r="B1088" s="602"/>
      <c r="C1088" s="605"/>
      <c r="D1088" s="605"/>
      <c r="E1088" s="605"/>
      <c r="F1088" s="605"/>
      <c r="G1088" s="605"/>
      <c r="H1088" s="605"/>
      <c r="I1088" s="605"/>
      <c r="J1088" s="605"/>
      <c r="K1088" s="605"/>
    </row>
    <row r="1089" spans="1:11">
      <c r="A1089" s="611"/>
      <c r="B1089" s="602"/>
      <c r="C1089" s="605"/>
      <c r="D1089" s="605"/>
      <c r="E1089" s="605"/>
      <c r="F1089" s="605"/>
      <c r="G1089" s="605"/>
      <c r="H1089" s="605"/>
      <c r="I1089" s="605"/>
      <c r="J1089" s="605"/>
      <c r="K1089" s="605"/>
    </row>
    <row r="1090" spans="1:11">
      <c r="A1090" s="611"/>
      <c r="B1090" s="602"/>
      <c r="C1090" s="605"/>
      <c r="D1090" s="605"/>
      <c r="E1090" s="605"/>
      <c r="F1090" s="605"/>
      <c r="G1090" s="605"/>
      <c r="H1090" s="605"/>
      <c r="I1090" s="605"/>
      <c r="J1090" s="605"/>
      <c r="K1090" s="605"/>
    </row>
    <row r="1091" spans="1:11">
      <c r="A1091" s="611"/>
      <c r="B1091" s="602"/>
      <c r="C1091" s="605"/>
      <c r="D1091" s="605"/>
      <c r="E1091" s="605"/>
      <c r="F1091" s="605"/>
      <c r="G1091" s="605"/>
      <c r="H1091" s="605"/>
      <c r="I1091" s="605"/>
      <c r="J1091" s="605"/>
      <c r="K1091" s="605"/>
    </row>
    <row r="1092" spans="1:11">
      <c r="A1092" s="611"/>
      <c r="B1092" s="602"/>
      <c r="C1092" s="605"/>
      <c r="D1092" s="605"/>
      <c r="E1092" s="605"/>
      <c r="F1092" s="605"/>
      <c r="G1092" s="605"/>
      <c r="H1092" s="605"/>
      <c r="I1092" s="605"/>
      <c r="J1092" s="605"/>
      <c r="K1092" s="605"/>
    </row>
    <row r="1093" spans="1:11">
      <c r="A1093" s="611"/>
      <c r="B1093" s="602"/>
      <c r="C1093" s="605"/>
      <c r="D1093" s="605"/>
      <c r="E1093" s="605"/>
      <c r="F1093" s="605"/>
      <c r="G1093" s="605"/>
      <c r="H1093" s="605"/>
      <c r="I1093" s="605"/>
      <c r="J1093" s="605"/>
      <c r="K1093" s="605"/>
    </row>
    <row r="1094" spans="1:11">
      <c r="A1094" s="611"/>
      <c r="B1094" s="602"/>
      <c r="C1094" s="605"/>
      <c r="D1094" s="605"/>
      <c r="E1094" s="605"/>
      <c r="F1094" s="605"/>
      <c r="G1094" s="605"/>
      <c r="H1094" s="605"/>
      <c r="I1094" s="605"/>
      <c r="J1094" s="605"/>
      <c r="K1094" s="605"/>
    </row>
    <row r="1095" spans="1:11">
      <c r="A1095" s="611"/>
      <c r="B1095" s="602"/>
      <c r="C1095" s="605"/>
      <c r="D1095" s="605"/>
      <c r="E1095" s="605"/>
      <c r="F1095" s="605"/>
      <c r="G1095" s="605"/>
      <c r="H1095" s="605"/>
      <c r="I1095" s="605"/>
      <c r="J1095" s="605"/>
      <c r="K1095" s="605"/>
    </row>
    <row r="1096" spans="1:11">
      <c r="A1096" s="611"/>
      <c r="B1096" s="602"/>
      <c r="C1096" s="605"/>
      <c r="D1096" s="605"/>
      <c r="E1096" s="605"/>
      <c r="F1096" s="605"/>
      <c r="G1096" s="605"/>
      <c r="H1096" s="605"/>
      <c r="I1096" s="605"/>
      <c r="J1096" s="605"/>
      <c r="K1096" s="605"/>
    </row>
    <row r="1097" spans="1:11">
      <c r="A1097" s="611"/>
      <c r="B1097" s="602"/>
      <c r="C1097" s="605"/>
      <c r="D1097" s="605"/>
      <c r="E1097" s="605"/>
      <c r="F1097" s="605"/>
      <c r="G1097" s="605"/>
      <c r="H1097" s="605"/>
      <c r="I1097" s="605"/>
      <c r="J1097" s="605"/>
      <c r="K1097" s="605"/>
    </row>
    <row r="1098" spans="1:11">
      <c r="A1098" s="611"/>
      <c r="B1098" s="602"/>
      <c r="C1098" s="605"/>
      <c r="D1098" s="605"/>
      <c r="E1098" s="605"/>
      <c r="F1098" s="605"/>
      <c r="G1098" s="605"/>
      <c r="H1098" s="605"/>
      <c r="I1098" s="605"/>
      <c r="J1098" s="605"/>
      <c r="K1098" s="605"/>
    </row>
    <row r="1099" spans="1:11">
      <c r="A1099" s="611"/>
      <c r="B1099" s="602"/>
      <c r="C1099" s="605"/>
      <c r="D1099" s="605"/>
      <c r="E1099" s="605"/>
      <c r="F1099" s="605"/>
      <c r="G1099" s="605"/>
      <c r="H1099" s="605"/>
      <c r="I1099" s="605"/>
      <c r="J1099" s="605"/>
      <c r="K1099" s="605"/>
    </row>
    <row r="1100" spans="1:11">
      <c r="A1100" s="611"/>
      <c r="B1100" s="602"/>
      <c r="C1100" s="605"/>
      <c r="D1100" s="605"/>
      <c r="E1100" s="605"/>
      <c r="F1100" s="605"/>
      <c r="G1100" s="605"/>
      <c r="H1100" s="605"/>
      <c r="I1100" s="605"/>
      <c r="J1100" s="605"/>
      <c r="K1100" s="605"/>
    </row>
    <row r="1101" spans="1:11">
      <c r="A1101" s="611"/>
      <c r="B1101" s="602"/>
      <c r="C1101" s="605"/>
      <c r="D1101" s="605"/>
      <c r="E1101" s="605"/>
      <c r="F1101" s="605"/>
      <c r="G1101" s="605"/>
      <c r="H1101" s="605"/>
      <c r="I1101" s="605"/>
      <c r="J1101" s="605"/>
      <c r="K1101" s="605"/>
    </row>
    <row r="1102" spans="1:11">
      <c r="A1102" s="611"/>
      <c r="B1102" s="602"/>
      <c r="C1102" s="605"/>
      <c r="D1102" s="605"/>
      <c r="E1102" s="605"/>
      <c r="F1102" s="605"/>
      <c r="G1102" s="605"/>
      <c r="H1102" s="605"/>
      <c r="I1102" s="605"/>
      <c r="J1102" s="605"/>
      <c r="K1102" s="605"/>
    </row>
    <row r="1103" spans="1:11">
      <c r="A1103" s="611"/>
      <c r="B1103" s="602"/>
      <c r="C1103" s="605"/>
      <c r="D1103" s="605"/>
      <c r="E1103" s="605"/>
      <c r="F1103" s="605"/>
      <c r="G1103" s="605"/>
      <c r="H1103" s="605"/>
      <c r="I1103" s="605"/>
      <c r="J1103" s="605"/>
      <c r="K1103" s="605"/>
    </row>
    <row r="1104" spans="1:11">
      <c r="A1104" s="611"/>
      <c r="B1104" s="602"/>
      <c r="C1104" s="605"/>
      <c r="D1104" s="605"/>
      <c r="E1104" s="605"/>
      <c r="F1104" s="605"/>
      <c r="G1104" s="605"/>
      <c r="H1104" s="605"/>
      <c r="I1104" s="605"/>
      <c r="J1104" s="605"/>
      <c r="K1104" s="605"/>
    </row>
    <row r="1105" spans="1:11">
      <c r="A1105" s="611"/>
      <c r="B1105" s="602"/>
      <c r="C1105" s="605"/>
      <c r="D1105" s="605"/>
      <c r="E1105" s="605"/>
      <c r="F1105" s="605"/>
      <c r="G1105" s="605"/>
      <c r="H1105" s="605"/>
      <c r="I1105" s="605"/>
      <c r="J1105" s="605"/>
      <c r="K1105" s="605"/>
    </row>
    <row r="1106" spans="1:11">
      <c r="A1106" s="611"/>
      <c r="B1106" s="602"/>
      <c r="C1106" s="605"/>
      <c r="D1106" s="605"/>
      <c r="E1106" s="605"/>
      <c r="F1106" s="605"/>
      <c r="G1106" s="605"/>
      <c r="H1106" s="605"/>
      <c r="I1106" s="605"/>
      <c r="J1106" s="605"/>
      <c r="K1106" s="605"/>
    </row>
    <row r="1107" spans="1:11">
      <c r="A1107" s="611"/>
      <c r="B1107" s="602"/>
      <c r="C1107" s="605"/>
      <c r="D1107" s="605"/>
      <c r="E1107" s="605"/>
      <c r="F1107" s="605"/>
      <c r="G1107" s="605"/>
      <c r="H1107" s="605"/>
      <c r="I1107" s="605"/>
      <c r="J1107" s="605"/>
      <c r="K1107" s="605"/>
    </row>
    <row r="1108" spans="1:11">
      <c r="A1108" s="611"/>
      <c r="B1108" s="602"/>
      <c r="C1108" s="605"/>
      <c r="D1108" s="605"/>
      <c r="E1108" s="605"/>
      <c r="F1108" s="605"/>
      <c r="G1108" s="605"/>
      <c r="H1108" s="605"/>
      <c r="I1108" s="605"/>
      <c r="J1108" s="605"/>
      <c r="K1108" s="605"/>
    </row>
    <row r="1109" spans="1:11">
      <c r="A1109" s="611"/>
      <c r="B1109" s="602"/>
      <c r="C1109" s="605"/>
      <c r="D1109" s="605"/>
      <c r="E1109" s="605"/>
      <c r="F1109" s="605"/>
      <c r="G1109" s="605"/>
      <c r="H1109" s="605"/>
      <c r="I1109" s="605"/>
      <c r="J1109" s="605"/>
      <c r="K1109" s="605"/>
    </row>
    <row r="1110" spans="1:11">
      <c r="A1110" s="611"/>
      <c r="B1110" s="602"/>
      <c r="C1110" s="605"/>
      <c r="D1110" s="605"/>
      <c r="E1110" s="605"/>
      <c r="F1110" s="605"/>
      <c r="G1110" s="605"/>
      <c r="H1110" s="605"/>
      <c r="I1110" s="605"/>
      <c r="J1110" s="605"/>
      <c r="K1110" s="605"/>
    </row>
    <row r="1111" spans="1:11">
      <c r="A1111" s="611"/>
      <c r="B1111" s="602"/>
      <c r="C1111" s="605"/>
      <c r="D1111" s="605"/>
      <c r="E1111" s="605"/>
      <c r="F1111" s="605"/>
      <c r="G1111" s="605"/>
      <c r="H1111" s="605"/>
      <c r="I1111" s="605"/>
      <c r="J1111" s="605"/>
      <c r="K1111" s="605"/>
    </row>
    <row r="1112" spans="1:11">
      <c r="A1112" s="611"/>
      <c r="B1112" s="602"/>
      <c r="C1112" s="605"/>
      <c r="D1112" s="605"/>
      <c r="E1112" s="605"/>
      <c r="F1112" s="605"/>
      <c r="G1112" s="605"/>
      <c r="H1112" s="605"/>
      <c r="I1112" s="605"/>
      <c r="J1112" s="605"/>
      <c r="K1112" s="605"/>
    </row>
    <row r="1113" spans="1:11">
      <c r="A1113" s="611"/>
      <c r="B1113" s="602"/>
      <c r="C1113" s="605"/>
      <c r="D1113" s="605"/>
      <c r="E1113" s="605"/>
      <c r="F1113" s="605"/>
      <c r="G1113" s="605"/>
      <c r="H1113" s="605"/>
      <c r="I1113" s="605"/>
      <c r="J1113" s="605"/>
      <c r="K1113" s="605"/>
    </row>
    <row r="1114" spans="1:11">
      <c r="A1114" s="611"/>
      <c r="B1114" s="602"/>
      <c r="C1114" s="605"/>
      <c r="D1114" s="605"/>
      <c r="E1114" s="605"/>
      <c r="F1114" s="605"/>
      <c r="G1114" s="605"/>
      <c r="H1114" s="605"/>
      <c r="I1114" s="605"/>
      <c r="J1114" s="605"/>
      <c r="K1114" s="605"/>
    </row>
    <row r="1115" spans="1:11">
      <c r="A1115" s="611"/>
      <c r="B1115" s="602"/>
      <c r="C1115" s="605"/>
      <c r="D1115" s="605"/>
      <c r="E1115" s="605"/>
      <c r="F1115" s="605"/>
      <c r="G1115" s="605"/>
      <c r="H1115" s="605"/>
      <c r="I1115" s="605"/>
      <c r="J1115" s="605"/>
      <c r="K1115" s="605"/>
    </row>
    <row r="1116" spans="1:11">
      <c r="A1116" s="611"/>
      <c r="B1116" s="602"/>
      <c r="C1116" s="605"/>
      <c r="D1116" s="605"/>
      <c r="E1116" s="605"/>
      <c r="F1116" s="605"/>
      <c r="G1116" s="605"/>
      <c r="H1116" s="605"/>
      <c r="I1116" s="605"/>
      <c r="J1116" s="605"/>
      <c r="K1116" s="605"/>
    </row>
    <row r="1117" spans="1:11">
      <c r="A1117" s="611"/>
      <c r="B1117" s="602"/>
      <c r="C1117" s="605"/>
      <c r="D1117" s="605"/>
      <c r="E1117" s="605"/>
      <c r="F1117" s="605"/>
      <c r="G1117" s="605"/>
      <c r="H1117" s="605"/>
      <c r="I1117" s="605"/>
      <c r="J1117" s="605"/>
      <c r="K1117" s="605"/>
    </row>
    <row r="1118" spans="1:11">
      <c r="A1118" s="611"/>
      <c r="B1118" s="602"/>
      <c r="C1118" s="605"/>
      <c r="D1118" s="605"/>
      <c r="E1118" s="605"/>
      <c r="F1118" s="605"/>
      <c r="G1118" s="605"/>
      <c r="H1118" s="605"/>
      <c r="I1118" s="605"/>
      <c r="J1118" s="605"/>
      <c r="K1118" s="605"/>
    </row>
    <row r="1119" spans="1:11">
      <c r="A1119" s="611"/>
      <c r="B1119" s="602"/>
      <c r="C1119" s="605"/>
      <c r="D1119" s="605"/>
      <c r="E1119" s="605"/>
      <c r="F1119" s="605"/>
      <c r="G1119" s="605"/>
      <c r="H1119" s="605"/>
      <c r="I1119" s="605"/>
      <c r="J1119" s="605"/>
      <c r="K1119" s="605"/>
    </row>
    <row r="1120" spans="1:11">
      <c r="A1120" s="611"/>
      <c r="B1120" s="602"/>
      <c r="C1120" s="605"/>
      <c r="D1120" s="605"/>
      <c r="E1120" s="605"/>
      <c r="F1120" s="605"/>
      <c r="G1120" s="605"/>
      <c r="H1120" s="605"/>
      <c r="I1120" s="605"/>
      <c r="J1120" s="605"/>
      <c r="K1120" s="605"/>
    </row>
    <row r="1121" spans="1:11">
      <c r="A1121" s="611"/>
      <c r="B1121" s="602"/>
      <c r="C1121" s="605"/>
      <c r="D1121" s="605"/>
      <c r="E1121" s="605"/>
      <c r="F1121" s="605"/>
      <c r="G1121" s="605"/>
      <c r="H1121" s="605"/>
      <c r="I1121" s="605"/>
      <c r="J1121" s="605"/>
      <c r="K1121" s="605"/>
    </row>
    <row r="1122" spans="1:11">
      <c r="A1122" s="611"/>
      <c r="B1122" s="602"/>
      <c r="C1122" s="605"/>
      <c r="D1122" s="605"/>
      <c r="E1122" s="605"/>
      <c r="F1122" s="605"/>
      <c r="G1122" s="605"/>
      <c r="H1122" s="605"/>
      <c r="I1122" s="605"/>
      <c r="J1122" s="605"/>
      <c r="K1122" s="605"/>
    </row>
    <row r="1123" spans="1:11">
      <c r="A1123" s="611"/>
      <c r="B1123" s="602"/>
      <c r="C1123" s="605"/>
      <c r="D1123" s="605"/>
      <c r="E1123" s="605"/>
      <c r="F1123" s="605"/>
      <c r="G1123" s="605"/>
      <c r="H1123" s="605"/>
      <c r="I1123" s="605"/>
      <c r="J1123" s="605"/>
      <c r="K1123" s="605"/>
    </row>
    <row r="1124" spans="1:11">
      <c r="A1124" s="611"/>
      <c r="B1124" s="602"/>
      <c r="C1124" s="605"/>
      <c r="D1124" s="605"/>
      <c r="E1124" s="605"/>
      <c r="F1124" s="605"/>
      <c r="G1124" s="605"/>
      <c r="H1124" s="605"/>
      <c r="I1124" s="605"/>
      <c r="J1124" s="605"/>
      <c r="K1124" s="605"/>
    </row>
    <row r="1125" spans="1:11">
      <c r="A1125" s="611"/>
      <c r="B1125" s="602"/>
      <c r="C1125" s="605"/>
      <c r="D1125" s="605"/>
      <c r="E1125" s="605"/>
      <c r="F1125" s="605"/>
      <c r="G1125" s="605"/>
      <c r="H1125" s="605"/>
      <c r="I1125" s="605"/>
      <c r="J1125" s="605"/>
      <c r="K1125" s="605"/>
    </row>
    <row r="1126" spans="1:11">
      <c r="A1126" s="611"/>
      <c r="B1126" s="602"/>
      <c r="C1126" s="605"/>
      <c r="D1126" s="605"/>
      <c r="E1126" s="605"/>
      <c r="F1126" s="605"/>
      <c r="G1126" s="605"/>
      <c r="H1126" s="605"/>
      <c r="I1126" s="605"/>
      <c r="J1126" s="605"/>
      <c r="K1126" s="605"/>
    </row>
    <row r="1127" spans="1:11">
      <c r="A1127" s="611"/>
      <c r="B1127" s="602"/>
      <c r="C1127" s="605"/>
      <c r="D1127" s="605"/>
      <c r="E1127" s="605"/>
      <c r="F1127" s="605"/>
      <c r="G1127" s="605"/>
      <c r="H1127" s="605"/>
      <c r="I1127" s="605"/>
      <c r="J1127" s="605"/>
      <c r="K1127" s="605"/>
    </row>
    <row r="1128" spans="1:11">
      <c r="A1128" s="611"/>
      <c r="B1128" s="602"/>
      <c r="C1128" s="605"/>
      <c r="D1128" s="605"/>
      <c r="E1128" s="605"/>
      <c r="F1128" s="605"/>
      <c r="G1128" s="605"/>
      <c r="H1128" s="605"/>
      <c r="I1128" s="605"/>
      <c r="J1128" s="605"/>
      <c r="K1128" s="605"/>
    </row>
    <row r="1129" spans="1:11">
      <c r="A1129" s="611"/>
      <c r="B1129" s="602"/>
      <c r="C1129" s="605"/>
      <c r="D1129" s="605"/>
      <c r="E1129" s="605"/>
      <c r="F1129" s="605"/>
      <c r="G1129" s="605"/>
      <c r="H1129" s="605"/>
      <c r="I1129" s="605"/>
      <c r="J1129" s="605"/>
      <c r="K1129" s="605"/>
    </row>
    <row r="1130" spans="1:11">
      <c r="A1130" s="611"/>
      <c r="B1130" s="602"/>
      <c r="C1130" s="605"/>
      <c r="D1130" s="605"/>
      <c r="E1130" s="605"/>
      <c r="F1130" s="605"/>
      <c r="G1130" s="605"/>
      <c r="H1130" s="605"/>
      <c r="I1130" s="605"/>
      <c r="J1130" s="605"/>
      <c r="K1130" s="605"/>
    </row>
    <row r="1131" spans="1:11">
      <c r="A1131" s="611"/>
      <c r="B1131" s="602"/>
      <c r="C1131" s="605"/>
      <c r="D1131" s="605"/>
      <c r="E1131" s="605"/>
      <c r="F1131" s="605"/>
      <c r="G1131" s="605"/>
      <c r="H1131" s="605"/>
      <c r="I1131" s="605"/>
      <c r="J1131" s="605"/>
      <c r="K1131" s="605"/>
    </row>
    <row r="1132" spans="1:11">
      <c r="A1132" s="611"/>
      <c r="B1132" s="602"/>
      <c r="C1132" s="605"/>
      <c r="D1132" s="605"/>
      <c r="E1132" s="605"/>
      <c r="F1132" s="605"/>
      <c r="G1132" s="605"/>
      <c r="H1132" s="605"/>
      <c r="I1132" s="605"/>
      <c r="J1132" s="605"/>
      <c r="K1132" s="605"/>
    </row>
    <row r="1133" spans="1:11">
      <c r="A1133" s="611"/>
      <c r="B1133" s="602"/>
      <c r="C1133" s="605"/>
      <c r="D1133" s="605"/>
      <c r="E1133" s="605"/>
      <c r="F1133" s="605"/>
      <c r="G1133" s="605"/>
      <c r="H1133" s="605"/>
      <c r="I1133" s="605"/>
      <c r="J1133" s="605"/>
      <c r="K1133" s="605"/>
    </row>
    <row r="1134" spans="1:11">
      <c r="A1134" s="611"/>
      <c r="B1134" s="602"/>
      <c r="C1134" s="605"/>
      <c r="D1134" s="605"/>
      <c r="E1134" s="605"/>
      <c r="F1134" s="605"/>
      <c r="G1134" s="605"/>
      <c r="H1134" s="605"/>
      <c r="I1134" s="605"/>
      <c r="J1134" s="605"/>
      <c r="K1134" s="605"/>
    </row>
    <row r="1135" spans="1:11">
      <c r="A1135" s="611"/>
      <c r="B1135" s="602"/>
      <c r="C1135" s="605"/>
      <c r="D1135" s="605"/>
      <c r="E1135" s="605"/>
      <c r="F1135" s="605"/>
      <c r="G1135" s="605"/>
      <c r="H1135" s="605"/>
      <c r="I1135" s="605"/>
      <c r="J1135" s="605"/>
      <c r="K1135" s="605"/>
    </row>
    <row r="1136" spans="1:11">
      <c r="A1136" s="611"/>
      <c r="B1136" s="602"/>
      <c r="C1136" s="605"/>
      <c r="D1136" s="605"/>
      <c r="E1136" s="605"/>
      <c r="F1136" s="605"/>
      <c r="G1136" s="605"/>
      <c r="H1136" s="605"/>
      <c r="I1136" s="605"/>
      <c r="J1136" s="605"/>
      <c r="K1136" s="605"/>
    </row>
    <row r="1137" spans="1:11">
      <c r="A1137" s="611"/>
      <c r="B1137" s="602"/>
      <c r="C1137" s="605"/>
      <c r="D1137" s="605"/>
      <c r="E1137" s="605"/>
      <c r="F1137" s="605"/>
      <c r="G1137" s="605"/>
      <c r="H1137" s="605"/>
      <c r="I1137" s="605"/>
      <c r="J1137" s="605"/>
      <c r="K1137" s="605"/>
    </row>
    <row r="1138" spans="1:11">
      <c r="A1138" s="611"/>
      <c r="B1138" s="602"/>
      <c r="C1138" s="605"/>
      <c r="D1138" s="605"/>
      <c r="E1138" s="605"/>
      <c r="F1138" s="605"/>
      <c r="G1138" s="605"/>
      <c r="H1138" s="605"/>
      <c r="I1138" s="605"/>
      <c r="J1138" s="605"/>
      <c r="K1138" s="605"/>
    </row>
    <row r="1139" spans="1:11">
      <c r="A1139" s="611"/>
      <c r="B1139" s="602"/>
      <c r="C1139" s="605"/>
      <c r="D1139" s="605"/>
      <c r="E1139" s="605"/>
      <c r="F1139" s="605"/>
      <c r="G1139" s="605"/>
      <c r="H1139" s="605"/>
      <c r="I1139" s="605"/>
      <c r="J1139" s="605"/>
      <c r="K1139" s="605"/>
    </row>
    <row r="1140" spans="1:11">
      <c r="A1140" s="611"/>
      <c r="B1140" s="602"/>
      <c r="C1140" s="605"/>
      <c r="D1140" s="605"/>
      <c r="E1140" s="605"/>
      <c r="F1140" s="605"/>
      <c r="G1140" s="605"/>
      <c r="H1140" s="605"/>
      <c r="I1140" s="605"/>
      <c r="J1140" s="605"/>
      <c r="K1140" s="605"/>
    </row>
    <row r="1141" spans="1:11">
      <c r="A1141" s="611"/>
      <c r="B1141" s="602"/>
      <c r="C1141" s="605"/>
      <c r="D1141" s="605"/>
      <c r="E1141" s="605"/>
      <c r="F1141" s="605"/>
      <c r="G1141" s="605"/>
      <c r="H1141" s="605"/>
      <c r="I1141" s="605"/>
      <c r="J1141" s="605"/>
      <c r="K1141" s="605"/>
    </row>
    <row r="1142" spans="1:11">
      <c r="A1142" s="611"/>
      <c r="B1142" s="602"/>
      <c r="C1142" s="605"/>
      <c r="D1142" s="605"/>
      <c r="E1142" s="605"/>
      <c r="F1142" s="605"/>
      <c r="G1142" s="605"/>
      <c r="H1142" s="605"/>
      <c r="I1142" s="605"/>
      <c r="J1142" s="605"/>
      <c r="K1142" s="605"/>
    </row>
    <row r="1143" spans="1:11">
      <c r="A1143" s="611"/>
      <c r="B1143" s="602"/>
      <c r="C1143" s="605"/>
      <c r="D1143" s="605"/>
      <c r="E1143" s="605"/>
      <c r="F1143" s="605"/>
      <c r="G1143" s="605"/>
      <c r="H1143" s="605"/>
      <c r="I1143" s="605"/>
      <c r="J1143" s="605"/>
      <c r="K1143" s="605"/>
    </row>
    <row r="1144" spans="1:11">
      <c r="A1144" s="611"/>
      <c r="B1144" s="602"/>
      <c r="C1144" s="605"/>
      <c r="D1144" s="605"/>
      <c r="E1144" s="605"/>
      <c r="F1144" s="605"/>
      <c r="G1144" s="605"/>
      <c r="H1144" s="605"/>
      <c r="I1144" s="605"/>
      <c r="J1144" s="605"/>
      <c r="K1144" s="605"/>
    </row>
    <row r="1145" spans="1:11">
      <c r="A1145" s="611"/>
      <c r="B1145" s="602"/>
      <c r="C1145" s="605"/>
      <c r="D1145" s="605"/>
      <c r="E1145" s="605"/>
      <c r="F1145" s="605"/>
      <c r="G1145" s="605"/>
      <c r="H1145" s="605"/>
      <c r="I1145" s="605"/>
      <c r="J1145" s="605"/>
      <c r="K1145" s="605"/>
    </row>
    <row r="1146" spans="1:11">
      <c r="A1146" s="611"/>
      <c r="B1146" s="602"/>
      <c r="C1146" s="605"/>
      <c r="D1146" s="605"/>
      <c r="E1146" s="605"/>
      <c r="F1146" s="605"/>
      <c r="G1146" s="605"/>
      <c r="H1146" s="605"/>
      <c r="I1146" s="605"/>
      <c r="J1146" s="605"/>
      <c r="K1146" s="605"/>
    </row>
    <row r="1147" spans="1:11">
      <c r="A1147" s="611"/>
      <c r="B1147" s="602"/>
      <c r="C1147" s="605"/>
      <c r="D1147" s="605"/>
      <c r="E1147" s="605"/>
      <c r="F1147" s="605"/>
      <c r="G1147" s="605"/>
      <c r="H1147" s="605"/>
      <c r="I1147" s="605"/>
      <c r="J1147" s="605"/>
      <c r="K1147" s="605"/>
    </row>
    <row r="1148" spans="1:11">
      <c r="A1148" s="611"/>
      <c r="B1148" s="602"/>
      <c r="C1148" s="605"/>
      <c r="D1148" s="605"/>
      <c r="E1148" s="605"/>
      <c r="F1148" s="605"/>
      <c r="G1148" s="605"/>
      <c r="H1148" s="605"/>
      <c r="I1148" s="605"/>
      <c r="J1148" s="605"/>
      <c r="K1148" s="605"/>
    </row>
    <row r="1149" spans="1:11">
      <c r="A1149" s="611"/>
      <c r="B1149" s="602"/>
      <c r="C1149" s="605"/>
      <c r="D1149" s="605"/>
      <c r="E1149" s="605"/>
      <c r="F1149" s="605"/>
      <c r="G1149" s="605"/>
      <c r="H1149" s="605"/>
      <c r="I1149" s="605"/>
      <c r="J1149" s="605"/>
      <c r="K1149" s="605"/>
    </row>
    <row r="1150" spans="1:11">
      <c r="A1150" s="611"/>
      <c r="B1150" s="602"/>
      <c r="C1150" s="605"/>
      <c r="D1150" s="605"/>
      <c r="E1150" s="605"/>
      <c r="F1150" s="605"/>
      <c r="G1150" s="605"/>
      <c r="H1150" s="605"/>
      <c r="I1150" s="605"/>
      <c r="J1150" s="605"/>
      <c r="K1150" s="605"/>
    </row>
    <row r="1151" spans="1:11">
      <c r="A1151" s="611"/>
      <c r="B1151" s="602"/>
      <c r="C1151" s="605"/>
      <c r="D1151" s="605"/>
      <c r="E1151" s="605"/>
      <c r="F1151" s="605"/>
      <c r="G1151" s="605"/>
      <c r="H1151" s="605"/>
      <c r="I1151" s="605"/>
      <c r="J1151" s="605"/>
      <c r="K1151" s="605"/>
    </row>
    <row r="1152" spans="1:11">
      <c r="A1152" s="611"/>
      <c r="B1152" s="602"/>
      <c r="C1152" s="605"/>
      <c r="D1152" s="605"/>
      <c r="E1152" s="605"/>
      <c r="F1152" s="605"/>
      <c r="G1152" s="605"/>
      <c r="H1152" s="605"/>
      <c r="I1152" s="605"/>
      <c r="J1152" s="605"/>
      <c r="K1152" s="605"/>
    </row>
    <row r="1153" spans="1:11">
      <c r="A1153" s="611"/>
      <c r="B1153" s="602"/>
      <c r="C1153" s="605"/>
      <c r="D1153" s="605"/>
      <c r="E1153" s="605"/>
      <c r="F1153" s="605"/>
      <c r="G1153" s="605"/>
      <c r="H1153" s="605"/>
      <c r="I1153" s="605"/>
      <c r="J1153" s="605"/>
      <c r="K1153" s="605"/>
    </row>
    <row r="1154" spans="1:11">
      <c r="A1154" s="611"/>
      <c r="B1154" s="602"/>
      <c r="C1154" s="605"/>
      <c r="D1154" s="605"/>
      <c r="E1154" s="605"/>
      <c r="F1154" s="605"/>
      <c r="G1154" s="605"/>
      <c r="H1154" s="605"/>
      <c r="I1154" s="605"/>
      <c r="J1154" s="605"/>
      <c r="K1154" s="605"/>
    </row>
    <row r="1155" spans="1:11">
      <c r="A1155" s="611"/>
      <c r="B1155" s="602"/>
      <c r="C1155" s="605"/>
      <c r="D1155" s="605"/>
      <c r="E1155" s="605"/>
      <c r="F1155" s="605"/>
      <c r="G1155" s="605"/>
      <c r="H1155" s="605"/>
      <c r="I1155" s="605"/>
      <c r="J1155" s="605"/>
      <c r="K1155" s="605"/>
    </row>
    <row r="1156" spans="1:11">
      <c r="A1156" s="611"/>
      <c r="B1156" s="602"/>
      <c r="C1156" s="605"/>
      <c r="D1156" s="605"/>
      <c r="E1156" s="605"/>
      <c r="F1156" s="605"/>
      <c r="G1156" s="605"/>
      <c r="H1156" s="605"/>
      <c r="I1156" s="605"/>
      <c r="J1156" s="605"/>
      <c r="K1156" s="605"/>
    </row>
    <row r="1157" spans="1:11">
      <c r="A1157" s="611"/>
      <c r="B1157" s="602"/>
      <c r="C1157" s="605"/>
      <c r="D1157" s="605"/>
      <c r="E1157" s="605"/>
      <c r="F1157" s="605"/>
      <c r="G1157" s="605"/>
      <c r="H1157" s="605"/>
      <c r="I1157" s="605"/>
      <c r="J1157" s="605"/>
      <c r="K1157" s="605"/>
    </row>
    <row r="1158" spans="1:11">
      <c r="A1158" s="611"/>
      <c r="B1158" s="602"/>
      <c r="C1158" s="605"/>
      <c r="D1158" s="605"/>
      <c r="E1158" s="605"/>
      <c r="F1158" s="605"/>
      <c r="G1158" s="605"/>
      <c r="H1158" s="605"/>
      <c r="I1158" s="605"/>
      <c r="J1158" s="605"/>
      <c r="K1158" s="605"/>
    </row>
    <row r="1159" spans="1:11">
      <c r="A1159" s="611"/>
      <c r="B1159" s="602"/>
      <c r="C1159" s="605"/>
      <c r="D1159" s="605"/>
      <c r="E1159" s="605"/>
      <c r="F1159" s="605"/>
      <c r="G1159" s="605"/>
      <c r="H1159" s="605"/>
      <c r="I1159" s="605"/>
      <c r="J1159" s="605"/>
      <c r="K1159" s="605"/>
    </row>
    <row r="1160" spans="1:11">
      <c r="A1160" s="611"/>
      <c r="B1160" s="602"/>
      <c r="C1160" s="605"/>
      <c r="D1160" s="605"/>
      <c r="E1160" s="605"/>
      <c r="F1160" s="605"/>
      <c r="G1160" s="605"/>
      <c r="H1160" s="605"/>
      <c r="I1160" s="605"/>
      <c r="J1160" s="605"/>
      <c r="K1160" s="605"/>
    </row>
    <row r="1161" spans="1:11">
      <c r="A1161" s="611"/>
      <c r="B1161" s="602"/>
      <c r="C1161" s="605"/>
      <c r="D1161" s="605"/>
      <c r="E1161" s="605"/>
      <c r="F1161" s="605"/>
      <c r="G1161" s="605"/>
      <c r="H1161" s="605"/>
      <c r="I1161" s="605"/>
      <c r="J1161" s="605"/>
      <c r="K1161" s="605"/>
    </row>
    <row r="1162" spans="1:11">
      <c r="A1162" s="611"/>
      <c r="B1162" s="602"/>
      <c r="C1162" s="605"/>
      <c r="D1162" s="605"/>
      <c r="E1162" s="605"/>
      <c r="F1162" s="605"/>
      <c r="G1162" s="605"/>
      <c r="H1162" s="605"/>
      <c r="I1162" s="605"/>
      <c r="J1162" s="605"/>
      <c r="K1162" s="605"/>
    </row>
    <row r="1163" spans="1:11">
      <c r="A1163" s="611"/>
      <c r="B1163" s="602"/>
      <c r="C1163" s="605"/>
      <c r="D1163" s="605"/>
      <c r="E1163" s="605"/>
      <c r="F1163" s="605"/>
      <c r="G1163" s="605"/>
      <c r="H1163" s="605"/>
      <c r="I1163" s="605"/>
      <c r="J1163" s="605"/>
      <c r="K1163" s="605"/>
    </row>
    <row r="1164" spans="1:11">
      <c r="A1164" s="611"/>
      <c r="B1164" s="602"/>
      <c r="C1164" s="605"/>
      <c r="D1164" s="605"/>
      <c r="E1164" s="605"/>
      <c r="F1164" s="605"/>
      <c r="G1164" s="605"/>
      <c r="H1164" s="605"/>
      <c r="I1164" s="605"/>
      <c r="J1164" s="605"/>
      <c r="K1164" s="605"/>
    </row>
    <row r="1165" spans="1:11">
      <c r="A1165" s="611"/>
      <c r="B1165" s="602"/>
      <c r="C1165" s="605"/>
      <c r="D1165" s="605"/>
      <c r="E1165" s="605"/>
      <c r="F1165" s="605"/>
      <c r="G1165" s="605"/>
      <c r="H1165" s="605"/>
      <c r="I1165" s="605"/>
      <c r="J1165" s="605"/>
      <c r="K1165" s="605"/>
    </row>
    <row r="1166" spans="1:11">
      <c r="A1166" s="611"/>
      <c r="B1166" s="602"/>
      <c r="C1166" s="605"/>
      <c r="D1166" s="605"/>
      <c r="E1166" s="605"/>
      <c r="F1166" s="605"/>
      <c r="G1166" s="605"/>
      <c r="H1166" s="605"/>
      <c r="I1166" s="605"/>
      <c r="J1166" s="605"/>
      <c r="K1166" s="605"/>
    </row>
    <row r="1167" spans="1:11">
      <c r="A1167" s="611"/>
      <c r="B1167" s="602"/>
      <c r="C1167" s="605"/>
      <c r="D1167" s="605"/>
      <c r="E1167" s="605"/>
      <c r="F1167" s="605"/>
      <c r="G1167" s="605"/>
      <c r="H1167" s="605"/>
      <c r="I1167" s="605"/>
      <c r="J1167" s="605"/>
      <c r="K1167" s="605"/>
    </row>
    <row r="1168" spans="1:11">
      <c r="A1168" s="611"/>
      <c r="B1168" s="602"/>
      <c r="C1168" s="605"/>
      <c r="D1168" s="605"/>
      <c r="E1168" s="605"/>
      <c r="F1168" s="605"/>
      <c r="G1168" s="605"/>
      <c r="H1168" s="605"/>
      <c r="I1168" s="605"/>
      <c r="J1168" s="605"/>
      <c r="K1168" s="605"/>
    </row>
    <row r="1169" spans="1:11">
      <c r="A1169" s="611"/>
      <c r="B1169" s="602"/>
      <c r="C1169" s="605"/>
      <c r="D1169" s="605"/>
      <c r="E1169" s="605"/>
      <c r="F1169" s="605"/>
      <c r="G1169" s="605"/>
      <c r="H1169" s="605"/>
      <c r="I1169" s="605"/>
      <c r="J1169" s="605"/>
      <c r="K1169" s="605"/>
    </row>
    <row r="1170" spans="1:11">
      <c r="A1170" s="611"/>
      <c r="B1170" s="602"/>
      <c r="C1170" s="605"/>
      <c r="D1170" s="605"/>
      <c r="E1170" s="605"/>
      <c r="F1170" s="605"/>
      <c r="G1170" s="605"/>
      <c r="H1170" s="605"/>
      <c r="I1170" s="605"/>
      <c r="J1170" s="605"/>
      <c r="K1170" s="605"/>
    </row>
    <row r="1171" spans="1:11">
      <c r="A1171" s="611"/>
      <c r="B1171" s="602"/>
      <c r="C1171" s="605"/>
      <c r="D1171" s="605"/>
      <c r="E1171" s="605"/>
      <c r="F1171" s="605"/>
      <c r="G1171" s="605"/>
      <c r="H1171" s="605"/>
      <c r="I1171" s="605"/>
      <c r="J1171" s="605"/>
      <c r="K1171" s="605"/>
    </row>
    <row r="1172" spans="1:11">
      <c r="A1172" s="611"/>
      <c r="B1172" s="602"/>
      <c r="C1172" s="605"/>
      <c r="D1172" s="605"/>
      <c r="E1172" s="605"/>
      <c r="F1172" s="605"/>
      <c r="G1172" s="605"/>
      <c r="H1172" s="605"/>
      <c r="I1172" s="605"/>
      <c r="J1172" s="605"/>
      <c r="K1172" s="605"/>
    </row>
  </sheetData>
  <mergeCells count="15">
    <mergeCell ref="O229:Q229"/>
    <mergeCell ref="B774:C774"/>
    <mergeCell ref="B731:C731"/>
    <mergeCell ref="B377:C377"/>
    <mergeCell ref="B106:C106"/>
    <mergeCell ref="B160:C160"/>
    <mergeCell ref="B280:C280"/>
    <mergeCell ref="B302:C302"/>
    <mergeCell ref="B316:C316"/>
    <mergeCell ref="B603:C603"/>
    <mergeCell ref="B621:C621"/>
    <mergeCell ref="B500:C500"/>
    <mergeCell ref="B541:C541"/>
    <mergeCell ref="B558:C558"/>
    <mergeCell ref="B683:C68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944"/>
  <sheetViews>
    <sheetView topLeftCell="N1" zoomScale="80" zoomScaleNormal="80" workbookViewId="0">
      <pane ySplit="3" topLeftCell="A4" activePane="bottomLeft" state="frozen"/>
      <selection pane="bottomLeft" activeCell="U18" sqref="U18:AC26"/>
    </sheetView>
  </sheetViews>
  <sheetFormatPr defaultColWidth="8.85546875" defaultRowHeight="12.75"/>
  <cols>
    <col min="1" max="1" width="6.5703125" style="65" customWidth="1"/>
    <col min="2" max="2" width="49.7109375" style="65" customWidth="1"/>
    <col min="3" max="3" width="12.7109375" style="65" customWidth="1"/>
    <col min="4" max="4" width="11.140625" style="65" customWidth="1"/>
    <col min="5" max="11" width="8.85546875" style="65"/>
    <col min="12" max="12" width="10.5703125" style="65" customWidth="1"/>
    <col min="13" max="14" width="12.5703125" style="65" customWidth="1"/>
    <col min="15" max="15" width="16.85546875" style="1311" customWidth="1"/>
    <col min="16" max="19" width="8.85546875" style="65"/>
    <col min="20" max="20" width="35.140625" style="65" customWidth="1"/>
    <col min="21" max="21" width="8.85546875" style="65" customWidth="1"/>
    <col min="22" max="22" width="16.5703125" style="65" customWidth="1"/>
    <col min="23" max="24" width="8.85546875" style="65" customWidth="1"/>
    <col min="25" max="28" width="8.85546875" style="65"/>
    <col min="29" max="30" width="12.5703125" style="65" customWidth="1"/>
    <col min="31" max="31" width="18.85546875" style="65" customWidth="1"/>
    <col min="32" max="16384" width="8.85546875" style="65"/>
  </cols>
  <sheetData>
    <row r="1" spans="1:31" ht="15.75">
      <c r="A1" s="255"/>
      <c r="B1" s="256" t="s">
        <v>1854</v>
      </c>
      <c r="C1" s="154"/>
      <c r="D1" s="154"/>
      <c r="E1" s="154"/>
      <c r="F1" s="154"/>
      <c r="G1" s="154"/>
    </row>
    <row r="2" spans="1:31" ht="18.75">
      <c r="A2" s="154"/>
      <c r="B2" s="257" t="s">
        <v>742</v>
      </c>
      <c r="C2" s="154"/>
      <c r="D2" s="154"/>
      <c r="E2" s="258"/>
      <c r="F2" s="258"/>
      <c r="G2" s="258"/>
    </row>
    <row r="3" spans="1:31">
      <c r="A3" s="154"/>
      <c r="B3" s="259"/>
      <c r="C3" s="154"/>
      <c r="D3" s="154"/>
      <c r="E3" s="154"/>
      <c r="F3" s="154"/>
      <c r="G3" s="154"/>
    </row>
    <row r="4" spans="1:31" ht="25.5">
      <c r="A4" s="260" t="s">
        <v>41</v>
      </c>
      <c r="B4" s="261" t="s">
        <v>251</v>
      </c>
      <c r="C4" s="171" t="s">
        <v>249</v>
      </c>
      <c r="D4" s="262" t="s">
        <v>250</v>
      </c>
      <c r="E4" s="263" t="s">
        <v>230</v>
      </c>
      <c r="F4" s="263" t="s">
        <v>231</v>
      </c>
      <c r="G4" s="263" t="s">
        <v>232</v>
      </c>
      <c r="H4" s="263" t="s">
        <v>233</v>
      </c>
      <c r="I4" s="263" t="s">
        <v>234</v>
      </c>
      <c r="J4" s="263" t="s">
        <v>235</v>
      </c>
      <c r="K4" s="263">
        <v>2021</v>
      </c>
      <c r="L4" s="263">
        <v>2022</v>
      </c>
      <c r="M4" s="165" t="s">
        <v>236</v>
      </c>
      <c r="N4" s="171" t="s">
        <v>237</v>
      </c>
      <c r="O4" s="1312" t="s">
        <v>1838</v>
      </c>
      <c r="P4" s="263" t="s">
        <v>832</v>
      </c>
      <c r="Q4" s="263"/>
      <c r="R4" s="263"/>
      <c r="S4" s="263"/>
      <c r="T4" s="263"/>
      <c r="V4" s="263" t="s">
        <v>231</v>
      </c>
      <c r="W4" s="263" t="s">
        <v>232</v>
      </c>
      <c r="X4" s="263" t="s">
        <v>233</v>
      </c>
      <c r="Y4" s="263" t="s">
        <v>234</v>
      </c>
      <c r="Z4" s="263" t="s">
        <v>235</v>
      </c>
      <c r="AA4" s="263">
        <v>2021</v>
      </c>
      <c r="AB4" s="263">
        <v>2022</v>
      </c>
      <c r="AC4" s="165" t="s">
        <v>236</v>
      </c>
      <c r="AD4" s="171" t="s">
        <v>237</v>
      </c>
      <c r="AE4" s="135" t="s">
        <v>1838</v>
      </c>
    </row>
    <row r="5" spans="1:31">
      <c r="A5" s="160">
        <v>1</v>
      </c>
      <c r="B5" s="154" t="s">
        <v>19</v>
      </c>
      <c r="C5" s="264">
        <f>'All country'!M43</f>
        <v>1334</v>
      </c>
      <c r="D5" s="155">
        <f>'All country'!N43</f>
        <v>1142</v>
      </c>
      <c r="E5" s="89">
        <f>'All country'!O43</f>
        <v>890</v>
      </c>
      <c r="F5" s="89">
        <f>'All country'!P43</f>
        <v>836</v>
      </c>
      <c r="G5" s="89">
        <f>'All country'!Q43</f>
        <v>760</v>
      </c>
      <c r="H5" s="89">
        <f>'All country'!R43</f>
        <v>725</v>
      </c>
      <c r="I5" s="89">
        <f>'All country'!S43</f>
        <v>681</v>
      </c>
      <c r="J5" s="89">
        <f>'All country'!T43</f>
        <v>629</v>
      </c>
      <c r="K5" s="89">
        <f>'All country'!U43</f>
        <v>609</v>
      </c>
      <c r="L5" s="89">
        <f>'All country'!V43</f>
        <v>594</v>
      </c>
      <c r="M5" s="166">
        <f>SUM(F5:H5)</f>
        <v>2321</v>
      </c>
      <c r="N5" s="172">
        <f>SUM(F5:J5)</f>
        <v>3631</v>
      </c>
      <c r="O5" s="1313">
        <f>I5+J5+K5+L5</f>
        <v>2513</v>
      </c>
      <c r="P5" s="65" t="s">
        <v>1765</v>
      </c>
      <c r="S5" s="95"/>
      <c r="V5" s="89">
        <f>ROUND(F5,0)</f>
        <v>836</v>
      </c>
      <c r="W5" s="89">
        <f t="shared" ref="W5:W7" si="0">ROUND(G5,0)</f>
        <v>760</v>
      </c>
      <c r="X5" s="89">
        <f t="shared" ref="X5:X7" si="1">ROUND(H5,0)</f>
        <v>725</v>
      </c>
      <c r="Y5" s="89">
        <f t="shared" ref="Y5:Y7" si="2">ROUND(I5,0)</f>
        <v>681</v>
      </c>
      <c r="Z5" s="89">
        <f t="shared" ref="Z5:Z7" si="3">ROUND(J5,0)</f>
        <v>629</v>
      </c>
      <c r="AA5" s="89">
        <f t="shared" ref="AA5:AA7" si="4">ROUND(K5,0)</f>
        <v>609</v>
      </c>
      <c r="AB5" s="89">
        <f t="shared" ref="AB5:AB7" si="5">ROUND(L5,0)</f>
        <v>594</v>
      </c>
      <c r="AC5" s="166">
        <f>SUM(V5:X5)</f>
        <v>2321</v>
      </c>
      <c r="AD5" s="172">
        <f>SUM(V5:Z5)</f>
        <v>3631</v>
      </c>
      <c r="AE5" s="153">
        <f>Y5+Z5+AA5+AB5</f>
        <v>2513</v>
      </c>
    </row>
    <row r="6" spans="1:31">
      <c r="A6" s="160">
        <v>2</v>
      </c>
      <c r="B6" s="154" t="s">
        <v>245</v>
      </c>
      <c r="C6" s="264">
        <f>'All country'!M44</f>
        <v>1078</v>
      </c>
      <c r="D6" s="155">
        <f>'All country'!N44</f>
        <v>1004</v>
      </c>
      <c r="E6" s="89">
        <f>'All country'!O44</f>
        <v>1116</v>
      </c>
      <c r="F6" s="89">
        <f>'All country'!P44</f>
        <v>1067</v>
      </c>
      <c r="G6" s="89">
        <f>'All country'!Q44</f>
        <v>1000</v>
      </c>
      <c r="H6" s="89">
        <f>'All country'!R44</f>
        <v>951</v>
      </c>
      <c r="I6" s="89">
        <f>'All country'!S44</f>
        <v>931</v>
      </c>
      <c r="J6" s="89">
        <f>'All country'!T44</f>
        <v>929</v>
      </c>
      <c r="K6" s="89">
        <f>'All country'!U44</f>
        <v>901</v>
      </c>
      <c r="L6" s="89">
        <f>'All country'!V44</f>
        <v>877</v>
      </c>
      <c r="M6" s="166">
        <f t="shared" ref="M6:M7" si="6">SUM(F6:H6)</f>
        <v>3018</v>
      </c>
      <c r="N6" s="172">
        <f t="shared" ref="N6:N7" si="7">SUM(F6:J6)</f>
        <v>4878</v>
      </c>
      <c r="O6" s="1313">
        <f t="shared" ref="O6:O13" si="8">I6+J6+K6+L6</f>
        <v>3638</v>
      </c>
      <c r="S6" s="95"/>
      <c r="V6" s="89">
        <f t="shared" ref="V6:V7" si="9">ROUND(F6,0)</f>
        <v>1067</v>
      </c>
      <c r="W6" s="89">
        <f t="shared" si="0"/>
        <v>1000</v>
      </c>
      <c r="X6" s="89">
        <f t="shared" si="1"/>
        <v>951</v>
      </c>
      <c r="Y6" s="89">
        <f t="shared" si="2"/>
        <v>931</v>
      </c>
      <c r="Z6" s="89">
        <f t="shared" si="3"/>
        <v>929</v>
      </c>
      <c r="AA6" s="89">
        <f t="shared" si="4"/>
        <v>901</v>
      </c>
      <c r="AB6" s="89">
        <f t="shared" si="5"/>
        <v>877</v>
      </c>
      <c r="AC6" s="166">
        <f t="shared" ref="AC6:AC11" si="10">SUM(V6:X6)</f>
        <v>3018</v>
      </c>
      <c r="AD6" s="172">
        <f t="shared" ref="AD6:AD11" si="11">SUM(V6:Z6)</f>
        <v>4878</v>
      </c>
      <c r="AE6" s="153">
        <f t="shared" ref="AE6:AE13" si="12">Y6+Z6+AA6+AB6</f>
        <v>3638</v>
      </c>
    </row>
    <row r="7" spans="1:31">
      <c r="A7" s="160">
        <v>3</v>
      </c>
      <c r="B7" s="154" t="s">
        <v>20</v>
      </c>
      <c r="C7" s="264">
        <f>'All country'!M45</f>
        <v>721</v>
      </c>
      <c r="D7" s="155">
        <f>'All country'!N45</f>
        <v>661</v>
      </c>
      <c r="E7" s="89">
        <f>'All country'!O45</f>
        <v>616</v>
      </c>
      <c r="F7" s="89">
        <f>'All country'!P45</f>
        <v>562</v>
      </c>
      <c r="G7" s="89">
        <f>'All country'!Q45</f>
        <v>509</v>
      </c>
      <c r="H7" s="89">
        <f>'All country'!R45</f>
        <v>480</v>
      </c>
      <c r="I7" s="89">
        <f>'All country'!S45</f>
        <v>457</v>
      </c>
      <c r="J7" s="89">
        <f>'All country'!T45</f>
        <v>438</v>
      </c>
      <c r="K7" s="89">
        <f>'All country'!U45</f>
        <v>425</v>
      </c>
      <c r="L7" s="89">
        <f>'All country'!V45</f>
        <v>414</v>
      </c>
      <c r="M7" s="166">
        <f t="shared" si="6"/>
        <v>1551</v>
      </c>
      <c r="N7" s="172">
        <f t="shared" si="7"/>
        <v>2446</v>
      </c>
      <c r="O7" s="1313">
        <f t="shared" si="8"/>
        <v>1734</v>
      </c>
      <c r="S7" s="95"/>
      <c r="V7" s="89">
        <f t="shared" si="9"/>
        <v>562</v>
      </c>
      <c r="W7" s="89">
        <f t="shared" si="0"/>
        <v>509</v>
      </c>
      <c r="X7" s="89">
        <f t="shared" si="1"/>
        <v>480</v>
      </c>
      <c r="Y7" s="89">
        <f t="shared" si="2"/>
        <v>457</v>
      </c>
      <c r="Z7" s="89">
        <f t="shared" si="3"/>
        <v>438</v>
      </c>
      <c r="AA7" s="89">
        <f t="shared" si="4"/>
        <v>425</v>
      </c>
      <c r="AB7" s="89">
        <f t="shared" si="5"/>
        <v>414</v>
      </c>
      <c r="AC7" s="166">
        <f t="shared" si="10"/>
        <v>1551</v>
      </c>
      <c r="AD7" s="172">
        <f t="shared" si="11"/>
        <v>2446</v>
      </c>
      <c r="AE7" s="153">
        <f t="shared" si="12"/>
        <v>1734</v>
      </c>
    </row>
    <row r="8" spans="1:31">
      <c r="A8" s="162">
        <v>4</v>
      </c>
      <c r="B8" s="163" t="s">
        <v>16</v>
      </c>
      <c r="C8" s="93">
        <f>SUM(C5:C7)</f>
        <v>3133</v>
      </c>
      <c r="D8" s="265">
        <f>SUM(D5:D7)</f>
        <v>2807</v>
      </c>
      <c r="E8" s="92">
        <f t="shared" ref="E8:L8" si="13">SUM(E5:E7)</f>
        <v>2622</v>
      </c>
      <c r="F8" s="92">
        <f t="shared" si="13"/>
        <v>2465</v>
      </c>
      <c r="G8" s="92">
        <f t="shared" si="13"/>
        <v>2269</v>
      </c>
      <c r="H8" s="92">
        <f t="shared" si="13"/>
        <v>2156</v>
      </c>
      <c r="I8" s="92">
        <f t="shared" si="13"/>
        <v>2069</v>
      </c>
      <c r="J8" s="92">
        <f t="shared" si="13"/>
        <v>1996</v>
      </c>
      <c r="K8" s="92">
        <f t="shared" si="13"/>
        <v>1935</v>
      </c>
      <c r="L8" s="92">
        <f t="shared" si="13"/>
        <v>1885</v>
      </c>
      <c r="M8" s="167">
        <f t="shared" ref="M8:M11" si="14">SUM(F8:H8)</f>
        <v>6890</v>
      </c>
      <c r="N8" s="94">
        <f t="shared" ref="N8:N11" si="15">SUM(F8:J8)</f>
        <v>10955</v>
      </c>
      <c r="O8" s="1313">
        <f t="shared" si="8"/>
        <v>7885</v>
      </c>
      <c r="S8" s="95"/>
      <c r="V8" s="92">
        <f t="shared" ref="V8:AB8" si="16">SUM(V5:V7)</f>
        <v>2465</v>
      </c>
      <c r="W8" s="92">
        <f t="shared" si="16"/>
        <v>2269</v>
      </c>
      <c r="X8" s="92">
        <f t="shared" si="16"/>
        <v>2156</v>
      </c>
      <c r="Y8" s="92">
        <f t="shared" si="16"/>
        <v>2069</v>
      </c>
      <c r="Z8" s="92">
        <f t="shared" si="16"/>
        <v>1996</v>
      </c>
      <c r="AA8" s="92">
        <f t="shared" si="16"/>
        <v>1935</v>
      </c>
      <c r="AB8" s="92">
        <f t="shared" si="16"/>
        <v>1885</v>
      </c>
      <c r="AC8" s="167">
        <f t="shared" si="10"/>
        <v>6890</v>
      </c>
      <c r="AD8" s="94">
        <f t="shared" si="11"/>
        <v>10955</v>
      </c>
      <c r="AE8" s="153">
        <f t="shared" si="12"/>
        <v>7885</v>
      </c>
    </row>
    <row r="9" spans="1:31">
      <c r="A9" s="160">
        <v>5</v>
      </c>
      <c r="B9" s="154" t="s">
        <v>244</v>
      </c>
      <c r="C9" s="264">
        <f>'All country'!M48</f>
        <v>579</v>
      </c>
      <c r="D9" s="155">
        <f>'All country'!N48</f>
        <v>474</v>
      </c>
      <c r="E9" s="89">
        <f>'All country'!O48</f>
        <v>408</v>
      </c>
      <c r="F9" s="89">
        <f>'All country'!P48</f>
        <v>365</v>
      </c>
      <c r="G9" s="89">
        <f>'All country'!Q48</f>
        <v>325</v>
      </c>
      <c r="H9" s="89">
        <f>'All country'!R48</f>
        <v>311</v>
      </c>
      <c r="I9" s="89">
        <f>'All country'!S48</f>
        <v>301</v>
      </c>
      <c r="J9" s="89">
        <f>'All country'!T48</f>
        <v>292</v>
      </c>
      <c r="K9" s="89">
        <f>'All country'!U48</f>
        <v>284</v>
      </c>
      <c r="L9" s="89">
        <f>'All country'!V48</f>
        <v>279</v>
      </c>
      <c r="M9" s="166">
        <f t="shared" si="14"/>
        <v>1001</v>
      </c>
      <c r="N9" s="172">
        <f t="shared" si="15"/>
        <v>1594</v>
      </c>
      <c r="O9" s="1313">
        <f t="shared" si="8"/>
        <v>1156</v>
      </c>
      <c r="S9" s="95"/>
      <c r="V9" s="89">
        <f t="shared" ref="V9:V11" si="17">ROUND(F9,0)</f>
        <v>365</v>
      </c>
      <c r="W9" s="89">
        <f t="shared" ref="W9:W11" si="18">ROUND(G9,0)</f>
        <v>325</v>
      </c>
      <c r="X9" s="89">
        <f t="shared" ref="X9:X11" si="19">ROUND(H9,0)</f>
        <v>311</v>
      </c>
      <c r="Y9" s="89">
        <f t="shared" ref="Y9:Y11" si="20">ROUND(I9,0)</f>
        <v>301</v>
      </c>
      <c r="Z9" s="89">
        <f t="shared" ref="Z9:Z11" si="21">ROUND(J9,0)</f>
        <v>292</v>
      </c>
      <c r="AA9" s="89">
        <f t="shared" ref="AA9:AA11" si="22">ROUND(K9,0)</f>
        <v>284</v>
      </c>
      <c r="AB9" s="89">
        <f t="shared" ref="AB9:AB11" si="23">ROUND(L9,0)</f>
        <v>279</v>
      </c>
      <c r="AC9" s="166">
        <f t="shared" si="10"/>
        <v>1001</v>
      </c>
      <c r="AD9" s="172">
        <f t="shared" si="11"/>
        <v>1594</v>
      </c>
      <c r="AE9" s="153">
        <f t="shared" si="12"/>
        <v>1156</v>
      </c>
    </row>
    <row r="10" spans="1:31">
      <c r="A10" s="160">
        <v>6</v>
      </c>
      <c r="B10" s="154" t="s">
        <v>246</v>
      </c>
      <c r="C10" s="264">
        <f>'All country'!M49</f>
        <v>513</v>
      </c>
      <c r="D10" s="155">
        <f>'All country'!N49</f>
        <v>474</v>
      </c>
      <c r="E10" s="89">
        <f>'All country'!O49</f>
        <v>504</v>
      </c>
      <c r="F10" s="89">
        <f>'All country'!P49</f>
        <v>444</v>
      </c>
      <c r="G10" s="89">
        <f>'All country'!Q49</f>
        <v>407</v>
      </c>
      <c r="H10" s="89">
        <f>'All country'!R49</f>
        <v>389</v>
      </c>
      <c r="I10" s="89">
        <f>'All country'!S49</f>
        <v>374</v>
      </c>
      <c r="J10" s="89">
        <f>'All country'!T49</f>
        <v>362</v>
      </c>
      <c r="K10" s="89">
        <f>'All country'!U49</f>
        <v>353</v>
      </c>
      <c r="L10" s="89">
        <f>'All country'!V49</f>
        <v>345</v>
      </c>
      <c r="M10" s="166">
        <f t="shared" si="14"/>
        <v>1240</v>
      </c>
      <c r="N10" s="172">
        <f t="shared" si="15"/>
        <v>1976</v>
      </c>
      <c r="O10" s="1313">
        <f t="shared" si="8"/>
        <v>1434</v>
      </c>
      <c r="S10" s="95"/>
      <c r="V10" s="89">
        <f t="shared" si="17"/>
        <v>444</v>
      </c>
      <c r="W10" s="89">
        <f t="shared" si="18"/>
        <v>407</v>
      </c>
      <c r="X10" s="89">
        <f t="shared" si="19"/>
        <v>389</v>
      </c>
      <c r="Y10" s="89">
        <f t="shared" si="20"/>
        <v>374</v>
      </c>
      <c r="Z10" s="89">
        <f t="shared" si="21"/>
        <v>362</v>
      </c>
      <c r="AA10" s="89">
        <f t="shared" si="22"/>
        <v>353</v>
      </c>
      <c r="AB10" s="89">
        <f t="shared" si="23"/>
        <v>345</v>
      </c>
      <c r="AC10" s="166">
        <f t="shared" si="10"/>
        <v>1240</v>
      </c>
      <c r="AD10" s="172">
        <f t="shared" si="11"/>
        <v>1976</v>
      </c>
      <c r="AE10" s="153">
        <f t="shared" si="12"/>
        <v>1434</v>
      </c>
    </row>
    <row r="11" spans="1:31">
      <c r="A11" s="160">
        <v>7</v>
      </c>
      <c r="B11" s="154" t="s">
        <v>247</v>
      </c>
      <c r="C11" s="264">
        <f>'All country'!M50</f>
        <v>95</v>
      </c>
      <c r="D11" s="155">
        <f>'All country'!N50</f>
        <v>95</v>
      </c>
      <c r="E11" s="89">
        <f>'All country'!O50</f>
        <v>77</v>
      </c>
      <c r="F11" s="89">
        <f>'All country'!P50</f>
        <v>58</v>
      </c>
      <c r="G11" s="89">
        <f>'All country'!Q50</f>
        <v>48</v>
      </c>
      <c r="H11" s="89">
        <f>'All country'!R50</f>
        <v>45</v>
      </c>
      <c r="I11" s="89">
        <f>'All country'!S50</f>
        <v>40</v>
      </c>
      <c r="J11" s="89">
        <f>'All country'!T50</f>
        <v>35</v>
      </c>
      <c r="K11" s="89">
        <f>'All country'!U50</f>
        <v>31</v>
      </c>
      <c r="L11" s="89">
        <f>'All country'!V50</f>
        <v>27</v>
      </c>
      <c r="M11" s="166">
        <f t="shared" si="14"/>
        <v>151</v>
      </c>
      <c r="N11" s="172">
        <f t="shared" si="15"/>
        <v>226</v>
      </c>
      <c r="O11" s="1313">
        <f t="shared" si="8"/>
        <v>133</v>
      </c>
      <c r="S11" s="95"/>
      <c r="V11" s="89">
        <f t="shared" si="17"/>
        <v>58</v>
      </c>
      <c r="W11" s="89">
        <f t="shared" si="18"/>
        <v>48</v>
      </c>
      <c r="X11" s="89">
        <f t="shared" si="19"/>
        <v>45</v>
      </c>
      <c r="Y11" s="89">
        <f t="shared" si="20"/>
        <v>40</v>
      </c>
      <c r="Z11" s="89">
        <f t="shared" si="21"/>
        <v>35</v>
      </c>
      <c r="AA11" s="89">
        <f t="shared" si="22"/>
        <v>31</v>
      </c>
      <c r="AB11" s="89">
        <f t="shared" si="23"/>
        <v>27</v>
      </c>
      <c r="AC11" s="166">
        <f t="shared" si="10"/>
        <v>151</v>
      </c>
      <c r="AD11" s="172">
        <f t="shared" si="11"/>
        <v>226</v>
      </c>
      <c r="AE11" s="153">
        <f t="shared" si="12"/>
        <v>133</v>
      </c>
    </row>
    <row r="12" spans="1:31">
      <c r="A12" s="162">
        <v>8</v>
      </c>
      <c r="B12" s="163" t="s">
        <v>17</v>
      </c>
      <c r="C12" s="93">
        <f>SUM(C9:C11)</f>
        <v>1187</v>
      </c>
      <c r="D12" s="265">
        <f>SUM(D9:D11)</f>
        <v>1043</v>
      </c>
      <c r="E12" s="92">
        <f t="shared" ref="E12:N12" si="24">SUM(E9:E11)</f>
        <v>989</v>
      </c>
      <c r="F12" s="92">
        <f t="shared" si="24"/>
        <v>867</v>
      </c>
      <c r="G12" s="92">
        <f t="shared" si="24"/>
        <v>780</v>
      </c>
      <c r="H12" s="92">
        <f t="shared" si="24"/>
        <v>745</v>
      </c>
      <c r="I12" s="92">
        <f t="shared" si="24"/>
        <v>715</v>
      </c>
      <c r="J12" s="92">
        <f t="shared" si="24"/>
        <v>689</v>
      </c>
      <c r="K12" s="92">
        <f t="shared" si="24"/>
        <v>668</v>
      </c>
      <c r="L12" s="92">
        <f t="shared" si="24"/>
        <v>651</v>
      </c>
      <c r="M12" s="167">
        <f t="shared" si="24"/>
        <v>2392</v>
      </c>
      <c r="N12" s="93">
        <f t="shared" si="24"/>
        <v>3796</v>
      </c>
      <c r="O12" s="1313">
        <f t="shared" si="8"/>
        <v>2723</v>
      </c>
      <c r="S12" s="95"/>
      <c r="V12" s="92">
        <f t="shared" ref="V12:AD12" si="25">SUM(V9:V11)</f>
        <v>867</v>
      </c>
      <c r="W12" s="92">
        <f t="shared" si="25"/>
        <v>780</v>
      </c>
      <c r="X12" s="92">
        <f t="shared" si="25"/>
        <v>745</v>
      </c>
      <c r="Y12" s="92">
        <f t="shared" si="25"/>
        <v>715</v>
      </c>
      <c r="Z12" s="92">
        <f t="shared" si="25"/>
        <v>689</v>
      </c>
      <c r="AA12" s="92">
        <f t="shared" si="25"/>
        <v>668</v>
      </c>
      <c r="AB12" s="92">
        <f t="shared" si="25"/>
        <v>651</v>
      </c>
      <c r="AC12" s="167">
        <f t="shared" si="25"/>
        <v>2392</v>
      </c>
      <c r="AD12" s="93">
        <f t="shared" si="25"/>
        <v>3796</v>
      </c>
      <c r="AE12" s="153">
        <f t="shared" si="12"/>
        <v>2723</v>
      </c>
    </row>
    <row r="13" spans="1:31">
      <c r="A13" s="162">
        <v>9</v>
      </c>
      <c r="B13" s="163" t="s">
        <v>248</v>
      </c>
      <c r="C13" s="93">
        <f>SUM(C8,C12)</f>
        <v>4320</v>
      </c>
      <c r="D13" s="265">
        <f>SUM(D8,D12)</f>
        <v>3850</v>
      </c>
      <c r="E13" s="92">
        <f t="shared" ref="E13:N13" si="26">SUM(E8,E12)</f>
        <v>3611</v>
      </c>
      <c r="F13" s="92">
        <f t="shared" si="26"/>
        <v>3332</v>
      </c>
      <c r="G13" s="92">
        <f t="shared" si="26"/>
        <v>3049</v>
      </c>
      <c r="H13" s="92">
        <f t="shared" si="26"/>
        <v>2901</v>
      </c>
      <c r="I13" s="92">
        <f t="shared" si="26"/>
        <v>2784</v>
      </c>
      <c r="J13" s="92">
        <f t="shared" si="26"/>
        <v>2685</v>
      </c>
      <c r="K13" s="92">
        <f t="shared" si="26"/>
        <v>2603</v>
      </c>
      <c r="L13" s="92">
        <f t="shared" si="26"/>
        <v>2536</v>
      </c>
      <c r="M13" s="167">
        <f t="shared" si="26"/>
        <v>9282</v>
      </c>
      <c r="N13" s="93">
        <f t="shared" si="26"/>
        <v>14751</v>
      </c>
      <c r="O13" s="1313">
        <f t="shared" si="8"/>
        <v>10608</v>
      </c>
      <c r="S13" s="95"/>
      <c r="V13" s="92">
        <f t="shared" ref="V13:AD13" si="27">SUM(V8,V12)</f>
        <v>3332</v>
      </c>
      <c r="W13" s="92">
        <f t="shared" si="27"/>
        <v>3049</v>
      </c>
      <c r="X13" s="92">
        <f t="shared" si="27"/>
        <v>2901</v>
      </c>
      <c r="Y13" s="92">
        <f t="shared" si="27"/>
        <v>2784</v>
      </c>
      <c r="Z13" s="92">
        <f t="shared" si="27"/>
        <v>2685</v>
      </c>
      <c r="AA13" s="92">
        <f t="shared" si="27"/>
        <v>2603</v>
      </c>
      <c r="AB13" s="92">
        <f t="shared" si="27"/>
        <v>2536</v>
      </c>
      <c r="AC13" s="167">
        <f t="shared" si="27"/>
        <v>9282</v>
      </c>
      <c r="AD13" s="93">
        <f t="shared" si="27"/>
        <v>14751</v>
      </c>
      <c r="AE13" s="153">
        <f t="shared" si="12"/>
        <v>10608</v>
      </c>
    </row>
    <row r="14" spans="1:31">
      <c r="A14" s="162"/>
      <c r="B14" s="154"/>
      <c r="C14" s="154"/>
      <c r="D14" s="266"/>
      <c r="E14" s="266"/>
      <c r="F14" s="266"/>
      <c r="G14" s="266"/>
      <c r="H14" s="266"/>
      <c r="I14" s="266"/>
      <c r="J14" s="266"/>
      <c r="K14" s="266"/>
      <c r="L14" s="266"/>
      <c r="M14" s="168"/>
      <c r="N14" s="173"/>
      <c r="O14" s="1312"/>
      <c r="S14" s="95"/>
    </row>
    <row r="15" spans="1:31" ht="15.75">
      <c r="A15" s="260" t="s">
        <v>43</v>
      </c>
      <c r="B15" s="268" t="s">
        <v>253</v>
      </c>
      <c r="C15" s="269"/>
      <c r="D15" s="269"/>
      <c r="E15" s="270"/>
      <c r="F15" s="270"/>
      <c r="G15" s="270"/>
      <c r="H15" s="271"/>
      <c r="I15" s="271"/>
      <c r="J15" s="271"/>
      <c r="K15" s="271"/>
      <c r="L15" s="271"/>
      <c r="M15" s="177"/>
      <c r="N15" s="178"/>
      <c r="O15" s="1314"/>
      <c r="S15" s="95"/>
    </row>
    <row r="16" spans="1:31">
      <c r="A16" s="160">
        <v>1</v>
      </c>
      <c r="B16" s="154" t="s">
        <v>19</v>
      </c>
      <c r="C16" s="155"/>
      <c r="D16" s="155"/>
      <c r="E16" s="272">
        <v>0.95</v>
      </c>
      <c r="F16" s="272">
        <f>E16</f>
        <v>0.95</v>
      </c>
      <c r="G16" s="272">
        <f t="shared" ref="G16:J16" si="28">F16</f>
        <v>0.95</v>
      </c>
      <c r="H16" s="272">
        <f t="shared" si="28"/>
        <v>0.95</v>
      </c>
      <c r="I16" s="272">
        <f t="shared" si="28"/>
        <v>0.95</v>
      </c>
      <c r="J16" s="272">
        <f t="shared" si="28"/>
        <v>0.95</v>
      </c>
      <c r="K16" s="272">
        <f t="shared" ref="K16:K18" si="29">J16</f>
        <v>0.95</v>
      </c>
      <c r="L16" s="272">
        <f t="shared" ref="L16:L18" si="30">K16</f>
        <v>0.95</v>
      </c>
      <c r="M16" s="169"/>
      <c r="N16" s="174"/>
      <c r="O16" s="1315"/>
      <c r="S16" s="95"/>
    </row>
    <row r="17" spans="1:29" ht="13.5">
      <c r="A17" s="160">
        <v>2</v>
      </c>
      <c r="B17" s="154" t="s">
        <v>245</v>
      </c>
      <c r="C17" s="155"/>
      <c r="D17" s="155"/>
      <c r="E17" s="272">
        <v>0.35</v>
      </c>
      <c r="F17" s="272">
        <f>E17</f>
        <v>0.35</v>
      </c>
      <c r="G17" s="272">
        <f t="shared" ref="G17:J17" si="31">F17</f>
        <v>0.35</v>
      </c>
      <c r="H17" s="272">
        <f t="shared" si="31"/>
        <v>0.35</v>
      </c>
      <c r="I17" s="272">
        <f t="shared" si="31"/>
        <v>0.35</v>
      </c>
      <c r="J17" s="272">
        <f t="shared" si="31"/>
        <v>0.35</v>
      </c>
      <c r="K17" s="272">
        <f t="shared" si="29"/>
        <v>0.35</v>
      </c>
      <c r="L17" s="272">
        <f t="shared" si="30"/>
        <v>0.35</v>
      </c>
      <c r="M17" s="169"/>
      <c r="N17" s="795"/>
      <c r="O17" s="1312"/>
      <c r="S17" s="95"/>
      <c r="T17" s="1626" t="s">
        <v>2145</v>
      </c>
      <c r="U17" s="1626">
        <v>2014</v>
      </c>
      <c r="V17" s="1626">
        <v>2015</v>
      </c>
      <c r="W17" s="1626">
        <v>2016</v>
      </c>
      <c r="X17" s="1626">
        <v>2017</v>
      </c>
      <c r="Y17" s="1626">
        <v>2018</v>
      </c>
      <c r="Z17" s="1626">
        <v>2019</v>
      </c>
      <c r="AA17" s="1627">
        <v>2020</v>
      </c>
      <c r="AB17" s="1627">
        <v>2021</v>
      </c>
      <c r="AC17" s="1627">
        <v>2022</v>
      </c>
    </row>
    <row r="18" spans="1:29">
      <c r="A18" s="160">
        <v>3</v>
      </c>
      <c r="B18" s="154" t="s">
        <v>20</v>
      </c>
      <c r="C18" s="155"/>
      <c r="D18" s="155"/>
      <c r="E18" s="272">
        <v>0.12</v>
      </c>
      <c r="F18" s="272">
        <f>E18</f>
        <v>0.12</v>
      </c>
      <c r="G18" s="272">
        <f t="shared" ref="G18:J18" si="32">F18</f>
        <v>0.12</v>
      </c>
      <c r="H18" s="272">
        <f t="shared" si="32"/>
        <v>0.12</v>
      </c>
      <c r="I18" s="272">
        <f t="shared" si="32"/>
        <v>0.12</v>
      </c>
      <c r="J18" s="272">
        <f t="shared" si="32"/>
        <v>0.12</v>
      </c>
      <c r="K18" s="272">
        <f t="shared" si="29"/>
        <v>0.12</v>
      </c>
      <c r="L18" s="272">
        <f t="shared" si="30"/>
        <v>0.12</v>
      </c>
      <c r="M18" s="169"/>
      <c r="N18" s="795"/>
      <c r="O18" s="1312"/>
      <c r="S18" s="95"/>
      <c r="T18" s="1628" t="s">
        <v>2146</v>
      </c>
      <c r="U18" s="1627">
        <v>1142</v>
      </c>
      <c r="V18" s="1627">
        <v>890</v>
      </c>
      <c r="W18" s="1629">
        <f t="shared" ref="W18:W26" si="33">V5</f>
        <v>836</v>
      </c>
      <c r="X18" s="1629">
        <f t="shared" ref="X18:AC18" si="34">W5</f>
        <v>760</v>
      </c>
      <c r="Y18" s="1629">
        <f t="shared" si="34"/>
        <v>725</v>
      </c>
      <c r="Z18" s="1629">
        <f t="shared" si="34"/>
        <v>681</v>
      </c>
      <c r="AA18" s="1629">
        <f t="shared" si="34"/>
        <v>629</v>
      </c>
      <c r="AB18" s="1629">
        <f t="shared" si="34"/>
        <v>609</v>
      </c>
      <c r="AC18" s="1629">
        <f t="shared" si="34"/>
        <v>594</v>
      </c>
    </row>
    <row r="19" spans="1:29">
      <c r="A19" s="162">
        <v>4</v>
      </c>
      <c r="B19" s="163" t="s">
        <v>16</v>
      </c>
      <c r="C19" s="265"/>
      <c r="D19" s="273"/>
      <c r="E19" s="274">
        <f>E30/E8</f>
        <v>0.49962623951182306</v>
      </c>
      <c r="F19" s="274">
        <f t="shared" ref="F19:L19" si="35">F30/F8</f>
        <v>0.50105070993914802</v>
      </c>
      <c r="G19" s="274">
        <f t="shared" si="35"/>
        <v>0.49937417364477743</v>
      </c>
      <c r="H19" s="274">
        <f t="shared" si="35"/>
        <v>0.50055658627087185</v>
      </c>
      <c r="I19" s="274">
        <f t="shared" si="35"/>
        <v>0.49668438859352337</v>
      </c>
      <c r="J19" s="274">
        <f t="shared" si="35"/>
        <v>0.48860721442885763</v>
      </c>
      <c r="K19" s="274">
        <f t="shared" si="35"/>
        <v>0.48832041343669241</v>
      </c>
      <c r="L19" s="274">
        <f t="shared" si="35"/>
        <v>0.48855702917771882</v>
      </c>
      <c r="M19" s="170"/>
      <c r="N19" s="796"/>
      <c r="O19" s="1312"/>
      <c r="S19" s="95"/>
      <c r="T19" s="1628" t="s">
        <v>2147</v>
      </c>
      <c r="U19" s="1629">
        <v>1004</v>
      </c>
      <c r="V19" s="1629">
        <v>1116</v>
      </c>
      <c r="W19" s="1629">
        <f t="shared" si="33"/>
        <v>1067</v>
      </c>
      <c r="X19" s="1629">
        <f t="shared" ref="X19:AC19" si="36">W6</f>
        <v>1000</v>
      </c>
      <c r="Y19" s="1629">
        <f t="shared" si="36"/>
        <v>951</v>
      </c>
      <c r="Z19" s="1629">
        <f t="shared" si="36"/>
        <v>931</v>
      </c>
      <c r="AA19" s="1629">
        <f t="shared" si="36"/>
        <v>929</v>
      </c>
      <c r="AB19" s="1629">
        <f t="shared" si="36"/>
        <v>901</v>
      </c>
      <c r="AC19" s="1629">
        <f t="shared" si="36"/>
        <v>877</v>
      </c>
    </row>
    <row r="20" spans="1:29">
      <c r="A20" s="160">
        <v>5</v>
      </c>
      <c r="B20" s="154" t="s">
        <v>244</v>
      </c>
      <c r="C20" s="155"/>
      <c r="D20" s="155"/>
      <c r="E20" s="272">
        <f>E16</f>
        <v>0.95</v>
      </c>
      <c r="F20" s="272">
        <f>E20</f>
        <v>0.95</v>
      </c>
      <c r="G20" s="272">
        <f t="shared" ref="G20:J20" si="37">F20</f>
        <v>0.95</v>
      </c>
      <c r="H20" s="272">
        <f t="shared" si="37"/>
        <v>0.95</v>
      </c>
      <c r="I20" s="272">
        <f t="shared" si="37"/>
        <v>0.95</v>
      </c>
      <c r="J20" s="272">
        <f t="shared" si="37"/>
        <v>0.95</v>
      </c>
      <c r="K20" s="272">
        <f t="shared" ref="K20:K22" si="38">J20</f>
        <v>0.95</v>
      </c>
      <c r="L20" s="272">
        <f t="shared" ref="L20:L22" si="39">K20</f>
        <v>0.95</v>
      </c>
      <c r="M20" s="169"/>
      <c r="N20" s="174"/>
      <c r="O20" s="1315"/>
      <c r="S20" s="95"/>
      <c r="T20" s="1628" t="s">
        <v>2148</v>
      </c>
      <c r="U20" s="1627">
        <v>661</v>
      </c>
      <c r="V20" s="1627">
        <v>616</v>
      </c>
      <c r="W20" s="1629">
        <f t="shared" si="33"/>
        <v>562</v>
      </c>
      <c r="X20" s="1629">
        <f t="shared" ref="X20:AC20" si="40">W7</f>
        <v>509</v>
      </c>
      <c r="Y20" s="1629">
        <f t="shared" si="40"/>
        <v>480</v>
      </c>
      <c r="Z20" s="1629">
        <f t="shared" si="40"/>
        <v>457</v>
      </c>
      <c r="AA20" s="1629">
        <f t="shared" si="40"/>
        <v>438</v>
      </c>
      <c r="AB20" s="1629">
        <f t="shared" si="40"/>
        <v>425</v>
      </c>
      <c r="AC20" s="1629">
        <f t="shared" si="40"/>
        <v>414</v>
      </c>
    </row>
    <row r="21" spans="1:29">
      <c r="A21" s="160">
        <v>6</v>
      </c>
      <c r="B21" s="154" t="s">
        <v>246</v>
      </c>
      <c r="C21" s="155"/>
      <c r="D21" s="155"/>
      <c r="E21" s="272">
        <f t="shared" ref="E21:E22" si="41">E17</f>
        <v>0.35</v>
      </c>
      <c r="F21" s="272">
        <f>E21</f>
        <v>0.35</v>
      </c>
      <c r="G21" s="272">
        <f t="shared" ref="G21:J21" si="42">F21</f>
        <v>0.35</v>
      </c>
      <c r="H21" s="272">
        <f t="shared" si="42"/>
        <v>0.35</v>
      </c>
      <c r="I21" s="272">
        <f t="shared" si="42"/>
        <v>0.35</v>
      </c>
      <c r="J21" s="272">
        <f t="shared" si="42"/>
        <v>0.35</v>
      </c>
      <c r="K21" s="272">
        <f t="shared" si="38"/>
        <v>0.35</v>
      </c>
      <c r="L21" s="272">
        <f t="shared" si="39"/>
        <v>0.35</v>
      </c>
      <c r="M21" s="169"/>
      <c r="N21" s="174"/>
      <c r="O21" s="1315"/>
      <c r="S21" s="95"/>
      <c r="T21" s="1628" t="s">
        <v>2149</v>
      </c>
      <c r="U21" s="1629">
        <v>2807</v>
      </c>
      <c r="V21" s="1629">
        <v>2622</v>
      </c>
      <c r="W21" s="1629">
        <f t="shared" si="33"/>
        <v>2465</v>
      </c>
      <c r="X21" s="1629">
        <f t="shared" ref="X21:AC21" si="43">W8</f>
        <v>2269</v>
      </c>
      <c r="Y21" s="1629">
        <f t="shared" si="43"/>
        <v>2156</v>
      </c>
      <c r="Z21" s="1629">
        <f t="shared" si="43"/>
        <v>2069</v>
      </c>
      <c r="AA21" s="1629">
        <f t="shared" si="43"/>
        <v>1996</v>
      </c>
      <c r="AB21" s="1629">
        <f t="shared" si="43"/>
        <v>1935</v>
      </c>
      <c r="AC21" s="1629">
        <f t="shared" si="43"/>
        <v>1885</v>
      </c>
    </row>
    <row r="22" spans="1:29">
      <c r="A22" s="160">
        <v>7</v>
      </c>
      <c r="B22" s="154" t="s">
        <v>247</v>
      </c>
      <c r="C22" s="155"/>
      <c r="D22" s="155"/>
      <c r="E22" s="272">
        <f t="shared" si="41"/>
        <v>0.12</v>
      </c>
      <c r="F22" s="272">
        <f>E22</f>
        <v>0.12</v>
      </c>
      <c r="G22" s="272">
        <f t="shared" ref="G22:J22" si="44">F22</f>
        <v>0.12</v>
      </c>
      <c r="H22" s="272">
        <f t="shared" si="44"/>
        <v>0.12</v>
      </c>
      <c r="I22" s="272">
        <f t="shared" si="44"/>
        <v>0.12</v>
      </c>
      <c r="J22" s="272">
        <f t="shared" si="44"/>
        <v>0.12</v>
      </c>
      <c r="K22" s="272">
        <f t="shared" si="38"/>
        <v>0.12</v>
      </c>
      <c r="L22" s="272">
        <f t="shared" si="39"/>
        <v>0.12</v>
      </c>
      <c r="M22" s="169"/>
      <c r="N22" s="174"/>
      <c r="O22" s="1315"/>
      <c r="S22" s="95"/>
      <c r="T22" s="1628" t="s">
        <v>2150</v>
      </c>
      <c r="U22" s="1627">
        <v>474</v>
      </c>
      <c r="V22" s="1627">
        <v>408</v>
      </c>
      <c r="W22" s="1629">
        <f t="shared" si="33"/>
        <v>365</v>
      </c>
      <c r="X22" s="1629">
        <f t="shared" ref="X22:AC22" si="45">W9</f>
        <v>325</v>
      </c>
      <c r="Y22" s="1629">
        <f t="shared" si="45"/>
        <v>311</v>
      </c>
      <c r="Z22" s="1629">
        <f t="shared" si="45"/>
        <v>301</v>
      </c>
      <c r="AA22" s="1629">
        <f t="shared" si="45"/>
        <v>292</v>
      </c>
      <c r="AB22" s="1629">
        <f t="shared" si="45"/>
        <v>284</v>
      </c>
      <c r="AC22" s="1629">
        <f t="shared" si="45"/>
        <v>279</v>
      </c>
    </row>
    <row r="23" spans="1:29">
      <c r="A23" s="162">
        <v>8</v>
      </c>
      <c r="B23" s="163" t="s">
        <v>17</v>
      </c>
      <c r="C23" s="265"/>
      <c r="D23" s="265"/>
      <c r="E23" s="274">
        <f>E34/E12</f>
        <v>0.5796157735085945</v>
      </c>
      <c r="F23" s="274">
        <f t="shared" ref="F23:L23" si="46">F34/F12</f>
        <v>0.58720876585928483</v>
      </c>
      <c r="G23" s="274">
        <f t="shared" si="46"/>
        <v>0.58584615384615379</v>
      </c>
      <c r="H23" s="274">
        <f t="shared" si="46"/>
        <v>0.58657718120805358</v>
      </c>
      <c r="I23" s="274">
        <f t="shared" si="46"/>
        <v>0.58972027972027974</v>
      </c>
      <c r="J23" s="274">
        <f t="shared" si="46"/>
        <v>0.59259796806966614</v>
      </c>
      <c r="K23" s="274">
        <f t="shared" si="46"/>
        <v>0.59441616766467076</v>
      </c>
      <c r="L23" s="274">
        <f t="shared" si="46"/>
        <v>0.59760368663594476</v>
      </c>
      <c r="M23" s="170"/>
      <c r="N23" s="176"/>
      <c r="O23" s="1312"/>
      <c r="S23" s="95"/>
      <c r="T23" s="1628" t="s">
        <v>2151</v>
      </c>
      <c r="U23" s="1627">
        <v>474</v>
      </c>
      <c r="V23" s="1627">
        <v>504</v>
      </c>
      <c r="W23" s="1629">
        <f t="shared" si="33"/>
        <v>444</v>
      </c>
      <c r="X23" s="1629">
        <f t="shared" ref="X23:AC23" si="47">W10</f>
        <v>407</v>
      </c>
      <c r="Y23" s="1629">
        <f t="shared" si="47"/>
        <v>389</v>
      </c>
      <c r="Z23" s="1629">
        <f t="shared" si="47"/>
        <v>374</v>
      </c>
      <c r="AA23" s="1629">
        <f t="shared" si="47"/>
        <v>362</v>
      </c>
      <c r="AB23" s="1629">
        <f t="shared" si="47"/>
        <v>353</v>
      </c>
      <c r="AC23" s="1629">
        <f t="shared" si="47"/>
        <v>345</v>
      </c>
    </row>
    <row r="24" spans="1:29">
      <c r="A24" s="162">
        <v>9</v>
      </c>
      <c r="B24" s="163" t="s">
        <v>248</v>
      </c>
      <c r="C24" s="265"/>
      <c r="D24" s="265"/>
      <c r="E24" s="274">
        <f>E35/E13</f>
        <v>0.52153420105234005</v>
      </c>
      <c r="F24" s="274">
        <f t="shared" ref="F24:L24" si="48">F35/F13</f>
        <v>0.52346938775510199</v>
      </c>
      <c r="G24" s="274">
        <f t="shared" si="48"/>
        <v>0.52149557231879307</v>
      </c>
      <c r="H24" s="274">
        <f t="shared" si="48"/>
        <v>0.52264736297828329</v>
      </c>
      <c r="I24" s="274">
        <f t="shared" si="48"/>
        <v>0.52057830459770116</v>
      </c>
      <c r="J24" s="274">
        <f t="shared" si="48"/>
        <v>0.51529236499068898</v>
      </c>
      <c r="K24" s="274">
        <f t="shared" si="48"/>
        <v>0.51554744525547436</v>
      </c>
      <c r="L24" s="274">
        <f t="shared" si="48"/>
        <v>0.51654968454258676</v>
      </c>
      <c r="M24" s="170"/>
      <c r="N24" s="176"/>
      <c r="O24" s="1312"/>
      <c r="S24" s="95"/>
      <c r="T24" s="1628" t="s">
        <v>2152</v>
      </c>
      <c r="U24" s="1627">
        <v>95</v>
      </c>
      <c r="V24" s="1627">
        <v>77</v>
      </c>
      <c r="W24" s="1629">
        <f t="shared" si="33"/>
        <v>58</v>
      </c>
      <c r="X24" s="1629">
        <f t="shared" ref="X24:AC24" si="49">W11</f>
        <v>48</v>
      </c>
      <c r="Y24" s="1629">
        <f t="shared" si="49"/>
        <v>45</v>
      </c>
      <c r="Z24" s="1629">
        <f t="shared" si="49"/>
        <v>40</v>
      </c>
      <c r="AA24" s="1629">
        <f t="shared" si="49"/>
        <v>35</v>
      </c>
      <c r="AB24" s="1629">
        <f t="shared" si="49"/>
        <v>31</v>
      </c>
      <c r="AC24" s="1629">
        <f t="shared" si="49"/>
        <v>27</v>
      </c>
    </row>
    <row r="25" spans="1:29">
      <c r="A25" s="162"/>
      <c r="B25" s="154"/>
      <c r="C25" s="154"/>
      <c r="D25" s="266"/>
      <c r="E25" s="266"/>
      <c r="F25" s="266"/>
      <c r="G25" s="266"/>
      <c r="H25" s="267"/>
      <c r="I25" s="267"/>
      <c r="J25" s="267"/>
      <c r="K25" s="267"/>
      <c r="L25" s="267"/>
      <c r="M25" s="168"/>
      <c r="N25" s="173"/>
      <c r="O25" s="1312"/>
      <c r="S25" s="95"/>
      <c r="T25" s="1628" t="s">
        <v>2153</v>
      </c>
      <c r="U25" s="1627">
        <v>1043</v>
      </c>
      <c r="V25" s="1627">
        <v>989</v>
      </c>
      <c r="W25" s="1629">
        <f t="shared" si="33"/>
        <v>867</v>
      </c>
      <c r="X25" s="1629">
        <f t="shared" ref="X25:AC25" si="50">W12</f>
        <v>780</v>
      </c>
      <c r="Y25" s="1629">
        <f t="shared" si="50"/>
        <v>745</v>
      </c>
      <c r="Z25" s="1629">
        <f t="shared" si="50"/>
        <v>715</v>
      </c>
      <c r="AA25" s="1629">
        <f t="shared" si="50"/>
        <v>689</v>
      </c>
      <c r="AB25" s="1629">
        <f t="shared" si="50"/>
        <v>668</v>
      </c>
      <c r="AC25" s="1629">
        <f t="shared" si="50"/>
        <v>651</v>
      </c>
    </row>
    <row r="26" spans="1:29" ht="15.75">
      <c r="A26" s="260" t="s">
        <v>45</v>
      </c>
      <c r="B26" s="268" t="s">
        <v>252</v>
      </c>
      <c r="C26" s="269"/>
      <c r="D26" s="269"/>
      <c r="E26" s="270"/>
      <c r="F26" s="270"/>
      <c r="G26" s="270"/>
      <c r="H26" s="271"/>
      <c r="I26" s="271"/>
      <c r="J26" s="271"/>
      <c r="K26" s="271"/>
      <c r="L26" s="271"/>
      <c r="M26" s="177"/>
      <c r="N26" s="178"/>
      <c r="O26" s="1314"/>
      <c r="S26" s="95"/>
      <c r="T26" s="1627" t="s">
        <v>2144</v>
      </c>
      <c r="U26" s="1629">
        <v>3850</v>
      </c>
      <c r="V26" s="1629">
        <v>3611</v>
      </c>
      <c r="W26" s="1629">
        <f t="shared" si="33"/>
        <v>3332</v>
      </c>
      <c r="X26" s="1629">
        <f t="shared" ref="X26:AC26" si="51">W13</f>
        <v>3049</v>
      </c>
      <c r="Y26" s="1629">
        <f t="shared" si="51"/>
        <v>2901</v>
      </c>
      <c r="Z26" s="1629">
        <f t="shared" si="51"/>
        <v>2784</v>
      </c>
      <c r="AA26" s="1629">
        <f t="shared" si="51"/>
        <v>2685</v>
      </c>
      <c r="AB26" s="1629">
        <f t="shared" si="51"/>
        <v>2603</v>
      </c>
      <c r="AC26" s="1629">
        <f t="shared" si="51"/>
        <v>2536</v>
      </c>
    </row>
    <row r="27" spans="1:29">
      <c r="A27" s="160">
        <v>1</v>
      </c>
      <c r="B27" s="154" t="s">
        <v>19</v>
      </c>
      <c r="C27" s="155"/>
      <c r="D27" s="155"/>
      <c r="E27" s="156">
        <f>E5*E16</f>
        <v>845.5</v>
      </c>
      <c r="F27" s="156">
        <f t="shared" ref="F27:L27" si="52">F5*F16</f>
        <v>794.19999999999993</v>
      </c>
      <c r="G27" s="156">
        <f t="shared" si="52"/>
        <v>722</v>
      </c>
      <c r="H27" s="156">
        <f t="shared" si="52"/>
        <v>688.75</v>
      </c>
      <c r="I27" s="156">
        <f t="shared" si="52"/>
        <v>646.94999999999993</v>
      </c>
      <c r="J27" s="156">
        <f t="shared" si="52"/>
        <v>597.54999999999995</v>
      </c>
      <c r="K27" s="156">
        <f t="shared" si="52"/>
        <v>578.54999999999995</v>
      </c>
      <c r="L27" s="156">
        <f t="shared" si="52"/>
        <v>564.29999999999995</v>
      </c>
      <c r="M27" s="166">
        <f>SUM(F27:H27)</f>
        <v>2204.9499999999998</v>
      </c>
      <c r="N27" s="172">
        <f>SUM(F27:J27)</f>
        <v>3449.45</v>
      </c>
      <c r="O27" s="1316">
        <f>I27+J27+K27+L27</f>
        <v>2387.35</v>
      </c>
      <c r="S27" s="95"/>
      <c r="T27" s="1731"/>
      <c r="U27" s="1730"/>
      <c r="V27" s="1730"/>
      <c r="W27" s="1730"/>
      <c r="X27" s="1730"/>
      <c r="Y27" s="1732"/>
      <c r="Z27" s="1732"/>
      <c r="AA27" s="1732"/>
      <c r="AB27" s="1732"/>
      <c r="AC27" s="1732"/>
    </row>
    <row r="28" spans="1:29">
      <c r="A28" s="160">
        <v>2</v>
      </c>
      <c r="B28" s="154" t="s">
        <v>245</v>
      </c>
      <c r="C28" s="155"/>
      <c r="D28" s="155"/>
      <c r="E28" s="156">
        <f t="shared" ref="E28:L28" si="53">E6*E17</f>
        <v>390.59999999999997</v>
      </c>
      <c r="F28" s="156">
        <f t="shared" si="53"/>
        <v>373.45</v>
      </c>
      <c r="G28" s="156">
        <f t="shared" si="53"/>
        <v>350</v>
      </c>
      <c r="H28" s="156">
        <f t="shared" si="53"/>
        <v>332.84999999999997</v>
      </c>
      <c r="I28" s="156">
        <f t="shared" si="53"/>
        <v>325.84999999999997</v>
      </c>
      <c r="J28" s="156">
        <f t="shared" si="53"/>
        <v>325.14999999999998</v>
      </c>
      <c r="K28" s="156">
        <f t="shared" si="53"/>
        <v>315.34999999999997</v>
      </c>
      <c r="L28" s="156">
        <f t="shared" si="53"/>
        <v>306.95</v>
      </c>
      <c r="M28" s="166">
        <f t="shared" ref="M28:M33" si="54">SUM(F28:H28)</f>
        <v>1056.3</v>
      </c>
      <c r="N28" s="172">
        <f t="shared" ref="N28:N33" si="55">SUM(F28:J28)</f>
        <v>1707.2999999999997</v>
      </c>
      <c r="O28" s="1316">
        <f t="shared" ref="O28:O91" si="56">I28+J28+K28+L28</f>
        <v>1273.3</v>
      </c>
      <c r="S28" s="95"/>
      <c r="T28" s="1731"/>
      <c r="U28" s="1730"/>
      <c r="V28" s="1730"/>
      <c r="W28" s="1730"/>
      <c r="X28" s="1730"/>
      <c r="Y28" s="1732"/>
      <c r="Z28" s="1732"/>
      <c r="AA28" s="1732"/>
      <c r="AB28" s="1732"/>
      <c r="AC28" s="1732"/>
    </row>
    <row r="29" spans="1:29">
      <c r="A29" s="160">
        <v>3</v>
      </c>
      <c r="B29" s="154" t="s">
        <v>20</v>
      </c>
      <c r="C29" s="155"/>
      <c r="D29" s="155"/>
      <c r="E29" s="156">
        <f t="shared" ref="E29:L29" si="57">E7*E18</f>
        <v>73.92</v>
      </c>
      <c r="F29" s="156">
        <f t="shared" si="57"/>
        <v>67.44</v>
      </c>
      <c r="G29" s="156">
        <f t="shared" si="57"/>
        <v>61.08</v>
      </c>
      <c r="H29" s="156">
        <f t="shared" si="57"/>
        <v>57.599999999999994</v>
      </c>
      <c r="I29" s="156">
        <f t="shared" si="57"/>
        <v>54.839999999999996</v>
      </c>
      <c r="J29" s="156">
        <f t="shared" si="57"/>
        <v>52.559999999999995</v>
      </c>
      <c r="K29" s="156">
        <f t="shared" si="57"/>
        <v>51</v>
      </c>
      <c r="L29" s="156">
        <f t="shared" si="57"/>
        <v>49.68</v>
      </c>
      <c r="M29" s="166">
        <f t="shared" si="54"/>
        <v>186.11999999999998</v>
      </c>
      <c r="N29" s="172">
        <f t="shared" si="55"/>
        <v>293.52</v>
      </c>
      <c r="O29" s="1316">
        <f t="shared" si="56"/>
        <v>208.07999999999998</v>
      </c>
      <c r="S29" s="95"/>
      <c r="T29" s="1730"/>
      <c r="U29" s="1732"/>
      <c r="V29" s="1732"/>
      <c r="W29" s="1732"/>
      <c r="X29" s="1732"/>
      <c r="Y29" s="1732"/>
      <c r="Z29" s="1732"/>
      <c r="AA29" s="1732"/>
      <c r="AB29" s="1732"/>
      <c r="AC29" s="1732"/>
    </row>
    <row r="30" spans="1:29">
      <c r="A30" s="162">
        <v>4</v>
      </c>
      <c r="B30" s="163" t="s">
        <v>16</v>
      </c>
      <c r="C30" s="265"/>
      <c r="D30" s="265"/>
      <c r="E30" s="92">
        <f t="shared" ref="E30:L30" si="58">SUM(E27:E29)</f>
        <v>1310.02</v>
      </c>
      <c r="F30" s="92">
        <f t="shared" si="58"/>
        <v>1235.0899999999999</v>
      </c>
      <c r="G30" s="92">
        <f t="shared" si="58"/>
        <v>1133.08</v>
      </c>
      <c r="H30" s="92">
        <f t="shared" si="58"/>
        <v>1079.1999999999998</v>
      </c>
      <c r="I30" s="92">
        <f t="shared" si="58"/>
        <v>1027.6399999999999</v>
      </c>
      <c r="J30" s="92">
        <f t="shared" si="58"/>
        <v>975.25999999999988</v>
      </c>
      <c r="K30" s="92">
        <f t="shared" si="58"/>
        <v>944.89999999999986</v>
      </c>
      <c r="L30" s="92">
        <f t="shared" si="58"/>
        <v>920.93</v>
      </c>
      <c r="M30" s="167">
        <f t="shared" si="54"/>
        <v>3447.37</v>
      </c>
      <c r="N30" s="94">
        <f t="shared" si="55"/>
        <v>5450.27</v>
      </c>
      <c r="O30" s="1316">
        <f t="shared" si="56"/>
        <v>3868.7299999999991</v>
      </c>
      <c r="S30" s="95"/>
      <c r="V30" s="1357"/>
      <c r="W30" s="1358"/>
      <c r="X30" s="1358"/>
      <c r="Y30" s="1359"/>
      <c r="Z30" s="1359"/>
      <c r="AA30" s="1356"/>
    </row>
    <row r="31" spans="1:29">
      <c r="A31" s="160">
        <v>5</v>
      </c>
      <c r="B31" s="154" t="s">
        <v>244</v>
      </c>
      <c r="C31" s="155"/>
      <c r="D31" s="155"/>
      <c r="E31" s="156">
        <f>E9*E20</f>
        <v>387.59999999999997</v>
      </c>
      <c r="F31" s="156">
        <f t="shared" ref="F31:L31" si="59">F9*F20</f>
        <v>346.75</v>
      </c>
      <c r="G31" s="156">
        <f t="shared" si="59"/>
        <v>308.75</v>
      </c>
      <c r="H31" s="156">
        <f t="shared" si="59"/>
        <v>295.45</v>
      </c>
      <c r="I31" s="156">
        <f t="shared" si="59"/>
        <v>285.95</v>
      </c>
      <c r="J31" s="156">
        <f t="shared" si="59"/>
        <v>277.39999999999998</v>
      </c>
      <c r="K31" s="156">
        <f t="shared" si="59"/>
        <v>269.8</v>
      </c>
      <c r="L31" s="156">
        <f t="shared" si="59"/>
        <v>265.05</v>
      </c>
      <c r="M31" s="166">
        <f t="shared" si="54"/>
        <v>950.95</v>
      </c>
      <c r="N31" s="172">
        <f t="shared" si="55"/>
        <v>1514.3000000000002</v>
      </c>
      <c r="O31" s="1316">
        <f t="shared" si="56"/>
        <v>1098.1999999999998</v>
      </c>
      <c r="S31" s="95"/>
      <c r="V31" s="1359"/>
      <c r="W31" s="1358"/>
      <c r="X31" s="1358"/>
      <c r="Y31" s="1358"/>
      <c r="Z31" s="1358"/>
      <c r="AA31" s="1356"/>
    </row>
    <row r="32" spans="1:29">
      <c r="A32" s="160">
        <v>6</v>
      </c>
      <c r="B32" s="154" t="s">
        <v>246</v>
      </c>
      <c r="C32" s="155"/>
      <c r="D32" s="155"/>
      <c r="E32" s="156">
        <f t="shared" ref="E32:L32" si="60">E10*E21</f>
        <v>176.39999999999998</v>
      </c>
      <c r="F32" s="156">
        <f t="shared" si="60"/>
        <v>155.39999999999998</v>
      </c>
      <c r="G32" s="156">
        <f t="shared" si="60"/>
        <v>142.44999999999999</v>
      </c>
      <c r="H32" s="156">
        <f t="shared" si="60"/>
        <v>136.14999999999998</v>
      </c>
      <c r="I32" s="156">
        <f t="shared" si="60"/>
        <v>130.9</v>
      </c>
      <c r="J32" s="156">
        <f t="shared" si="60"/>
        <v>126.69999999999999</v>
      </c>
      <c r="K32" s="156">
        <f t="shared" si="60"/>
        <v>123.55</v>
      </c>
      <c r="L32" s="156">
        <f t="shared" si="60"/>
        <v>120.74999999999999</v>
      </c>
      <c r="M32" s="166">
        <f t="shared" si="54"/>
        <v>433.99999999999994</v>
      </c>
      <c r="N32" s="172">
        <f t="shared" si="55"/>
        <v>691.59999999999991</v>
      </c>
      <c r="O32" s="1316">
        <f t="shared" si="56"/>
        <v>501.90000000000003</v>
      </c>
      <c r="S32" s="95"/>
    </row>
    <row r="33" spans="1:26">
      <c r="A33" s="160">
        <v>7</v>
      </c>
      <c r="B33" s="154" t="s">
        <v>247</v>
      </c>
      <c r="C33" s="155"/>
      <c r="D33" s="155"/>
      <c r="E33" s="156">
        <f t="shared" ref="E33:L33" si="61">E11*E22</f>
        <v>9.24</v>
      </c>
      <c r="F33" s="156">
        <f t="shared" si="61"/>
        <v>6.96</v>
      </c>
      <c r="G33" s="156">
        <f t="shared" si="61"/>
        <v>5.76</v>
      </c>
      <c r="H33" s="156">
        <f t="shared" si="61"/>
        <v>5.3999999999999995</v>
      </c>
      <c r="I33" s="156">
        <f t="shared" si="61"/>
        <v>4.8</v>
      </c>
      <c r="J33" s="156">
        <f t="shared" si="61"/>
        <v>4.2</v>
      </c>
      <c r="K33" s="156">
        <f t="shared" si="61"/>
        <v>3.7199999999999998</v>
      </c>
      <c r="L33" s="156">
        <f t="shared" si="61"/>
        <v>3.2399999999999998</v>
      </c>
      <c r="M33" s="166">
        <f t="shared" si="54"/>
        <v>18.119999999999997</v>
      </c>
      <c r="N33" s="172">
        <f t="shared" si="55"/>
        <v>27.119999999999997</v>
      </c>
      <c r="O33" s="1316">
        <f t="shared" si="56"/>
        <v>15.959999999999999</v>
      </c>
      <c r="S33" s="95"/>
    </row>
    <row r="34" spans="1:26">
      <c r="A34" s="162">
        <v>8</v>
      </c>
      <c r="B34" s="163" t="s">
        <v>17</v>
      </c>
      <c r="C34" s="265"/>
      <c r="D34" s="265"/>
      <c r="E34" s="92">
        <f t="shared" ref="E34:L34" si="62">SUM(E31:E33)</f>
        <v>573.24</v>
      </c>
      <c r="F34" s="92">
        <f t="shared" si="62"/>
        <v>509.10999999999996</v>
      </c>
      <c r="G34" s="92">
        <f t="shared" si="62"/>
        <v>456.96</v>
      </c>
      <c r="H34" s="92">
        <f t="shared" si="62"/>
        <v>436.99999999999994</v>
      </c>
      <c r="I34" s="92">
        <f t="shared" si="62"/>
        <v>421.65000000000003</v>
      </c>
      <c r="J34" s="92">
        <f t="shared" si="62"/>
        <v>408.29999999999995</v>
      </c>
      <c r="K34" s="92">
        <f t="shared" si="62"/>
        <v>397.07000000000005</v>
      </c>
      <c r="L34" s="92">
        <f t="shared" si="62"/>
        <v>389.04</v>
      </c>
      <c r="M34" s="167">
        <f t="shared" ref="M34:N34" si="63">SUM(M31:M32)</f>
        <v>1384.95</v>
      </c>
      <c r="N34" s="93">
        <f t="shared" si="63"/>
        <v>2205.9</v>
      </c>
      <c r="O34" s="1316">
        <f t="shared" si="56"/>
        <v>1616.06</v>
      </c>
      <c r="S34" s="95"/>
      <c r="T34" s="135" t="s">
        <v>2160</v>
      </c>
    </row>
    <row r="35" spans="1:26">
      <c r="A35" s="162">
        <v>9</v>
      </c>
      <c r="B35" s="163" t="s">
        <v>248</v>
      </c>
      <c r="C35" s="265"/>
      <c r="D35" s="275"/>
      <c r="E35" s="92">
        <f t="shared" ref="E35" si="64">SUM(E30,E34)</f>
        <v>1883.26</v>
      </c>
      <c r="F35" s="92">
        <f t="shared" ref="F35" si="65">SUM(F30,F34)</f>
        <v>1744.1999999999998</v>
      </c>
      <c r="G35" s="92">
        <f t="shared" ref="G35" si="66">SUM(G30,G34)</f>
        <v>1590.04</v>
      </c>
      <c r="H35" s="92">
        <f t="shared" ref="H35" si="67">SUM(H30,H34)</f>
        <v>1516.1999999999998</v>
      </c>
      <c r="I35" s="92">
        <f t="shared" ref="I35" si="68">SUM(I30,I34)</f>
        <v>1449.29</v>
      </c>
      <c r="J35" s="92">
        <f t="shared" ref="J35:N35" si="69">SUM(J30,J34)</f>
        <v>1383.56</v>
      </c>
      <c r="K35" s="92">
        <f t="shared" si="69"/>
        <v>1341.9699999999998</v>
      </c>
      <c r="L35" s="92">
        <f t="shared" si="69"/>
        <v>1309.97</v>
      </c>
      <c r="M35" s="167">
        <f t="shared" si="69"/>
        <v>4832.32</v>
      </c>
      <c r="N35" s="93">
        <f t="shared" si="69"/>
        <v>7656.17</v>
      </c>
      <c r="O35" s="1316">
        <f t="shared" si="56"/>
        <v>5484.79</v>
      </c>
      <c r="S35" s="95"/>
    </row>
    <row r="36" spans="1:26" ht="13.5">
      <c r="A36" s="162"/>
      <c r="B36" s="154"/>
      <c r="C36" s="154"/>
      <c r="D36" s="266"/>
      <c r="E36" s="266"/>
      <c r="F36" s="266"/>
      <c r="G36" s="266"/>
      <c r="H36" s="267"/>
      <c r="I36" s="267"/>
      <c r="J36" s="267"/>
      <c r="K36" s="267"/>
      <c r="L36" s="267"/>
      <c r="M36" s="168"/>
      <c r="N36" s="173"/>
      <c r="O36" s="1316">
        <f t="shared" si="56"/>
        <v>0</v>
      </c>
      <c r="S36" s="95"/>
      <c r="T36" s="1626" t="s">
        <v>1383</v>
      </c>
      <c r="U36" s="1626">
        <v>2012</v>
      </c>
      <c r="V36" s="1626">
        <v>2013</v>
      </c>
      <c r="W36" s="1626">
        <v>2014</v>
      </c>
      <c r="X36" s="1626">
        <v>2015</v>
      </c>
      <c r="Y36" s="1626">
        <v>2016</v>
      </c>
    </row>
    <row r="37" spans="1:26" ht="15.75">
      <c r="A37" s="260" t="s">
        <v>47</v>
      </c>
      <c r="B37" s="268" t="s">
        <v>256</v>
      </c>
      <c r="C37" s="269"/>
      <c r="D37" s="269"/>
      <c r="E37" s="270"/>
      <c r="F37" s="270"/>
      <c r="G37" s="270"/>
      <c r="H37" s="271"/>
      <c r="I37" s="271"/>
      <c r="J37" s="271"/>
      <c r="K37" s="271"/>
      <c r="L37" s="271"/>
      <c r="M37" s="177"/>
      <c r="N37" s="178"/>
      <c r="O37" s="1316">
        <f t="shared" si="56"/>
        <v>0</v>
      </c>
      <c r="S37" s="95"/>
      <c r="T37" s="1626" t="s">
        <v>2154</v>
      </c>
      <c r="U37" s="1630">
        <v>3942</v>
      </c>
      <c r="V37" s="1626">
        <v>3434</v>
      </c>
      <c r="W37" s="1626">
        <v>3200</v>
      </c>
      <c r="X37" s="1626">
        <v>3152</v>
      </c>
      <c r="Y37" s="1626">
        <v>2983</v>
      </c>
      <c r="Z37" s="95"/>
    </row>
    <row r="38" spans="1:26" ht="27">
      <c r="A38" s="160">
        <v>1</v>
      </c>
      <c r="B38" s="154" t="s">
        <v>19</v>
      </c>
      <c r="C38" s="155"/>
      <c r="D38" s="155"/>
      <c r="E38" s="272">
        <v>0.9</v>
      </c>
      <c r="F38" s="272">
        <f>E38</f>
        <v>0.9</v>
      </c>
      <c r="G38" s="272">
        <f t="shared" ref="G38:J38" si="70">F38</f>
        <v>0.9</v>
      </c>
      <c r="H38" s="272">
        <f t="shared" si="70"/>
        <v>0.9</v>
      </c>
      <c r="I38" s="272">
        <f t="shared" si="70"/>
        <v>0.9</v>
      </c>
      <c r="J38" s="272">
        <f t="shared" si="70"/>
        <v>0.9</v>
      </c>
      <c r="K38" s="272">
        <f t="shared" ref="K38:K40" si="71">J38</f>
        <v>0.9</v>
      </c>
      <c r="L38" s="272">
        <f t="shared" ref="L38:L40" si="72">K38</f>
        <v>0.9</v>
      </c>
      <c r="M38" s="169"/>
      <c r="N38" s="174"/>
      <c r="O38" s="1316"/>
      <c r="S38" s="95"/>
      <c r="T38" s="1631" t="s">
        <v>2155</v>
      </c>
      <c r="U38" s="1626">
        <v>2318</v>
      </c>
      <c r="V38" s="1626">
        <v>2109</v>
      </c>
      <c r="W38" s="1626">
        <v>2103</v>
      </c>
      <c r="X38" s="1626">
        <v>2072</v>
      </c>
      <c r="Y38" s="1626">
        <v>1998</v>
      </c>
      <c r="Z38" s="95"/>
    </row>
    <row r="39" spans="1:26" ht="13.5">
      <c r="A39" s="160">
        <v>2</v>
      </c>
      <c r="B39" s="154" t="s">
        <v>245</v>
      </c>
      <c r="C39" s="155"/>
      <c r="D39" s="155"/>
      <c r="E39" s="272">
        <v>0.9</v>
      </c>
      <c r="F39" s="272">
        <f>E39</f>
        <v>0.9</v>
      </c>
      <c r="G39" s="272">
        <f t="shared" ref="G39:J39" si="73">F39</f>
        <v>0.9</v>
      </c>
      <c r="H39" s="272">
        <f t="shared" si="73"/>
        <v>0.9</v>
      </c>
      <c r="I39" s="272">
        <f t="shared" si="73"/>
        <v>0.9</v>
      </c>
      <c r="J39" s="272">
        <f t="shared" si="73"/>
        <v>0.9</v>
      </c>
      <c r="K39" s="272">
        <f t="shared" si="71"/>
        <v>0.9</v>
      </c>
      <c r="L39" s="272">
        <f t="shared" si="72"/>
        <v>0.9</v>
      </c>
      <c r="M39" s="169"/>
      <c r="O39" s="1316"/>
      <c r="S39" s="95"/>
      <c r="T39" s="1631" t="s">
        <v>2156</v>
      </c>
      <c r="U39" s="1626">
        <v>677</v>
      </c>
      <c r="V39" s="1626">
        <v>584</v>
      </c>
      <c r="W39" s="1626">
        <v>393</v>
      </c>
      <c r="X39" s="1626">
        <v>411</v>
      </c>
      <c r="Y39" s="1626">
        <v>373</v>
      </c>
    </row>
    <row r="40" spans="1:26" ht="40.5">
      <c r="A40" s="160">
        <v>3</v>
      </c>
      <c r="B40" s="154" t="s">
        <v>20</v>
      </c>
      <c r="C40" s="155"/>
      <c r="D40" s="155"/>
      <c r="E40" s="272">
        <v>0.9</v>
      </c>
      <c r="F40" s="272">
        <f>E40</f>
        <v>0.9</v>
      </c>
      <c r="G40" s="272">
        <f t="shared" ref="G40:J40" si="74">F40</f>
        <v>0.9</v>
      </c>
      <c r="H40" s="272">
        <f t="shared" si="74"/>
        <v>0.9</v>
      </c>
      <c r="I40" s="272">
        <f t="shared" si="74"/>
        <v>0.9</v>
      </c>
      <c r="J40" s="272">
        <f t="shared" si="74"/>
        <v>0.9</v>
      </c>
      <c r="K40" s="272">
        <f t="shared" si="71"/>
        <v>0.9</v>
      </c>
      <c r="L40" s="272">
        <f t="shared" si="72"/>
        <v>0.9</v>
      </c>
      <c r="M40" s="169"/>
      <c r="O40" s="1316"/>
      <c r="S40" s="95"/>
      <c r="T40" s="1631" t="s">
        <v>2157</v>
      </c>
      <c r="U40" s="1626">
        <v>947</v>
      </c>
      <c r="V40" s="1626">
        <v>741</v>
      </c>
      <c r="W40" s="1626">
        <v>704</v>
      </c>
      <c r="X40" s="1626">
        <v>669</v>
      </c>
      <c r="Y40" s="1626">
        <v>612</v>
      </c>
    </row>
    <row r="41" spans="1:26" ht="40.5">
      <c r="A41" s="162">
        <v>4</v>
      </c>
      <c r="B41" s="163" t="s">
        <v>16</v>
      </c>
      <c r="C41" s="265"/>
      <c r="D41" s="273"/>
      <c r="E41" s="274">
        <f>E52/E30</f>
        <v>0.9</v>
      </c>
      <c r="F41" s="274">
        <f t="shared" ref="F41:L41" si="75">F52/F30</f>
        <v>0.9</v>
      </c>
      <c r="G41" s="274">
        <f t="shared" si="75"/>
        <v>0.90000000000000013</v>
      </c>
      <c r="H41" s="274">
        <f t="shared" si="75"/>
        <v>0.90000000000000024</v>
      </c>
      <c r="I41" s="274">
        <f t="shared" si="75"/>
        <v>0.90000000000000013</v>
      </c>
      <c r="J41" s="274">
        <f t="shared" si="75"/>
        <v>0.9</v>
      </c>
      <c r="K41" s="274">
        <f t="shared" si="75"/>
        <v>0.90000000000000013</v>
      </c>
      <c r="L41" s="274">
        <f t="shared" si="75"/>
        <v>0.9</v>
      </c>
      <c r="M41" s="170"/>
      <c r="N41" s="174"/>
      <c r="O41" s="1316"/>
      <c r="S41" s="95"/>
      <c r="T41" s="1626" t="s">
        <v>2158</v>
      </c>
      <c r="U41" s="1626">
        <v>1032</v>
      </c>
      <c r="V41" s="1626">
        <v>885</v>
      </c>
      <c r="W41" s="1626">
        <v>650</v>
      </c>
      <c r="X41" s="1626">
        <v>459</v>
      </c>
      <c r="Y41" s="1626">
        <v>347</v>
      </c>
    </row>
    <row r="42" spans="1:26" ht="13.5">
      <c r="A42" s="160">
        <v>5</v>
      </c>
      <c r="B42" s="154" t="s">
        <v>244</v>
      </c>
      <c r="C42" s="155"/>
      <c r="D42" s="155"/>
      <c r="E42" s="272">
        <f>E38</f>
        <v>0.9</v>
      </c>
      <c r="F42" s="272">
        <f>E42</f>
        <v>0.9</v>
      </c>
      <c r="G42" s="272">
        <f t="shared" ref="G42:J42" si="76">F42</f>
        <v>0.9</v>
      </c>
      <c r="H42" s="272">
        <f t="shared" si="76"/>
        <v>0.9</v>
      </c>
      <c r="I42" s="272">
        <f t="shared" si="76"/>
        <v>0.9</v>
      </c>
      <c r="J42" s="272">
        <f t="shared" si="76"/>
        <v>0.9</v>
      </c>
      <c r="K42" s="272">
        <f t="shared" ref="K42:K44" si="77">J42</f>
        <v>0.9</v>
      </c>
      <c r="L42" s="272">
        <f t="shared" ref="L42:L44" si="78">K42</f>
        <v>0.9</v>
      </c>
      <c r="M42" s="169"/>
      <c r="N42" s="174"/>
      <c r="O42" s="1316"/>
      <c r="S42" s="95"/>
      <c r="T42" s="1626" t="s">
        <v>2159</v>
      </c>
      <c r="U42" s="1630">
        <v>4974</v>
      </c>
      <c r="V42" s="1630">
        <v>4319</v>
      </c>
      <c r="W42" s="1630">
        <v>3850</v>
      </c>
      <c r="X42" s="1630">
        <v>3611</v>
      </c>
      <c r="Y42" s="1630">
        <v>3330</v>
      </c>
    </row>
    <row r="43" spans="1:26">
      <c r="A43" s="160">
        <v>6</v>
      </c>
      <c r="B43" s="154" t="s">
        <v>246</v>
      </c>
      <c r="C43" s="155"/>
      <c r="D43" s="155"/>
      <c r="E43" s="272">
        <f t="shared" ref="E43:E44" si="79">E39</f>
        <v>0.9</v>
      </c>
      <c r="F43" s="272">
        <f>E43</f>
        <v>0.9</v>
      </c>
      <c r="G43" s="272">
        <f t="shared" ref="G43:J43" si="80">F43</f>
        <v>0.9</v>
      </c>
      <c r="H43" s="272">
        <f t="shared" si="80"/>
        <v>0.9</v>
      </c>
      <c r="I43" s="272">
        <f t="shared" si="80"/>
        <v>0.9</v>
      </c>
      <c r="J43" s="272">
        <f t="shared" si="80"/>
        <v>0.9</v>
      </c>
      <c r="K43" s="272">
        <f t="shared" si="77"/>
        <v>0.9</v>
      </c>
      <c r="L43" s="272">
        <f t="shared" si="78"/>
        <v>0.9</v>
      </c>
      <c r="M43" s="169"/>
      <c r="N43" s="174"/>
      <c r="O43" s="1316"/>
      <c r="S43" s="95"/>
    </row>
    <row r="44" spans="1:26">
      <c r="A44" s="160">
        <v>7</v>
      </c>
      <c r="B44" s="154" t="s">
        <v>247</v>
      </c>
      <c r="C44" s="155"/>
      <c r="D44" s="155"/>
      <c r="E44" s="272">
        <f t="shared" si="79"/>
        <v>0.9</v>
      </c>
      <c r="F44" s="272">
        <f>E44</f>
        <v>0.9</v>
      </c>
      <c r="G44" s="272">
        <f t="shared" ref="G44:J44" si="81">F44</f>
        <v>0.9</v>
      </c>
      <c r="H44" s="272">
        <f t="shared" si="81"/>
        <v>0.9</v>
      </c>
      <c r="I44" s="272">
        <f t="shared" si="81"/>
        <v>0.9</v>
      </c>
      <c r="J44" s="272">
        <f t="shared" si="81"/>
        <v>0.9</v>
      </c>
      <c r="K44" s="272">
        <f t="shared" si="77"/>
        <v>0.9</v>
      </c>
      <c r="L44" s="272">
        <f t="shared" si="78"/>
        <v>0.9</v>
      </c>
      <c r="M44" s="169"/>
      <c r="N44" s="174"/>
      <c r="O44" s="1316"/>
      <c r="S44" s="95"/>
    </row>
    <row r="45" spans="1:26">
      <c r="A45" s="162">
        <v>8</v>
      </c>
      <c r="B45" s="163" t="s">
        <v>17</v>
      </c>
      <c r="C45" s="265"/>
      <c r="D45" s="265"/>
      <c r="E45" s="274">
        <f>E56/E34</f>
        <v>0.89999999999999991</v>
      </c>
      <c r="F45" s="274">
        <f t="shared" ref="F45:L45" si="82">F56/F34</f>
        <v>0.9</v>
      </c>
      <c r="G45" s="274">
        <f t="shared" si="82"/>
        <v>0.9</v>
      </c>
      <c r="H45" s="274">
        <f t="shared" si="82"/>
        <v>0.9</v>
      </c>
      <c r="I45" s="274">
        <f t="shared" si="82"/>
        <v>0.89999999999999991</v>
      </c>
      <c r="J45" s="274">
        <f t="shared" si="82"/>
        <v>0.9</v>
      </c>
      <c r="K45" s="274">
        <f t="shared" si="82"/>
        <v>0.89999999999999991</v>
      </c>
      <c r="L45" s="274">
        <f t="shared" si="82"/>
        <v>0.9</v>
      </c>
      <c r="M45" s="170"/>
      <c r="N45" s="176"/>
      <c r="O45" s="1316"/>
      <c r="S45" s="95"/>
    </row>
    <row r="46" spans="1:26">
      <c r="A46" s="162">
        <v>9</v>
      </c>
      <c r="B46" s="163" t="s">
        <v>248</v>
      </c>
      <c r="C46" s="265"/>
      <c r="D46" s="265"/>
      <c r="E46" s="274">
        <f>E57/E35</f>
        <v>0.9</v>
      </c>
      <c r="F46" s="274">
        <f t="shared" ref="F46:L46" si="83">F57/F35</f>
        <v>0.89999999999999991</v>
      </c>
      <c r="G46" s="274">
        <f t="shared" si="83"/>
        <v>0.9</v>
      </c>
      <c r="H46" s="274">
        <f t="shared" si="83"/>
        <v>0.9</v>
      </c>
      <c r="I46" s="274">
        <f t="shared" si="83"/>
        <v>0.89999999999999991</v>
      </c>
      <c r="J46" s="274">
        <f t="shared" si="83"/>
        <v>0.9</v>
      </c>
      <c r="K46" s="274">
        <f t="shared" si="83"/>
        <v>0.9</v>
      </c>
      <c r="L46" s="274">
        <f t="shared" si="83"/>
        <v>0.89999999999999991</v>
      </c>
      <c r="M46" s="170"/>
      <c r="N46" s="176"/>
      <c r="O46" s="1316"/>
      <c r="S46" s="95"/>
    </row>
    <row r="47" spans="1:26">
      <c r="A47" s="162"/>
      <c r="B47" s="154"/>
      <c r="C47" s="154"/>
      <c r="D47" s="266"/>
      <c r="E47" s="266"/>
      <c r="F47" s="266"/>
      <c r="G47" s="266"/>
      <c r="H47" s="267"/>
      <c r="I47" s="267"/>
      <c r="J47" s="267"/>
      <c r="K47" s="267"/>
      <c r="L47" s="267"/>
      <c r="M47" s="168"/>
      <c r="N47" s="173"/>
      <c r="O47" s="1316"/>
      <c r="S47" s="95"/>
    </row>
    <row r="48" spans="1:26" ht="15.75">
      <c r="A48" s="260" t="s">
        <v>49</v>
      </c>
      <c r="B48" s="268" t="s">
        <v>255</v>
      </c>
      <c r="C48" s="269"/>
      <c r="D48" s="269"/>
      <c r="E48" s="270"/>
      <c r="F48" s="270"/>
      <c r="G48" s="270"/>
      <c r="H48" s="271"/>
      <c r="I48" s="271"/>
      <c r="J48" s="271"/>
      <c r="K48" s="271"/>
      <c r="L48" s="271"/>
      <c r="M48" s="177"/>
      <c r="N48" s="178"/>
      <c r="O48" s="1316"/>
      <c r="S48" s="95"/>
    </row>
    <row r="49" spans="1:19">
      <c r="A49" s="160">
        <v>1</v>
      </c>
      <c r="B49" s="154" t="s">
        <v>19</v>
      </c>
      <c r="C49" s="155"/>
      <c r="D49" s="155"/>
      <c r="E49" s="156">
        <f>E27*E38</f>
        <v>760.95</v>
      </c>
      <c r="F49" s="156">
        <f t="shared" ref="F49:L49" si="84">F27*F38</f>
        <v>714.78</v>
      </c>
      <c r="G49" s="156">
        <f t="shared" si="84"/>
        <v>649.80000000000007</v>
      </c>
      <c r="H49" s="156">
        <f t="shared" si="84"/>
        <v>619.875</v>
      </c>
      <c r="I49" s="156">
        <f t="shared" si="84"/>
        <v>582.255</v>
      </c>
      <c r="J49" s="156">
        <f t="shared" si="84"/>
        <v>537.79499999999996</v>
      </c>
      <c r="K49" s="156">
        <f t="shared" si="84"/>
        <v>520.69499999999994</v>
      </c>
      <c r="L49" s="156">
        <f t="shared" si="84"/>
        <v>507.86999999999995</v>
      </c>
      <c r="M49" s="166">
        <f>SUM(F49:H49)</f>
        <v>1984.4549999999999</v>
      </c>
      <c r="N49" s="172">
        <f>SUM(F49:J49)</f>
        <v>3104.5050000000001</v>
      </c>
      <c r="O49" s="1316">
        <f t="shared" si="56"/>
        <v>2148.6149999999998</v>
      </c>
      <c r="S49" s="95"/>
    </row>
    <row r="50" spans="1:19">
      <c r="A50" s="160">
        <v>2</v>
      </c>
      <c r="B50" s="154" t="s">
        <v>245</v>
      </c>
      <c r="C50" s="155"/>
      <c r="D50" s="155"/>
      <c r="E50" s="156">
        <f t="shared" ref="E50:L50" si="85">E28*E39</f>
        <v>351.53999999999996</v>
      </c>
      <c r="F50" s="156">
        <f t="shared" si="85"/>
        <v>336.10500000000002</v>
      </c>
      <c r="G50" s="156">
        <f t="shared" si="85"/>
        <v>315</v>
      </c>
      <c r="H50" s="156">
        <f t="shared" si="85"/>
        <v>299.565</v>
      </c>
      <c r="I50" s="156">
        <f t="shared" si="85"/>
        <v>293.26499999999999</v>
      </c>
      <c r="J50" s="156">
        <f t="shared" si="85"/>
        <v>292.63499999999999</v>
      </c>
      <c r="K50" s="156">
        <f t="shared" si="85"/>
        <v>283.815</v>
      </c>
      <c r="L50" s="156">
        <f t="shared" si="85"/>
        <v>276.255</v>
      </c>
      <c r="M50" s="166">
        <f t="shared" ref="M50:M55" si="86">SUM(F50:H50)</f>
        <v>950.67000000000007</v>
      </c>
      <c r="N50" s="172">
        <f t="shared" ref="N50:N55" si="87">SUM(F50:J50)</f>
        <v>1536.57</v>
      </c>
      <c r="O50" s="1316">
        <f t="shared" si="56"/>
        <v>1145.9699999999998</v>
      </c>
      <c r="S50" s="95"/>
    </row>
    <row r="51" spans="1:19">
      <c r="A51" s="160">
        <v>3</v>
      </c>
      <c r="B51" s="154" t="s">
        <v>20</v>
      </c>
      <c r="C51" s="155"/>
      <c r="D51" s="155"/>
      <c r="E51" s="156">
        <f t="shared" ref="E51:L51" si="88">E29*E40</f>
        <v>66.528000000000006</v>
      </c>
      <c r="F51" s="156">
        <f t="shared" si="88"/>
        <v>60.695999999999998</v>
      </c>
      <c r="G51" s="156">
        <f t="shared" si="88"/>
        <v>54.972000000000001</v>
      </c>
      <c r="H51" s="156">
        <f t="shared" si="88"/>
        <v>51.839999999999996</v>
      </c>
      <c r="I51" s="156">
        <f t="shared" si="88"/>
        <v>49.355999999999995</v>
      </c>
      <c r="J51" s="156">
        <f t="shared" si="88"/>
        <v>47.303999999999995</v>
      </c>
      <c r="K51" s="156">
        <f t="shared" si="88"/>
        <v>45.9</v>
      </c>
      <c r="L51" s="156">
        <f t="shared" si="88"/>
        <v>44.712000000000003</v>
      </c>
      <c r="M51" s="166">
        <f t="shared" si="86"/>
        <v>167.50800000000001</v>
      </c>
      <c r="N51" s="172">
        <f t="shared" si="87"/>
        <v>264.16800000000001</v>
      </c>
      <c r="O51" s="1316">
        <f t="shared" si="56"/>
        <v>187.27199999999999</v>
      </c>
      <c r="S51" s="95"/>
    </row>
    <row r="52" spans="1:19">
      <c r="A52" s="162">
        <v>4</v>
      </c>
      <c r="B52" s="163" t="s">
        <v>16</v>
      </c>
      <c r="C52" s="265"/>
      <c r="D52" s="265"/>
      <c r="E52" s="92">
        <f t="shared" ref="E52:L52" si="89">SUM(E49:E51)</f>
        <v>1179.018</v>
      </c>
      <c r="F52" s="92">
        <f t="shared" si="89"/>
        <v>1111.5809999999999</v>
      </c>
      <c r="G52" s="92">
        <f t="shared" si="89"/>
        <v>1019.772</v>
      </c>
      <c r="H52" s="92">
        <f t="shared" si="89"/>
        <v>971.28000000000009</v>
      </c>
      <c r="I52" s="92">
        <f t="shared" si="89"/>
        <v>924.87599999999998</v>
      </c>
      <c r="J52" s="92">
        <f t="shared" si="89"/>
        <v>877.73399999999992</v>
      </c>
      <c r="K52" s="92">
        <f t="shared" si="89"/>
        <v>850.41</v>
      </c>
      <c r="L52" s="92">
        <f t="shared" si="89"/>
        <v>828.83699999999999</v>
      </c>
      <c r="M52" s="167">
        <f t="shared" si="86"/>
        <v>3102.6330000000003</v>
      </c>
      <c r="N52" s="94">
        <f t="shared" si="87"/>
        <v>4905.2430000000004</v>
      </c>
      <c r="O52" s="1316">
        <f t="shared" si="56"/>
        <v>3481.857</v>
      </c>
      <c r="S52" s="95"/>
    </row>
    <row r="53" spans="1:19">
      <c r="A53" s="160">
        <v>5</v>
      </c>
      <c r="B53" s="154" t="s">
        <v>244</v>
      </c>
      <c r="C53" s="155"/>
      <c r="D53" s="155"/>
      <c r="E53" s="156">
        <f>E31*E42</f>
        <v>348.84</v>
      </c>
      <c r="F53" s="156">
        <f t="shared" ref="F53:L53" si="90">F31*F42</f>
        <v>312.07499999999999</v>
      </c>
      <c r="G53" s="156">
        <f t="shared" si="90"/>
        <v>277.875</v>
      </c>
      <c r="H53" s="156">
        <f t="shared" si="90"/>
        <v>265.90499999999997</v>
      </c>
      <c r="I53" s="156">
        <f t="shared" si="90"/>
        <v>257.35500000000002</v>
      </c>
      <c r="J53" s="156">
        <f t="shared" si="90"/>
        <v>249.66</v>
      </c>
      <c r="K53" s="156">
        <f t="shared" si="90"/>
        <v>242.82000000000002</v>
      </c>
      <c r="L53" s="156">
        <f t="shared" si="90"/>
        <v>238.54500000000002</v>
      </c>
      <c r="M53" s="166">
        <f t="shared" si="86"/>
        <v>855.85500000000002</v>
      </c>
      <c r="N53" s="172">
        <f t="shared" si="87"/>
        <v>1362.8700000000001</v>
      </c>
      <c r="O53" s="1316">
        <f t="shared" si="56"/>
        <v>988.38000000000011</v>
      </c>
      <c r="S53" s="95"/>
    </row>
    <row r="54" spans="1:19">
      <c r="A54" s="160">
        <v>6</v>
      </c>
      <c r="B54" s="154" t="s">
        <v>246</v>
      </c>
      <c r="C54" s="155"/>
      <c r="D54" s="155"/>
      <c r="E54" s="156">
        <f t="shared" ref="E54:L54" si="91">E32*E43</f>
        <v>158.76</v>
      </c>
      <c r="F54" s="156">
        <f t="shared" si="91"/>
        <v>139.85999999999999</v>
      </c>
      <c r="G54" s="156">
        <f t="shared" si="91"/>
        <v>128.20499999999998</v>
      </c>
      <c r="H54" s="156">
        <f t="shared" si="91"/>
        <v>122.53499999999998</v>
      </c>
      <c r="I54" s="156">
        <f t="shared" si="91"/>
        <v>117.81</v>
      </c>
      <c r="J54" s="156">
        <f t="shared" si="91"/>
        <v>114.02999999999999</v>
      </c>
      <c r="K54" s="156">
        <f t="shared" si="91"/>
        <v>111.19499999999999</v>
      </c>
      <c r="L54" s="156">
        <f t="shared" si="91"/>
        <v>108.67499999999998</v>
      </c>
      <c r="M54" s="166">
        <f t="shared" si="86"/>
        <v>390.59999999999991</v>
      </c>
      <c r="N54" s="172">
        <f t="shared" si="87"/>
        <v>622.43999999999994</v>
      </c>
      <c r="O54" s="1316">
        <f t="shared" si="56"/>
        <v>451.70999999999992</v>
      </c>
      <c r="S54" s="95"/>
    </row>
    <row r="55" spans="1:19">
      <c r="A55" s="160">
        <v>7</v>
      </c>
      <c r="B55" s="154" t="s">
        <v>247</v>
      </c>
      <c r="C55" s="155"/>
      <c r="D55" s="155"/>
      <c r="E55" s="156">
        <f t="shared" ref="E55:L55" si="92">E33*E44</f>
        <v>8.3160000000000007</v>
      </c>
      <c r="F55" s="156">
        <f t="shared" si="92"/>
        <v>6.2640000000000002</v>
      </c>
      <c r="G55" s="156">
        <f t="shared" si="92"/>
        <v>5.1840000000000002</v>
      </c>
      <c r="H55" s="156">
        <f t="shared" si="92"/>
        <v>4.8599999999999994</v>
      </c>
      <c r="I55" s="156">
        <f t="shared" si="92"/>
        <v>4.32</v>
      </c>
      <c r="J55" s="156">
        <f t="shared" si="92"/>
        <v>3.7800000000000002</v>
      </c>
      <c r="K55" s="156">
        <f t="shared" si="92"/>
        <v>3.3479999999999999</v>
      </c>
      <c r="L55" s="156">
        <f t="shared" si="92"/>
        <v>2.9159999999999999</v>
      </c>
      <c r="M55" s="166">
        <f t="shared" si="86"/>
        <v>16.308</v>
      </c>
      <c r="N55" s="172">
        <f t="shared" si="87"/>
        <v>24.408000000000001</v>
      </c>
      <c r="O55" s="1316">
        <f t="shared" si="56"/>
        <v>14.364000000000001</v>
      </c>
      <c r="S55" s="95"/>
    </row>
    <row r="56" spans="1:19">
      <c r="A56" s="162">
        <v>8</v>
      </c>
      <c r="B56" s="163" t="s">
        <v>17</v>
      </c>
      <c r="C56" s="265"/>
      <c r="D56" s="265"/>
      <c r="E56" s="92">
        <f t="shared" ref="E56:L56" si="93">SUM(E53:E55)</f>
        <v>515.91599999999994</v>
      </c>
      <c r="F56" s="92">
        <f t="shared" si="93"/>
        <v>458.19899999999996</v>
      </c>
      <c r="G56" s="92">
        <f t="shared" si="93"/>
        <v>411.26400000000001</v>
      </c>
      <c r="H56" s="92">
        <f t="shared" si="93"/>
        <v>393.29999999999995</v>
      </c>
      <c r="I56" s="92">
        <f t="shared" si="93"/>
        <v>379.48500000000001</v>
      </c>
      <c r="J56" s="92">
        <f t="shared" si="93"/>
        <v>367.46999999999997</v>
      </c>
      <c r="K56" s="92">
        <f t="shared" si="93"/>
        <v>357.363</v>
      </c>
      <c r="L56" s="92">
        <f t="shared" si="93"/>
        <v>350.13600000000002</v>
      </c>
      <c r="M56" s="167">
        <f t="shared" ref="M56:N56" si="94">SUM(M53:M54)</f>
        <v>1246.4549999999999</v>
      </c>
      <c r="N56" s="93">
        <f t="shared" si="94"/>
        <v>1985.31</v>
      </c>
      <c r="O56" s="1316">
        <f t="shared" si="56"/>
        <v>1454.454</v>
      </c>
      <c r="S56" s="95"/>
    </row>
    <row r="57" spans="1:19">
      <c r="A57" s="162">
        <v>9</v>
      </c>
      <c r="B57" s="163" t="s">
        <v>248</v>
      </c>
      <c r="C57" s="265"/>
      <c r="D57" s="265"/>
      <c r="E57" s="92">
        <f t="shared" ref="E57" si="95">SUM(E52,E56)</f>
        <v>1694.934</v>
      </c>
      <c r="F57" s="92">
        <f t="shared" ref="F57" si="96">SUM(F52,F56)</f>
        <v>1569.7799999999997</v>
      </c>
      <c r="G57" s="92">
        <f t="shared" ref="G57" si="97">SUM(G52,G56)</f>
        <v>1431.0360000000001</v>
      </c>
      <c r="H57" s="92">
        <f t="shared" ref="H57" si="98">SUM(H52,H56)</f>
        <v>1364.58</v>
      </c>
      <c r="I57" s="92">
        <f t="shared" ref="I57" si="99">SUM(I52,I56)</f>
        <v>1304.3609999999999</v>
      </c>
      <c r="J57" s="92">
        <f t="shared" ref="J57:N57" si="100">SUM(J52,J56)</f>
        <v>1245.204</v>
      </c>
      <c r="K57" s="92">
        <f t="shared" si="100"/>
        <v>1207.7729999999999</v>
      </c>
      <c r="L57" s="92">
        <f t="shared" si="100"/>
        <v>1178.973</v>
      </c>
      <c r="M57" s="167">
        <f t="shared" si="100"/>
        <v>4349.0879999999997</v>
      </c>
      <c r="N57" s="93">
        <f t="shared" si="100"/>
        <v>6890.5529999999999</v>
      </c>
      <c r="O57" s="1316">
        <f t="shared" si="56"/>
        <v>4936.3109999999997</v>
      </c>
      <c r="S57" s="95"/>
    </row>
    <row r="58" spans="1:19">
      <c r="A58" s="162"/>
      <c r="B58" s="154"/>
      <c r="C58" s="154"/>
      <c r="D58" s="266"/>
      <c r="E58" s="266"/>
      <c r="F58" s="266"/>
      <c r="G58" s="266"/>
      <c r="H58" s="267"/>
      <c r="I58" s="267"/>
      <c r="J58" s="267"/>
      <c r="K58" s="267"/>
      <c r="L58" s="267"/>
      <c r="M58" s="168"/>
      <c r="N58" s="173"/>
      <c r="O58" s="1316"/>
      <c r="S58" s="95"/>
    </row>
    <row r="59" spans="1:19" ht="15.75">
      <c r="A59" s="260" t="s">
        <v>50</v>
      </c>
      <c r="B59" s="268" t="s">
        <v>254</v>
      </c>
      <c r="C59" s="269"/>
      <c r="D59" s="269"/>
      <c r="E59" s="270"/>
      <c r="F59" s="270"/>
      <c r="G59" s="270"/>
      <c r="H59" s="271"/>
      <c r="I59" s="271"/>
      <c r="J59" s="271"/>
      <c r="K59" s="271"/>
      <c r="L59" s="271"/>
      <c r="M59" s="177"/>
      <c r="N59" s="178"/>
      <c r="O59" s="1316"/>
      <c r="S59" s="95"/>
    </row>
    <row r="60" spans="1:19">
      <c r="A60" s="160">
        <v>1</v>
      </c>
      <c r="B60" s="154" t="s">
        <v>19</v>
      </c>
      <c r="C60" s="155"/>
      <c r="D60" s="155"/>
      <c r="E60" s="272">
        <v>0.98</v>
      </c>
      <c r="F60" s="272">
        <f>E60</f>
        <v>0.98</v>
      </c>
      <c r="G60" s="272">
        <f t="shared" ref="G60:J60" si="101">F60</f>
        <v>0.98</v>
      </c>
      <c r="H60" s="272">
        <f t="shared" si="101"/>
        <v>0.98</v>
      </c>
      <c r="I60" s="272">
        <f t="shared" si="101"/>
        <v>0.98</v>
      </c>
      <c r="J60" s="272">
        <f t="shared" si="101"/>
        <v>0.98</v>
      </c>
      <c r="K60" s="272">
        <f t="shared" ref="K60:K62" si="102">J60</f>
        <v>0.98</v>
      </c>
      <c r="L60" s="272">
        <f t="shared" ref="L60:L62" si="103">K60</f>
        <v>0.98</v>
      </c>
      <c r="M60" s="169"/>
      <c r="O60" s="1316"/>
      <c r="S60" s="95"/>
    </row>
    <row r="61" spans="1:19">
      <c r="A61" s="160">
        <v>2</v>
      </c>
      <c r="B61" s="154" t="s">
        <v>245</v>
      </c>
      <c r="C61" s="155"/>
      <c r="D61" s="155"/>
      <c r="E61" s="272">
        <v>0.98</v>
      </c>
      <c r="F61" s="272">
        <f>E61</f>
        <v>0.98</v>
      </c>
      <c r="G61" s="272">
        <f t="shared" ref="G61:J61" si="104">F61</f>
        <v>0.98</v>
      </c>
      <c r="H61" s="272">
        <f t="shared" si="104"/>
        <v>0.98</v>
      </c>
      <c r="I61" s="272">
        <f t="shared" si="104"/>
        <v>0.98</v>
      </c>
      <c r="J61" s="272">
        <f t="shared" si="104"/>
        <v>0.98</v>
      </c>
      <c r="K61" s="272">
        <f t="shared" si="102"/>
        <v>0.98</v>
      </c>
      <c r="L61" s="272">
        <f t="shared" si="103"/>
        <v>0.98</v>
      </c>
      <c r="M61" s="169"/>
      <c r="O61" s="1316"/>
      <c r="P61" s="65" t="s">
        <v>1768</v>
      </c>
      <c r="S61" s="95"/>
    </row>
    <row r="62" spans="1:19">
      <c r="A62" s="160">
        <v>3</v>
      </c>
      <c r="B62" s="154" t="s">
        <v>20</v>
      </c>
      <c r="C62" s="155"/>
      <c r="D62" s="155"/>
      <c r="E62" s="272">
        <v>0.98</v>
      </c>
      <c r="F62" s="272">
        <f>E62</f>
        <v>0.98</v>
      </c>
      <c r="G62" s="272">
        <f t="shared" ref="G62:J62" si="105">F62</f>
        <v>0.98</v>
      </c>
      <c r="H62" s="272">
        <f t="shared" si="105"/>
        <v>0.98</v>
      </c>
      <c r="I62" s="272">
        <f t="shared" si="105"/>
        <v>0.98</v>
      </c>
      <c r="J62" s="272">
        <f t="shared" si="105"/>
        <v>0.98</v>
      </c>
      <c r="K62" s="272">
        <f t="shared" si="102"/>
        <v>0.98</v>
      </c>
      <c r="L62" s="272">
        <f t="shared" si="103"/>
        <v>0.98</v>
      </c>
      <c r="M62" s="169"/>
      <c r="N62" s="174"/>
      <c r="O62" s="1316"/>
      <c r="S62" s="95"/>
    </row>
    <row r="63" spans="1:19">
      <c r="A63" s="162">
        <v>4</v>
      </c>
      <c r="B63" s="163" t="s">
        <v>16</v>
      </c>
      <c r="C63" s="265"/>
      <c r="D63" s="265"/>
      <c r="E63" s="274">
        <f>E74/E52</f>
        <v>0.97999999999999987</v>
      </c>
      <c r="F63" s="274">
        <f t="shared" ref="F63:L63" si="106">F74/F52</f>
        <v>0.98</v>
      </c>
      <c r="G63" s="274">
        <f t="shared" si="106"/>
        <v>0.98000000000000009</v>
      </c>
      <c r="H63" s="274">
        <f t="shared" si="106"/>
        <v>0.97999999999999976</v>
      </c>
      <c r="I63" s="274">
        <f t="shared" si="106"/>
        <v>0.98000000000000009</v>
      </c>
      <c r="J63" s="274">
        <f t="shared" si="106"/>
        <v>0.98000000000000009</v>
      </c>
      <c r="K63" s="274">
        <f t="shared" si="106"/>
        <v>0.97999999999999987</v>
      </c>
      <c r="L63" s="274">
        <f t="shared" si="106"/>
        <v>0.97999999999999987</v>
      </c>
      <c r="M63" s="170"/>
      <c r="O63" s="1316"/>
      <c r="P63" s="276"/>
      <c r="S63" s="95"/>
    </row>
    <row r="64" spans="1:19">
      <c r="A64" s="160">
        <v>5</v>
      </c>
      <c r="B64" s="154" t="s">
        <v>244</v>
      </c>
      <c r="C64" s="155"/>
      <c r="D64" s="155"/>
      <c r="E64" s="272">
        <f>E60</f>
        <v>0.98</v>
      </c>
      <c r="F64" s="272">
        <f>E64</f>
        <v>0.98</v>
      </c>
      <c r="G64" s="272">
        <f t="shared" ref="G64:J64" si="107">F64</f>
        <v>0.98</v>
      </c>
      <c r="H64" s="272">
        <f t="shared" si="107"/>
        <v>0.98</v>
      </c>
      <c r="I64" s="272">
        <f t="shared" si="107"/>
        <v>0.98</v>
      </c>
      <c r="J64" s="272">
        <f t="shared" si="107"/>
        <v>0.98</v>
      </c>
      <c r="K64" s="272">
        <f t="shared" ref="K64:K66" si="108">J64</f>
        <v>0.98</v>
      </c>
      <c r="L64" s="272">
        <f t="shared" ref="L64:L66" si="109">K64</f>
        <v>0.98</v>
      </c>
      <c r="M64" s="169"/>
      <c r="O64" s="1316"/>
      <c r="S64" s="95"/>
    </row>
    <row r="65" spans="1:19">
      <c r="A65" s="160">
        <v>6</v>
      </c>
      <c r="B65" s="154" t="s">
        <v>246</v>
      </c>
      <c r="C65" s="155"/>
      <c r="D65" s="155"/>
      <c r="E65" s="272">
        <f t="shared" ref="E65:E66" si="110">E61</f>
        <v>0.98</v>
      </c>
      <c r="F65" s="272">
        <f>E65</f>
        <v>0.98</v>
      </c>
      <c r="G65" s="272">
        <f t="shared" ref="G65:J65" si="111">F65</f>
        <v>0.98</v>
      </c>
      <c r="H65" s="272">
        <f t="shared" si="111"/>
        <v>0.98</v>
      </c>
      <c r="I65" s="272">
        <f t="shared" si="111"/>
        <v>0.98</v>
      </c>
      <c r="J65" s="272">
        <f t="shared" si="111"/>
        <v>0.98</v>
      </c>
      <c r="K65" s="272">
        <f t="shared" si="108"/>
        <v>0.98</v>
      </c>
      <c r="L65" s="272">
        <f t="shared" si="109"/>
        <v>0.98</v>
      </c>
      <c r="M65" s="169"/>
      <c r="O65" s="1316"/>
      <c r="S65" s="95"/>
    </row>
    <row r="66" spans="1:19">
      <c r="A66" s="160">
        <v>7</v>
      </c>
      <c r="B66" s="154" t="s">
        <v>247</v>
      </c>
      <c r="C66" s="155"/>
      <c r="D66" s="155"/>
      <c r="E66" s="272">
        <f t="shared" si="110"/>
        <v>0.98</v>
      </c>
      <c r="F66" s="272">
        <f>E66</f>
        <v>0.98</v>
      </c>
      <c r="G66" s="272">
        <f t="shared" ref="G66:J66" si="112">F66</f>
        <v>0.98</v>
      </c>
      <c r="H66" s="272">
        <f t="shared" si="112"/>
        <v>0.98</v>
      </c>
      <c r="I66" s="272">
        <f t="shared" si="112"/>
        <v>0.98</v>
      </c>
      <c r="J66" s="272">
        <f t="shared" si="112"/>
        <v>0.98</v>
      </c>
      <c r="K66" s="272">
        <f t="shared" si="108"/>
        <v>0.98</v>
      </c>
      <c r="L66" s="272">
        <f t="shared" si="109"/>
        <v>0.98</v>
      </c>
      <c r="M66" s="169"/>
      <c r="O66" s="1316"/>
      <c r="S66" s="95"/>
    </row>
    <row r="67" spans="1:19">
      <c r="A67" s="162">
        <v>8</v>
      </c>
      <c r="B67" s="163" t="s">
        <v>17</v>
      </c>
      <c r="C67" s="265"/>
      <c r="D67" s="265"/>
      <c r="E67" s="274">
        <f>E78/E56</f>
        <v>0.98000000000000009</v>
      </c>
      <c r="F67" s="274">
        <f t="shared" ref="F67:L68" si="113">F78/F56</f>
        <v>0.97999999999999987</v>
      </c>
      <c r="G67" s="274">
        <f t="shared" si="113"/>
        <v>0.98</v>
      </c>
      <c r="H67" s="274">
        <f t="shared" si="113"/>
        <v>0.98</v>
      </c>
      <c r="I67" s="274">
        <f t="shared" si="113"/>
        <v>0.98</v>
      </c>
      <c r="J67" s="274">
        <f t="shared" si="113"/>
        <v>0.98000000000000009</v>
      </c>
      <c r="K67" s="274">
        <f t="shared" si="113"/>
        <v>0.98000000000000009</v>
      </c>
      <c r="L67" s="274">
        <f t="shared" si="113"/>
        <v>0.98</v>
      </c>
      <c r="M67" s="170"/>
      <c r="O67" s="1316"/>
      <c r="P67" s="276"/>
      <c r="S67" s="95"/>
    </row>
    <row r="68" spans="1:19">
      <c r="A68" s="162">
        <v>9</v>
      </c>
      <c r="B68" s="163" t="s">
        <v>248</v>
      </c>
      <c r="C68" s="265"/>
      <c r="D68" s="265"/>
      <c r="E68" s="274">
        <f>E79/E57</f>
        <v>0.98</v>
      </c>
      <c r="F68" s="274">
        <f t="shared" si="113"/>
        <v>0.98000000000000009</v>
      </c>
      <c r="G68" s="274">
        <f t="shared" si="113"/>
        <v>0.98000000000000009</v>
      </c>
      <c r="H68" s="274">
        <f t="shared" si="113"/>
        <v>0.98</v>
      </c>
      <c r="I68" s="274">
        <f t="shared" si="113"/>
        <v>0.98000000000000009</v>
      </c>
      <c r="J68" s="274">
        <f t="shared" si="113"/>
        <v>0.98</v>
      </c>
      <c r="K68" s="274">
        <f t="shared" si="113"/>
        <v>0.98000000000000009</v>
      </c>
      <c r="L68" s="274">
        <f t="shared" si="113"/>
        <v>0.98000000000000009</v>
      </c>
      <c r="M68" s="170"/>
      <c r="O68" s="1316"/>
      <c r="P68" s="276"/>
      <c r="S68" s="95"/>
    </row>
    <row r="69" spans="1:19">
      <c r="A69" s="162"/>
      <c r="B69" s="154"/>
      <c r="C69" s="154"/>
      <c r="D69" s="266"/>
      <c r="E69" s="266"/>
      <c r="F69" s="266"/>
      <c r="G69" s="266"/>
      <c r="H69" s="267"/>
      <c r="I69" s="267"/>
      <c r="J69" s="267"/>
      <c r="K69" s="267"/>
      <c r="L69" s="267"/>
      <c r="M69" s="168"/>
      <c r="N69" s="173"/>
      <c r="O69" s="1316"/>
      <c r="S69" s="95"/>
    </row>
    <row r="70" spans="1:19" ht="15.75">
      <c r="A70" s="260" t="s">
        <v>156</v>
      </c>
      <c r="B70" s="268" t="s">
        <v>257</v>
      </c>
      <c r="C70" s="269"/>
      <c r="D70" s="269"/>
      <c r="E70" s="270"/>
      <c r="F70" s="270"/>
      <c r="G70" s="270"/>
      <c r="H70" s="271"/>
      <c r="I70" s="271"/>
      <c r="J70" s="271"/>
      <c r="K70" s="271"/>
      <c r="L70" s="271"/>
      <c r="M70" s="177"/>
      <c r="N70" s="178"/>
      <c r="O70" s="1316">
        <f t="shared" si="56"/>
        <v>0</v>
      </c>
      <c r="S70" s="95"/>
    </row>
    <row r="71" spans="1:19">
      <c r="A71" s="160">
        <v>1</v>
      </c>
      <c r="B71" s="154" t="s">
        <v>19</v>
      </c>
      <c r="C71" s="155"/>
      <c r="D71" s="155"/>
      <c r="E71" s="156">
        <f>E49*E60</f>
        <v>745.73099999999999</v>
      </c>
      <c r="F71" s="156">
        <f t="shared" ref="F71:L71" si="114">F49*F60</f>
        <v>700.48439999999994</v>
      </c>
      <c r="G71" s="156">
        <f t="shared" si="114"/>
        <v>636.80400000000009</v>
      </c>
      <c r="H71" s="156">
        <f t="shared" si="114"/>
        <v>607.47749999999996</v>
      </c>
      <c r="I71" s="156">
        <f t="shared" si="114"/>
        <v>570.60990000000004</v>
      </c>
      <c r="J71" s="156">
        <f t="shared" si="114"/>
        <v>527.03909999999996</v>
      </c>
      <c r="K71" s="156">
        <f t="shared" si="114"/>
        <v>510.28109999999992</v>
      </c>
      <c r="L71" s="156">
        <f t="shared" si="114"/>
        <v>497.71259999999995</v>
      </c>
      <c r="M71" s="166">
        <f>SUM(F71:H71)</f>
        <v>1944.7658999999999</v>
      </c>
      <c r="N71" s="172">
        <f>SUM(F71:J71)</f>
        <v>3042.4148999999998</v>
      </c>
      <c r="O71" s="1316">
        <f t="shared" si="56"/>
        <v>2105.6426999999999</v>
      </c>
      <c r="S71" s="95"/>
    </row>
    <row r="72" spans="1:19">
      <c r="A72" s="160">
        <v>2</v>
      </c>
      <c r="B72" s="154" t="s">
        <v>245</v>
      </c>
      <c r="C72" s="155"/>
      <c r="D72" s="155"/>
      <c r="E72" s="156">
        <f t="shared" ref="E72:L72" si="115">E50*E61</f>
        <v>344.50919999999996</v>
      </c>
      <c r="F72" s="156">
        <f t="shared" si="115"/>
        <v>329.38290000000001</v>
      </c>
      <c r="G72" s="156">
        <f t="shared" si="115"/>
        <v>308.7</v>
      </c>
      <c r="H72" s="156">
        <f t="shared" si="115"/>
        <v>293.57369999999997</v>
      </c>
      <c r="I72" s="156">
        <f t="shared" si="115"/>
        <v>287.3997</v>
      </c>
      <c r="J72" s="156">
        <f t="shared" si="115"/>
        <v>286.78229999999996</v>
      </c>
      <c r="K72" s="156">
        <f t="shared" si="115"/>
        <v>278.13869999999997</v>
      </c>
      <c r="L72" s="156">
        <f t="shared" si="115"/>
        <v>270.72989999999999</v>
      </c>
      <c r="M72" s="166">
        <f t="shared" ref="M72:M77" si="116">SUM(F72:H72)</f>
        <v>931.65660000000003</v>
      </c>
      <c r="N72" s="172">
        <f t="shared" ref="N72:N77" si="117">SUM(F72:J72)</f>
        <v>1505.8386</v>
      </c>
      <c r="O72" s="1316">
        <f t="shared" si="56"/>
        <v>1123.0506</v>
      </c>
      <c r="S72" s="95"/>
    </row>
    <row r="73" spans="1:19">
      <c r="A73" s="160">
        <v>3</v>
      </c>
      <c r="B73" s="154" t="s">
        <v>20</v>
      </c>
      <c r="C73" s="155"/>
      <c r="D73" s="155"/>
      <c r="E73" s="156">
        <f t="shared" ref="E73:L73" si="118">E51*E62</f>
        <v>65.19744</v>
      </c>
      <c r="F73" s="156">
        <f t="shared" si="118"/>
        <v>59.482079999999996</v>
      </c>
      <c r="G73" s="156">
        <f t="shared" si="118"/>
        <v>53.87256</v>
      </c>
      <c r="H73" s="156">
        <f t="shared" si="118"/>
        <v>50.803199999999997</v>
      </c>
      <c r="I73" s="156">
        <f t="shared" si="118"/>
        <v>48.368879999999997</v>
      </c>
      <c r="J73" s="156">
        <f t="shared" si="118"/>
        <v>46.357919999999993</v>
      </c>
      <c r="K73" s="156">
        <f t="shared" si="118"/>
        <v>44.981999999999999</v>
      </c>
      <c r="L73" s="156">
        <f t="shared" si="118"/>
        <v>43.81776</v>
      </c>
      <c r="M73" s="166">
        <f t="shared" si="116"/>
        <v>164.15783999999999</v>
      </c>
      <c r="N73" s="172">
        <f t="shared" si="117"/>
        <v>258.88463999999999</v>
      </c>
      <c r="O73" s="1316">
        <f t="shared" si="56"/>
        <v>183.52655999999999</v>
      </c>
      <c r="S73" s="95"/>
    </row>
    <row r="74" spans="1:19">
      <c r="A74" s="162">
        <v>4</v>
      </c>
      <c r="B74" s="163" t="s">
        <v>16</v>
      </c>
      <c r="C74" s="265"/>
      <c r="D74" s="265"/>
      <c r="E74" s="92">
        <f t="shared" ref="E74:L74" si="119">SUM(E71:E73)</f>
        <v>1155.4376399999999</v>
      </c>
      <c r="F74" s="92">
        <f t="shared" si="119"/>
        <v>1089.3493799999999</v>
      </c>
      <c r="G74" s="92">
        <f t="shared" si="119"/>
        <v>999.37656000000015</v>
      </c>
      <c r="H74" s="92">
        <f t="shared" si="119"/>
        <v>951.85439999999983</v>
      </c>
      <c r="I74" s="92">
        <f t="shared" si="119"/>
        <v>906.37848000000008</v>
      </c>
      <c r="J74" s="92">
        <f t="shared" si="119"/>
        <v>860.17931999999996</v>
      </c>
      <c r="K74" s="92">
        <f t="shared" si="119"/>
        <v>833.40179999999987</v>
      </c>
      <c r="L74" s="92">
        <f t="shared" si="119"/>
        <v>812.2602599999999</v>
      </c>
      <c r="M74" s="167">
        <f t="shared" si="116"/>
        <v>3040.58034</v>
      </c>
      <c r="N74" s="94">
        <f t="shared" si="117"/>
        <v>4807.13814</v>
      </c>
      <c r="O74" s="1316">
        <f t="shared" si="56"/>
        <v>3412.2198600000002</v>
      </c>
      <c r="S74" s="95"/>
    </row>
    <row r="75" spans="1:19">
      <c r="A75" s="160">
        <v>5</v>
      </c>
      <c r="B75" s="154" t="s">
        <v>244</v>
      </c>
      <c r="C75" s="155"/>
      <c r="D75" s="155"/>
      <c r="E75" s="156">
        <f>E53*E64</f>
        <v>341.86319999999995</v>
      </c>
      <c r="F75" s="156">
        <f t="shared" ref="F75:L75" si="120">F53*F64</f>
        <v>305.83349999999996</v>
      </c>
      <c r="G75" s="156">
        <f t="shared" si="120"/>
        <v>272.3175</v>
      </c>
      <c r="H75" s="156">
        <f t="shared" si="120"/>
        <v>260.58689999999996</v>
      </c>
      <c r="I75" s="156">
        <f t="shared" si="120"/>
        <v>252.20790000000002</v>
      </c>
      <c r="J75" s="156">
        <f t="shared" si="120"/>
        <v>244.66679999999999</v>
      </c>
      <c r="K75" s="156">
        <f t="shared" si="120"/>
        <v>237.96360000000001</v>
      </c>
      <c r="L75" s="156">
        <f t="shared" si="120"/>
        <v>233.7741</v>
      </c>
      <c r="M75" s="166">
        <f t="shared" si="116"/>
        <v>838.73789999999985</v>
      </c>
      <c r="N75" s="172">
        <f t="shared" si="117"/>
        <v>1335.6125999999999</v>
      </c>
      <c r="O75" s="1316">
        <f t="shared" si="56"/>
        <v>968.61239999999998</v>
      </c>
      <c r="S75" s="95"/>
    </row>
    <row r="76" spans="1:19">
      <c r="A76" s="160">
        <v>6</v>
      </c>
      <c r="B76" s="154" t="s">
        <v>246</v>
      </c>
      <c r="C76" s="155"/>
      <c r="D76" s="155"/>
      <c r="E76" s="156">
        <f t="shared" ref="E76:L76" si="121">E54*E65</f>
        <v>155.5848</v>
      </c>
      <c r="F76" s="156">
        <f t="shared" si="121"/>
        <v>137.06279999999998</v>
      </c>
      <c r="G76" s="156">
        <f t="shared" si="121"/>
        <v>125.64089999999999</v>
      </c>
      <c r="H76" s="156">
        <f t="shared" si="121"/>
        <v>120.08429999999998</v>
      </c>
      <c r="I76" s="156">
        <f t="shared" si="121"/>
        <v>115.4538</v>
      </c>
      <c r="J76" s="156">
        <f t="shared" si="121"/>
        <v>111.74939999999998</v>
      </c>
      <c r="K76" s="156">
        <f t="shared" si="121"/>
        <v>108.97109999999999</v>
      </c>
      <c r="L76" s="156">
        <f t="shared" si="121"/>
        <v>106.50149999999998</v>
      </c>
      <c r="M76" s="166">
        <f t="shared" si="116"/>
        <v>382.78799999999995</v>
      </c>
      <c r="N76" s="172">
        <f t="shared" si="117"/>
        <v>609.99119999999994</v>
      </c>
      <c r="O76" s="1316">
        <f t="shared" si="56"/>
        <v>442.67579999999992</v>
      </c>
      <c r="S76" s="95"/>
    </row>
    <row r="77" spans="1:19">
      <c r="A77" s="160">
        <v>7</v>
      </c>
      <c r="B77" s="154" t="s">
        <v>247</v>
      </c>
      <c r="C77" s="155"/>
      <c r="D77" s="155"/>
      <c r="E77" s="156">
        <f t="shared" ref="E77:L77" si="122">E55*E66</f>
        <v>8.14968</v>
      </c>
      <c r="F77" s="156">
        <f t="shared" si="122"/>
        <v>6.1387200000000002</v>
      </c>
      <c r="G77" s="156">
        <f t="shared" si="122"/>
        <v>5.0803200000000004</v>
      </c>
      <c r="H77" s="156">
        <f t="shared" si="122"/>
        <v>4.7627999999999995</v>
      </c>
      <c r="I77" s="156">
        <f t="shared" si="122"/>
        <v>4.2336</v>
      </c>
      <c r="J77" s="156">
        <f t="shared" si="122"/>
        <v>3.7044000000000001</v>
      </c>
      <c r="K77" s="156">
        <f t="shared" si="122"/>
        <v>3.28104</v>
      </c>
      <c r="L77" s="156">
        <f t="shared" si="122"/>
        <v>2.8576799999999998</v>
      </c>
      <c r="M77" s="166">
        <f t="shared" si="116"/>
        <v>15.981839999999998</v>
      </c>
      <c r="N77" s="172">
        <f t="shared" si="117"/>
        <v>23.919839999999997</v>
      </c>
      <c r="O77" s="1316">
        <f t="shared" si="56"/>
        <v>14.07672</v>
      </c>
      <c r="S77" s="95"/>
    </row>
    <row r="78" spans="1:19">
      <c r="A78" s="162">
        <v>8</v>
      </c>
      <c r="B78" s="163" t="s">
        <v>17</v>
      </c>
      <c r="C78" s="265"/>
      <c r="D78" s="265"/>
      <c r="E78" s="92">
        <f t="shared" ref="E78:L78" si="123">SUM(E75:E77)</f>
        <v>505.59767999999997</v>
      </c>
      <c r="F78" s="92">
        <f t="shared" si="123"/>
        <v>449.03501999999992</v>
      </c>
      <c r="G78" s="92">
        <f t="shared" si="123"/>
        <v>403.03872000000001</v>
      </c>
      <c r="H78" s="92">
        <f t="shared" si="123"/>
        <v>385.43399999999997</v>
      </c>
      <c r="I78" s="92">
        <f t="shared" si="123"/>
        <v>371.89530000000002</v>
      </c>
      <c r="J78" s="92">
        <f t="shared" si="123"/>
        <v>360.12060000000002</v>
      </c>
      <c r="K78" s="92">
        <f t="shared" si="123"/>
        <v>350.21574000000004</v>
      </c>
      <c r="L78" s="92">
        <f t="shared" si="123"/>
        <v>343.13328000000001</v>
      </c>
      <c r="M78" s="167">
        <f t="shared" ref="M78:N78" si="124">SUM(M75:M76)</f>
        <v>1221.5258999999999</v>
      </c>
      <c r="N78" s="93">
        <f t="shared" si="124"/>
        <v>1945.6037999999999</v>
      </c>
      <c r="O78" s="1316">
        <f t="shared" si="56"/>
        <v>1425.3649200000002</v>
      </c>
      <c r="S78" s="95"/>
    </row>
    <row r="79" spans="1:19">
      <c r="A79" s="162">
        <v>9</v>
      </c>
      <c r="B79" s="163" t="s">
        <v>248</v>
      </c>
      <c r="C79" s="265"/>
      <c r="D79" s="265"/>
      <c r="E79" s="92">
        <f t="shared" ref="E79" si="125">SUM(E74,E78)</f>
        <v>1661.03532</v>
      </c>
      <c r="F79" s="92">
        <f t="shared" ref="F79" si="126">SUM(F74,F78)</f>
        <v>1538.3843999999999</v>
      </c>
      <c r="G79" s="92">
        <f t="shared" ref="G79" si="127">SUM(G74,G78)</f>
        <v>1402.4152800000002</v>
      </c>
      <c r="H79" s="92">
        <f t="shared" ref="H79" si="128">SUM(H74,H78)</f>
        <v>1337.2883999999999</v>
      </c>
      <c r="I79" s="92">
        <f t="shared" ref="I79" si="129">SUM(I74,I78)</f>
        <v>1278.27378</v>
      </c>
      <c r="J79" s="92">
        <f t="shared" ref="J79:N79" si="130">SUM(J74,J78)</f>
        <v>1220.2999199999999</v>
      </c>
      <c r="K79" s="92">
        <f t="shared" si="130"/>
        <v>1183.61754</v>
      </c>
      <c r="L79" s="92">
        <f t="shared" si="130"/>
        <v>1155.39354</v>
      </c>
      <c r="M79" s="167">
        <f t="shared" si="130"/>
        <v>4262.1062400000001</v>
      </c>
      <c r="N79" s="93">
        <f t="shared" si="130"/>
        <v>6752.7419399999999</v>
      </c>
      <c r="O79" s="1316">
        <f t="shared" si="56"/>
        <v>4837.5847800000001</v>
      </c>
      <c r="S79" s="95"/>
    </row>
    <row r="80" spans="1:19">
      <c r="A80" s="162"/>
      <c r="B80" s="154"/>
      <c r="C80" s="154"/>
      <c r="D80" s="266"/>
      <c r="E80" s="266"/>
      <c r="F80" s="266"/>
      <c r="G80" s="266"/>
      <c r="H80" s="267"/>
      <c r="I80" s="267"/>
      <c r="J80" s="267"/>
      <c r="K80" s="267"/>
      <c r="L80" s="267"/>
      <c r="M80" s="168"/>
      <c r="N80" s="173"/>
      <c r="O80" s="1316">
        <f t="shared" si="56"/>
        <v>0</v>
      </c>
      <c r="S80" s="95"/>
    </row>
    <row r="81" spans="1:19" ht="15.75">
      <c r="A81" s="260" t="s">
        <v>223</v>
      </c>
      <c r="B81" s="268" t="s">
        <v>267</v>
      </c>
      <c r="C81" s="269"/>
      <c r="D81" s="269"/>
      <c r="E81" s="270"/>
      <c r="F81" s="270"/>
      <c r="G81" s="270"/>
      <c r="H81" s="271"/>
      <c r="I81" s="271"/>
      <c r="J81" s="271"/>
      <c r="K81" s="271"/>
      <c r="L81" s="271"/>
      <c r="M81" s="177"/>
      <c r="N81" s="178"/>
      <c r="O81" s="1316">
        <f t="shared" si="56"/>
        <v>0</v>
      </c>
      <c r="S81" s="95"/>
    </row>
    <row r="82" spans="1:19">
      <c r="A82" s="160">
        <v>1</v>
      </c>
      <c r="B82" s="154" t="s">
        <v>19</v>
      </c>
      <c r="C82" s="155"/>
      <c r="D82" s="155"/>
      <c r="E82" s="152">
        <f>'DST-1 (2010-2016)'!D147/100</f>
        <v>0.12093308778391652</v>
      </c>
      <c r="F82" s="152">
        <v>0.11899999999999999</v>
      </c>
      <c r="G82" s="152">
        <v>0.11700000000000001</v>
      </c>
      <c r="H82" s="152">
        <v>0.115</v>
      </c>
      <c r="I82" s="152">
        <v>0.113</v>
      </c>
      <c r="J82" s="152">
        <v>0.11</v>
      </c>
      <c r="K82" s="152">
        <v>0.11</v>
      </c>
      <c r="L82" s="152">
        <v>0.11</v>
      </c>
      <c r="M82" s="169"/>
      <c r="N82" s="174"/>
      <c r="O82" s="1316"/>
      <c r="S82" s="95"/>
    </row>
    <row r="83" spans="1:19">
      <c r="A83" s="160">
        <v>2</v>
      </c>
      <c r="B83" s="154" t="s">
        <v>245</v>
      </c>
      <c r="C83" s="155"/>
      <c r="D83" s="155"/>
      <c r="E83" s="152">
        <f>E82</f>
        <v>0.12093308778391652</v>
      </c>
      <c r="F83" s="152">
        <f t="shared" ref="F83" si="131">F82</f>
        <v>0.11899999999999999</v>
      </c>
      <c r="G83" s="152">
        <f t="shared" ref="G83" si="132">G82</f>
        <v>0.11700000000000001</v>
      </c>
      <c r="H83" s="152">
        <f t="shared" ref="H83" si="133">H82</f>
        <v>0.115</v>
      </c>
      <c r="I83" s="152">
        <f t="shared" ref="I83" si="134">I82</f>
        <v>0.113</v>
      </c>
      <c r="J83" s="152">
        <f t="shared" ref="J83:L83" si="135">J82</f>
        <v>0.11</v>
      </c>
      <c r="K83" s="152">
        <f t="shared" si="135"/>
        <v>0.11</v>
      </c>
      <c r="L83" s="152">
        <f t="shared" si="135"/>
        <v>0.11</v>
      </c>
      <c r="M83" s="169"/>
      <c r="N83" s="174"/>
      <c r="O83" s="1316"/>
      <c r="S83" s="95"/>
    </row>
    <row r="84" spans="1:19">
      <c r="A84" s="160">
        <v>3</v>
      </c>
      <c r="B84" s="154" t="s">
        <v>20</v>
      </c>
      <c r="C84" s="155"/>
      <c r="D84" s="155"/>
      <c r="E84" s="152">
        <f>E82</f>
        <v>0.12093308778391652</v>
      </c>
      <c r="F84" s="152">
        <f t="shared" ref="F84:L84" si="136">F82</f>
        <v>0.11899999999999999</v>
      </c>
      <c r="G84" s="152">
        <f t="shared" si="136"/>
        <v>0.11700000000000001</v>
      </c>
      <c r="H84" s="152">
        <f t="shared" si="136"/>
        <v>0.115</v>
      </c>
      <c r="I84" s="152">
        <f t="shared" si="136"/>
        <v>0.113</v>
      </c>
      <c r="J84" s="152">
        <f t="shared" si="136"/>
        <v>0.11</v>
      </c>
      <c r="K84" s="152">
        <f t="shared" si="136"/>
        <v>0.11</v>
      </c>
      <c r="L84" s="152">
        <f t="shared" si="136"/>
        <v>0.11</v>
      </c>
      <c r="M84" s="169"/>
      <c r="N84" s="174"/>
      <c r="O84" s="1316"/>
      <c r="S84" s="95"/>
    </row>
    <row r="85" spans="1:19">
      <c r="A85" s="162">
        <v>4</v>
      </c>
      <c r="B85" s="163" t="s">
        <v>16</v>
      </c>
      <c r="C85" s="265"/>
      <c r="D85" s="265"/>
      <c r="E85" s="274">
        <f>E96/E74</f>
        <v>0.12093308778391652</v>
      </c>
      <c r="F85" s="274">
        <f t="shared" ref="F85:J85" si="137">F96/F74</f>
        <v>0.11899999999999999</v>
      </c>
      <c r="G85" s="274">
        <f t="shared" si="137"/>
        <v>0.11700000000000001</v>
      </c>
      <c r="H85" s="274">
        <f t="shared" si="137"/>
        <v>0.115</v>
      </c>
      <c r="I85" s="274">
        <f t="shared" si="137"/>
        <v>0.113</v>
      </c>
      <c r="J85" s="274">
        <f t="shared" si="137"/>
        <v>0.11</v>
      </c>
      <c r="K85" s="274">
        <f t="shared" ref="K85:L85" si="138">K96/K74</f>
        <v>0.11</v>
      </c>
      <c r="L85" s="274">
        <f t="shared" si="138"/>
        <v>0.11000000000000001</v>
      </c>
      <c r="M85" s="274"/>
      <c r="N85" s="175"/>
      <c r="O85" s="1316"/>
      <c r="S85" s="95"/>
    </row>
    <row r="86" spans="1:19">
      <c r="A86" s="160">
        <v>5</v>
      </c>
      <c r="B86" s="154" t="s">
        <v>244</v>
      </c>
      <c r="C86" s="155"/>
      <c r="D86" s="155"/>
      <c r="E86" s="152">
        <f>'DST-1 (2010-2016)'!F147/100</f>
        <v>9.8671726755218223E-2</v>
      </c>
      <c r="F86" s="152">
        <v>9.8000000000000004E-2</v>
      </c>
      <c r="G86" s="152">
        <v>9.6000000000000002E-2</v>
      </c>
      <c r="H86" s="152">
        <v>9.4E-2</v>
      </c>
      <c r="I86" s="152">
        <v>9.1999999999999998E-2</v>
      </c>
      <c r="J86" s="152">
        <v>0.09</v>
      </c>
      <c r="K86" s="152">
        <v>0.09</v>
      </c>
      <c r="L86" s="152">
        <v>0.09</v>
      </c>
      <c r="M86" s="152"/>
      <c r="N86" s="174"/>
      <c r="O86" s="1316"/>
      <c r="S86" s="95"/>
    </row>
    <row r="87" spans="1:19">
      <c r="A87" s="160">
        <v>6</v>
      </c>
      <c r="B87" s="154" t="s">
        <v>246</v>
      </c>
      <c r="C87" s="155"/>
      <c r="D87" s="155"/>
      <c r="E87" s="152">
        <f>E86</f>
        <v>9.8671726755218223E-2</v>
      </c>
      <c r="F87" s="152">
        <f t="shared" ref="F87" si="139">F86</f>
        <v>9.8000000000000004E-2</v>
      </c>
      <c r="G87" s="152">
        <f t="shared" ref="G87" si="140">G86</f>
        <v>9.6000000000000002E-2</v>
      </c>
      <c r="H87" s="152">
        <f t="shared" ref="H87" si="141">H86</f>
        <v>9.4E-2</v>
      </c>
      <c r="I87" s="152">
        <f t="shared" ref="I87" si="142">I86</f>
        <v>9.1999999999999998E-2</v>
      </c>
      <c r="J87" s="152">
        <f t="shared" ref="J87:L87" si="143">J86</f>
        <v>0.09</v>
      </c>
      <c r="K87" s="152">
        <f t="shared" si="143"/>
        <v>0.09</v>
      </c>
      <c r="L87" s="152">
        <f t="shared" si="143"/>
        <v>0.09</v>
      </c>
      <c r="M87" s="152"/>
      <c r="N87" s="174"/>
      <c r="O87" s="1316"/>
      <c r="S87" s="95"/>
    </row>
    <row r="88" spans="1:19">
      <c r="A88" s="160">
        <v>7</v>
      </c>
      <c r="B88" s="154" t="s">
        <v>247</v>
      </c>
      <c r="C88" s="155"/>
      <c r="D88" s="155"/>
      <c r="E88" s="152">
        <f>E86</f>
        <v>9.8671726755218223E-2</v>
      </c>
      <c r="F88" s="152">
        <f t="shared" ref="F88:L88" si="144">F86</f>
        <v>9.8000000000000004E-2</v>
      </c>
      <c r="G88" s="152">
        <f t="shared" si="144"/>
        <v>9.6000000000000002E-2</v>
      </c>
      <c r="H88" s="152">
        <f t="shared" si="144"/>
        <v>9.4E-2</v>
      </c>
      <c r="I88" s="152">
        <f t="shared" si="144"/>
        <v>9.1999999999999998E-2</v>
      </c>
      <c r="J88" s="152">
        <f t="shared" si="144"/>
        <v>0.09</v>
      </c>
      <c r="K88" s="152">
        <f t="shared" si="144"/>
        <v>0.09</v>
      </c>
      <c r="L88" s="152">
        <f t="shared" si="144"/>
        <v>0.09</v>
      </c>
      <c r="M88" s="152"/>
      <c r="N88" s="174"/>
      <c r="O88" s="1316"/>
      <c r="S88" s="95"/>
    </row>
    <row r="89" spans="1:19">
      <c r="A89" s="162">
        <v>8</v>
      </c>
      <c r="B89" s="163" t="s">
        <v>17</v>
      </c>
      <c r="C89" s="265"/>
      <c r="D89" s="265"/>
      <c r="E89" s="274">
        <f>E100/E78</f>
        <v>9.8671726755218209E-2</v>
      </c>
      <c r="F89" s="274">
        <f t="shared" ref="F89:L89" si="145">F100/F78</f>
        <v>9.8000000000000018E-2</v>
      </c>
      <c r="G89" s="274">
        <f t="shared" si="145"/>
        <v>9.6000000000000002E-2</v>
      </c>
      <c r="H89" s="274">
        <f t="shared" si="145"/>
        <v>9.3999999999999986E-2</v>
      </c>
      <c r="I89" s="274">
        <f t="shared" si="145"/>
        <v>9.1999999999999998E-2</v>
      </c>
      <c r="J89" s="274">
        <f t="shared" si="145"/>
        <v>8.9999999999999969E-2</v>
      </c>
      <c r="K89" s="274">
        <f t="shared" si="145"/>
        <v>8.9999999999999983E-2</v>
      </c>
      <c r="L89" s="274">
        <f t="shared" si="145"/>
        <v>0.09</v>
      </c>
      <c r="M89" s="274"/>
      <c r="N89" s="176"/>
      <c r="O89" s="1316"/>
      <c r="S89" s="95"/>
    </row>
    <row r="90" spans="1:19">
      <c r="A90" s="162">
        <v>9</v>
      </c>
      <c r="B90" s="163" t="s">
        <v>248</v>
      </c>
      <c r="C90" s="265"/>
      <c r="D90" s="265"/>
      <c r="E90" s="274">
        <f>E101/E79</f>
        <v>0.1141570172487323</v>
      </c>
      <c r="F90" s="274">
        <f t="shared" ref="F90:J90" si="146">F101/F79</f>
        <v>0.1128703646370829</v>
      </c>
      <c r="G90" s="274">
        <f t="shared" si="146"/>
        <v>0.11096483107343212</v>
      </c>
      <c r="H90" s="274">
        <f t="shared" si="146"/>
        <v>0.10894736842105261</v>
      </c>
      <c r="I90" s="274">
        <f t="shared" si="146"/>
        <v>0.10689035320743263</v>
      </c>
      <c r="J90" s="274">
        <f t="shared" si="146"/>
        <v>0.10409783457168463</v>
      </c>
      <c r="K90" s="274">
        <f t="shared" ref="K90:L90" si="147">K101/K79</f>
        <v>0.10408228201822693</v>
      </c>
      <c r="L90" s="274">
        <f t="shared" si="147"/>
        <v>0.10406032199210667</v>
      </c>
      <c r="M90" s="274"/>
      <c r="N90" s="176"/>
      <c r="O90" s="1316"/>
      <c r="S90" s="95"/>
    </row>
    <row r="91" spans="1:19">
      <c r="A91" s="162"/>
      <c r="B91" s="154"/>
      <c r="C91" s="154"/>
      <c r="D91" s="266"/>
      <c r="E91" s="266"/>
      <c r="F91" s="266"/>
      <c r="G91" s="266"/>
      <c r="H91" s="267"/>
      <c r="I91" s="267"/>
      <c r="J91" s="267"/>
      <c r="K91" s="267"/>
      <c r="L91" s="267"/>
      <c r="M91" s="168"/>
      <c r="N91" s="173"/>
      <c r="O91" s="1316">
        <f t="shared" si="56"/>
        <v>0</v>
      </c>
      <c r="S91" s="95"/>
    </row>
    <row r="92" spans="1:19" ht="15.75">
      <c r="A92" s="260" t="s">
        <v>743</v>
      </c>
      <c r="B92" s="268" t="s">
        <v>268</v>
      </c>
      <c r="C92" s="269"/>
      <c r="D92" s="269"/>
      <c r="E92" s="270"/>
      <c r="F92" s="270"/>
      <c r="G92" s="270"/>
      <c r="H92" s="271"/>
      <c r="I92" s="271"/>
      <c r="J92" s="271"/>
      <c r="K92" s="271"/>
      <c r="L92" s="271"/>
      <c r="M92" s="177"/>
      <c r="N92" s="178"/>
      <c r="O92" s="1316">
        <f t="shared" ref="O92:O154" si="148">I92+J92+K92+L92</f>
        <v>0</v>
      </c>
      <c r="S92" s="95"/>
    </row>
    <row r="93" spans="1:19">
      <c r="A93" s="160">
        <v>1</v>
      </c>
      <c r="B93" s="154" t="s">
        <v>19</v>
      </c>
      <c r="C93" s="155"/>
      <c r="D93" s="155"/>
      <c r="E93" s="156">
        <f>E71*E82</f>
        <v>90.18355248618785</v>
      </c>
      <c r="F93" s="156">
        <f t="shared" ref="F93:J93" si="149">F71*F82</f>
        <v>83.357643599999989</v>
      </c>
      <c r="G93" s="156">
        <f t="shared" si="149"/>
        <v>74.506068000000013</v>
      </c>
      <c r="H93" s="156">
        <f t="shared" si="149"/>
        <v>69.859912499999993</v>
      </c>
      <c r="I93" s="156">
        <f t="shared" si="149"/>
        <v>64.478918700000008</v>
      </c>
      <c r="J93" s="156">
        <f t="shared" si="149"/>
        <v>57.974300999999997</v>
      </c>
      <c r="K93" s="156">
        <f t="shared" ref="K93:L93" si="150">K71*K82</f>
        <v>56.130920999999994</v>
      </c>
      <c r="L93" s="156">
        <f t="shared" si="150"/>
        <v>54.748385999999996</v>
      </c>
      <c r="M93" s="166">
        <f>SUM(F93:H93)</f>
        <v>227.72362409999999</v>
      </c>
      <c r="N93" s="172">
        <f>SUM(F93:J93)</f>
        <v>350.17684380000003</v>
      </c>
      <c r="O93" s="1316">
        <f t="shared" si="148"/>
        <v>233.33252670000002</v>
      </c>
      <c r="S93" s="95"/>
    </row>
    <row r="94" spans="1:19">
      <c r="A94" s="160">
        <v>2</v>
      </c>
      <c r="B94" s="154" t="s">
        <v>245</v>
      </c>
      <c r="C94" s="155"/>
      <c r="D94" s="155"/>
      <c r="E94" s="156">
        <f t="shared" ref="E94:J95" si="151">E72*E83</f>
        <v>41.662561325966848</v>
      </c>
      <c r="F94" s="156">
        <f t="shared" si="151"/>
        <v>39.196565100000001</v>
      </c>
      <c r="G94" s="156">
        <f t="shared" si="151"/>
        <v>36.117899999999999</v>
      </c>
      <c r="H94" s="156">
        <f t="shared" si="151"/>
        <v>33.760975500000001</v>
      </c>
      <c r="I94" s="156">
        <f t="shared" si="151"/>
        <v>32.4761661</v>
      </c>
      <c r="J94" s="156">
        <f t="shared" si="151"/>
        <v>31.546052999999997</v>
      </c>
      <c r="K94" s="156">
        <f t="shared" ref="K94:L94" si="152">K72*K83</f>
        <v>30.595256999999997</v>
      </c>
      <c r="L94" s="156">
        <f t="shared" si="152"/>
        <v>29.780289</v>
      </c>
      <c r="M94" s="166">
        <f t="shared" ref="M94:M99" si="153">SUM(F94:H94)</f>
        <v>109.07544060000001</v>
      </c>
      <c r="N94" s="172">
        <f t="shared" ref="N94:N99" si="154">SUM(F94:J94)</f>
        <v>173.09765970000001</v>
      </c>
      <c r="O94" s="1316">
        <f t="shared" si="148"/>
        <v>124.3977651</v>
      </c>
      <c r="S94" s="95"/>
    </row>
    <row r="95" spans="1:19">
      <c r="A95" s="160">
        <v>3</v>
      </c>
      <c r="B95" s="154" t="s">
        <v>20</v>
      </c>
      <c r="C95" s="155"/>
      <c r="D95" s="155"/>
      <c r="E95" s="156">
        <f t="shared" si="151"/>
        <v>7.8845277348066309</v>
      </c>
      <c r="F95" s="156">
        <f t="shared" si="151"/>
        <v>7.0783675199999996</v>
      </c>
      <c r="G95" s="156">
        <f t="shared" si="151"/>
        <v>6.3030895200000003</v>
      </c>
      <c r="H95" s="156">
        <f t="shared" si="151"/>
        <v>5.8423679999999996</v>
      </c>
      <c r="I95" s="156">
        <f t="shared" si="151"/>
        <v>5.4656834400000003</v>
      </c>
      <c r="J95" s="156">
        <f t="shared" si="151"/>
        <v>5.0993711999999993</v>
      </c>
      <c r="K95" s="156">
        <f t="shared" ref="K95:L95" si="155">K73*K84</f>
        <v>4.9480199999999996</v>
      </c>
      <c r="L95" s="156">
        <f t="shared" si="155"/>
        <v>4.8199535999999998</v>
      </c>
      <c r="M95" s="166">
        <f t="shared" si="153"/>
        <v>19.223825040000001</v>
      </c>
      <c r="N95" s="172">
        <f t="shared" si="154"/>
        <v>29.788879680000001</v>
      </c>
      <c r="O95" s="1316">
        <f t="shared" si="148"/>
        <v>20.333028239999997</v>
      </c>
      <c r="S95" s="95"/>
    </row>
    <row r="96" spans="1:19">
      <c r="A96" s="162">
        <v>4</v>
      </c>
      <c r="B96" s="163" t="s">
        <v>16</v>
      </c>
      <c r="C96" s="265"/>
      <c r="D96" s="265"/>
      <c r="E96" s="92">
        <f t="shared" ref="E96:J96" si="156">SUM(E93:E95)</f>
        <v>139.73064154696132</v>
      </c>
      <c r="F96" s="92">
        <f t="shared" si="156"/>
        <v>129.63257621999998</v>
      </c>
      <c r="G96" s="92">
        <f t="shared" si="156"/>
        <v>116.92705752000002</v>
      </c>
      <c r="H96" s="92">
        <f t="shared" si="156"/>
        <v>109.46325599999999</v>
      </c>
      <c r="I96" s="92">
        <f t="shared" si="156"/>
        <v>102.42076824000002</v>
      </c>
      <c r="J96" s="92">
        <f t="shared" si="156"/>
        <v>94.619725199999991</v>
      </c>
      <c r="K96" s="92">
        <f t="shared" ref="K96:L96" si="157">SUM(K93:K95)</f>
        <v>91.67419799999999</v>
      </c>
      <c r="L96" s="92">
        <f t="shared" si="157"/>
        <v>89.348628599999998</v>
      </c>
      <c r="M96" s="167">
        <f t="shared" si="153"/>
        <v>356.02288973999998</v>
      </c>
      <c r="N96" s="94">
        <f t="shared" si="154"/>
        <v>553.06338317999996</v>
      </c>
      <c r="O96" s="1316">
        <f t="shared" si="148"/>
        <v>378.06332004000001</v>
      </c>
      <c r="S96" s="95"/>
    </row>
    <row r="97" spans="1:19">
      <c r="A97" s="160">
        <v>5</v>
      </c>
      <c r="B97" s="154" t="s">
        <v>244</v>
      </c>
      <c r="C97" s="155"/>
      <c r="D97" s="155"/>
      <c r="E97" s="156">
        <f>E75*E86</f>
        <v>33.732232258064514</v>
      </c>
      <c r="F97" s="156">
        <f t="shared" ref="F97:J97" si="158">F75*F86</f>
        <v>29.971682999999999</v>
      </c>
      <c r="G97" s="156">
        <f t="shared" si="158"/>
        <v>26.142479999999999</v>
      </c>
      <c r="H97" s="156">
        <f t="shared" si="158"/>
        <v>24.495168599999996</v>
      </c>
      <c r="I97" s="156">
        <f t="shared" si="158"/>
        <v>23.203126800000003</v>
      </c>
      <c r="J97" s="156">
        <f t="shared" si="158"/>
        <v>22.020011999999998</v>
      </c>
      <c r="K97" s="156">
        <f t="shared" ref="K97:L97" si="159">K75*K86</f>
        <v>21.416724000000002</v>
      </c>
      <c r="L97" s="156">
        <f t="shared" si="159"/>
        <v>21.039669</v>
      </c>
      <c r="M97" s="166">
        <f t="shared" si="153"/>
        <v>80.60933159999999</v>
      </c>
      <c r="N97" s="172">
        <f t="shared" si="154"/>
        <v>125.83247039999999</v>
      </c>
      <c r="O97" s="1316">
        <f t="shared" si="148"/>
        <v>87.679531800000007</v>
      </c>
      <c r="S97" s="95"/>
    </row>
    <row r="98" spans="1:19">
      <c r="A98" s="160">
        <v>6</v>
      </c>
      <c r="B98" s="154" t="s">
        <v>246</v>
      </c>
      <c r="C98" s="155"/>
      <c r="D98" s="155"/>
      <c r="E98" s="156">
        <f t="shared" ref="E98:J98" si="160">E76*E87</f>
        <v>15.351820872865277</v>
      </c>
      <c r="F98" s="156">
        <f t="shared" si="160"/>
        <v>13.432154399999998</v>
      </c>
      <c r="G98" s="156">
        <f t="shared" si="160"/>
        <v>12.061526399999998</v>
      </c>
      <c r="H98" s="156">
        <f t="shared" si="160"/>
        <v>11.287924199999999</v>
      </c>
      <c r="I98" s="156">
        <f t="shared" si="160"/>
        <v>10.621749599999999</v>
      </c>
      <c r="J98" s="156">
        <f t="shared" si="160"/>
        <v>10.057445999999997</v>
      </c>
      <c r="K98" s="156">
        <f t="shared" ref="K98:L98" si="161">K76*K87</f>
        <v>9.8073989999999984</v>
      </c>
      <c r="L98" s="156">
        <f t="shared" si="161"/>
        <v>9.5851349999999975</v>
      </c>
      <c r="M98" s="166">
        <f t="shared" si="153"/>
        <v>36.781604999999999</v>
      </c>
      <c r="N98" s="172">
        <f t="shared" si="154"/>
        <v>57.460800599999999</v>
      </c>
      <c r="O98" s="1316">
        <f t="shared" si="148"/>
        <v>40.071729599999998</v>
      </c>
      <c r="S98" s="95"/>
    </row>
    <row r="99" spans="1:19">
      <c r="A99" s="160">
        <v>7</v>
      </c>
      <c r="B99" s="154" t="s">
        <v>247</v>
      </c>
      <c r="C99" s="155"/>
      <c r="D99" s="155"/>
      <c r="E99" s="156">
        <f t="shared" ref="E99:J99" si="162">E77*E88</f>
        <v>0.80414299810246681</v>
      </c>
      <c r="F99" s="156">
        <f t="shared" si="162"/>
        <v>0.60159456</v>
      </c>
      <c r="G99" s="156">
        <f t="shared" si="162"/>
        <v>0.48771072000000004</v>
      </c>
      <c r="H99" s="156">
        <f t="shared" si="162"/>
        <v>0.44770319999999997</v>
      </c>
      <c r="I99" s="156">
        <f t="shared" si="162"/>
        <v>0.38949119999999998</v>
      </c>
      <c r="J99" s="156">
        <f t="shared" si="162"/>
        <v>0.33339600000000003</v>
      </c>
      <c r="K99" s="156">
        <f t="shared" ref="K99:L99" si="163">K77*K88</f>
        <v>0.29529359999999999</v>
      </c>
      <c r="L99" s="156">
        <f t="shared" si="163"/>
        <v>0.25719119999999995</v>
      </c>
      <c r="M99" s="166">
        <f t="shared" si="153"/>
        <v>1.5370084799999999</v>
      </c>
      <c r="N99" s="172">
        <f t="shared" si="154"/>
        <v>2.2598956799999996</v>
      </c>
      <c r="O99" s="1316">
        <f t="shared" si="148"/>
        <v>1.275372</v>
      </c>
      <c r="S99" s="95"/>
    </row>
    <row r="100" spans="1:19">
      <c r="A100" s="162">
        <v>8</v>
      </c>
      <c r="B100" s="163" t="s">
        <v>17</v>
      </c>
      <c r="C100" s="265"/>
      <c r="D100" s="265"/>
      <c r="E100" s="92">
        <f t="shared" ref="E100:J100" si="164">SUM(E97:E99)</f>
        <v>49.888196129032252</v>
      </c>
      <c r="F100" s="92">
        <f t="shared" si="164"/>
        <v>44.005431960000003</v>
      </c>
      <c r="G100" s="92">
        <f t="shared" si="164"/>
        <v>38.69171712</v>
      </c>
      <c r="H100" s="92">
        <f t="shared" si="164"/>
        <v>36.230795999999991</v>
      </c>
      <c r="I100" s="92">
        <f t="shared" si="164"/>
        <v>34.214367600000003</v>
      </c>
      <c r="J100" s="92">
        <f t="shared" si="164"/>
        <v>32.410853999999993</v>
      </c>
      <c r="K100" s="92">
        <f t="shared" ref="K100:L100" si="165">SUM(K97:K99)</f>
        <v>31.5194166</v>
      </c>
      <c r="L100" s="92">
        <f t="shared" si="165"/>
        <v>30.881995199999999</v>
      </c>
      <c r="M100" s="167">
        <f t="shared" ref="M100:N100" si="166">SUM(M97:M98)</f>
        <v>117.39093659999999</v>
      </c>
      <c r="N100" s="93">
        <f t="shared" si="166"/>
        <v>183.293271</v>
      </c>
      <c r="O100" s="1316">
        <f t="shared" si="148"/>
        <v>129.02663340000001</v>
      </c>
      <c r="S100" s="95"/>
    </row>
    <row r="101" spans="1:19">
      <c r="A101" s="162">
        <v>9</v>
      </c>
      <c r="B101" s="163" t="s">
        <v>248</v>
      </c>
      <c r="C101" s="265"/>
      <c r="D101" s="265"/>
      <c r="E101" s="92">
        <f t="shared" ref="E101" si="167">SUM(E96,E100)</f>
        <v>189.61883767599357</v>
      </c>
      <c r="F101" s="92">
        <f t="shared" ref="F101" si="168">SUM(F96,F100)</f>
        <v>173.63800817999999</v>
      </c>
      <c r="G101" s="92">
        <f t="shared" ref="G101" si="169">SUM(G96,G100)</f>
        <v>155.61877464000003</v>
      </c>
      <c r="H101" s="92">
        <f t="shared" ref="H101" si="170">SUM(H96,H100)</f>
        <v>145.69405199999997</v>
      </c>
      <c r="I101" s="92">
        <f t="shared" ref="I101" si="171">SUM(I96,I100)</f>
        <v>136.63513584000003</v>
      </c>
      <c r="J101" s="92">
        <f t="shared" ref="J101:N101" si="172">SUM(J96,J100)</f>
        <v>127.03057919999998</v>
      </c>
      <c r="K101" s="92">
        <f t="shared" ref="K101:L101" si="173">SUM(K96,K100)</f>
        <v>123.19361459999999</v>
      </c>
      <c r="L101" s="92">
        <f t="shared" si="173"/>
        <v>120.23062379999999</v>
      </c>
      <c r="M101" s="167">
        <f t="shared" si="172"/>
        <v>473.41382633999996</v>
      </c>
      <c r="N101" s="93">
        <f t="shared" si="172"/>
        <v>736.35665417999996</v>
      </c>
      <c r="O101" s="1316">
        <f t="shared" si="148"/>
        <v>507.08995343999999</v>
      </c>
      <c r="S101" s="95"/>
    </row>
    <row r="102" spans="1:19">
      <c r="A102" s="162"/>
      <c r="B102" s="154"/>
      <c r="C102" s="154"/>
      <c r="D102" s="266"/>
      <c r="E102" s="266"/>
      <c r="F102" s="266"/>
      <c r="G102" s="266"/>
      <c r="H102" s="267"/>
      <c r="I102" s="267"/>
      <c r="J102" s="267"/>
      <c r="K102" s="267"/>
      <c r="L102" s="267"/>
      <c r="M102" s="168"/>
      <c r="N102" s="173"/>
      <c r="O102" s="1316">
        <f t="shared" si="148"/>
        <v>0</v>
      </c>
      <c r="S102" s="95"/>
    </row>
    <row r="103" spans="1:19" ht="15.75">
      <c r="A103" s="260" t="s">
        <v>744</v>
      </c>
      <c r="B103" s="268" t="s">
        <v>258</v>
      </c>
      <c r="C103" s="269"/>
      <c r="D103" s="269"/>
      <c r="E103" s="270"/>
      <c r="F103" s="270"/>
      <c r="G103" s="270"/>
      <c r="H103" s="271"/>
      <c r="I103" s="271"/>
      <c r="J103" s="271"/>
      <c r="K103" s="271"/>
      <c r="L103" s="271"/>
      <c r="M103" s="177"/>
      <c r="N103" s="178"/>
      <c r="O103" s="1316">
        <f t="shared" si="148"/>
        <v>0</v>
      </c>
      <c r="S103" s="95"/>
    </row>
    <row r="104" spans="1:19">
      <c r="A104" s="160">
        <v>1</v>
      </c>
      <c r="B104" s="154" t="s">
        <v>19</v>
      </c>
      <c r="C104" s="155"/>
      <c r="D104" s="155"/>
      <c r="E104" s="152">
        <v>0.125</v>
      </c>
      <c r="F104" s="152">
        <v>0.13</v>
      </c>
      <c r="G104" s="152">
        <v>0.13500000000000001</v>
      </c>
      <c r="H104" s="152">
        <v>0.14000000000000001</v>
      </c>
      <c r="I104" s="152">
        <v>0.14499999999999999</v>
      </c>
      <c r="J104" s="152">
        <v>0.15</v>
      </c>
      <c r="K104" s="152">
        <v>0.15</v>
      </c>
      <c r="L104" s="152">
        <v>0.15</v>
      </c>
      <c r="M104" s="169"/>
      <c r="N104" s="174"/>
      <c r="O104" s="1316"/>
      <c r="S104" s="95"/>
    </row>
    <row r="105" spans="1:19">
      <c r="A105" s="160">
        <v>2</v>
      </c>
      <c r="B105" s="154" t="s">
        <v>245</v>
      </c>
      <c r="C105" s="155"/>
      <c r="D105" s="155"/>
      <c r="E105" s="152">
        <f>E104</f>
        <v>0.125</v>
      </c>
      <c r="F105" s="152">
        <f t="shared" ref="F105:L105" si="174">F104</f>
        <v>0.13</v>
      </c>
      <c r="G105" s="152">
        <f t="shared" si="174"/>
        <v>0.13500000000000001</v>
      </c>
      <c r="H105" s="152">
        <f t="shared" si="174"/>
        <v>0.14000000000000001</v>
      </c>
      <c r="I105" s="152">
        <f t="shared" si="174"/>
        <v>0.14499999999999999</v>
      </c>
      <c r="J105" s="152">
        <f t="shared" si="174"/>
        <v>0.15</v>
      </c>
      <c r="K105" s="152">
        <f t="shared" si="174"/>
        <v>0.15</v>
      </c>
      <c r="L105" s="152">
        <f t="shared" si="174"/>
        <v>0.15</v>
      </c>
      <c r="M105" s="169"/>
      <c r="N105" s="174"/>
      <c r="O105" s="1316"/>
      <c r="S105" s="95"/>
    </row>
    <row r="106" spans="1:19">
      <c r="A106" s="160">
        <v>3</v>
      </c>
      <c r="B106" s="154" t="s">
        <v>20</v>
      </c>
      <c r="C106" s="155"/>
      <c r="D106" s="155"/>
      <c r="E106" s="152">
        <f>E104</f>
        <v>0.125</v>
      </c>
      <c r="F106" s="152">
        <f t="shared" ref="F106:L106" si="175">F104</f>
        <v>0.13</v>
      </c>
      <c r="G106" s="152">
        <f t="shared" si="175"/>
        <v>0.13500000000000001</v>
      </c>
      <c r="H106" s="152">
        <f t="shared" si="175"/>
        <v>0.14000000000000001</v>
      </c>
      <c r="I106" s="152">
        <f t="shared" si="175"/>
        <v>0.14499999999999999</v>
      </c>
      <c r="J106" s="152">
        <f t="shared" si="175"/>
        <v>0.15</v>
      </c>
      <c r="K106" s="152">
        <f t="shared" si="175"/>
        <v>0.15</v>
      </c>
      <c r="L106" s="152">
        <f t="shared" si="175"/>
        <v>0.15</v>
      </c>
      <c r="M106" s="169"/>
      <c r="N106" s="174"/>
      <c r="O106" s="1316"/>
      <c r="S106" s="95"/>
    </row>
    <row r="107" spans="1:19">
      <c r="A107" s="162">
        <v>4</v>
      </c>
      <c r="B107" s="163" t="s">
        <v>16</v>
      </c>
      <c r="C107" s="265"/>
      <c r="D107" s="265"/>
      <c r="E107" s="274">
        <f>E118/E74</f>
        <v>0.125</v>
      </c>
      <c r="F107" s="274">
        <f t="shared" ref="F107:L107" si="176">F118/F74</f>
        <v>0.13</v>
      </c>
      <c r="G107" s="274">
        <f t="shared" si="176"/>
        <v>0.13499999999999998</v>
      </c>
      <c r="H107" s="274">
        <f t="shared" si="176"/>
        <v>0.14000000000000001</v>
      </c>
      <c r="I107" s="274">
        <f t="shared" si="176"/>
        <v>0.14499999999999999</v>
      </c>
      <c r="J107" s="274">
        <f t="shared" si="176"/>
        <v>0.15</v>
      </c>
      <c r="K107" s="274">
        <f t="shared" si="176"/>
        <v>0.14999999999999997</v>
      </c>
      <c r="L107" s="274">
        <f t="shared" si="176"/>
        <v>0.15</v>
      </c>
      <c r="M107" s="170"/>
      <c r="N107" s="175"/>
      <c r="O107" s="1316"/>
      <c r="S107" s="95"/>
    </row>
    <row r="108" spans="1:19">
      <c r="A108" s="160">
        <v>5</v>
      </c>
      <c r="B108" s="154" t="s">
        <v>244</v>
      </c>
      <c r="C108" s="155"/>
      <c r="D108" s="155"/>
      <c r="E108" s="152">
        <v>0.38</v>
      </c>
      <c r="F108" s="152">
        <v>0.38400000000000001</v>
      </c>
      <c r="G108" s="152">
        <v>0.38800000000000001</v>
      </c>
      <c r="H108" s="152">
        <v>0.39200000000000002</v>
      </c>
      <c r="I108" s="152">
        <v>0.39600000000000002</v>
      </c>
      <c r="J108" s="152">
        <v>0.4</v>
      </c>
      <c r="K108" s="152">
        <v>0.4</v>
      </c>
      <c r="L108" s="152">
        <v>0.4</v>
      </c>
      <c r="M108" s="169"/>
      <c r="N108" s="174"/>
      <c r="O108" s="1316"/>
      <c r="S108" s="95"/>
    </row>
    <row r="109" spans="1:19">
      <c r="A109" s="160">
        <v>6</v>
      </c>
      <c r="B109" s="154" t="s">
        <v>246</v>
      </c>
      <c r="C109" s="155"/>
      <c r="D109" s="155"/>
      <c r="E109" s="152">
        <f>E108</f>
        <v>0.38</v>
      </c>
      <c r="F109" s="152">
        <f t="shared" ref="F109" si="177">F108</f>
        <v>0.38400000000000001</v>
      </c>
      <c r="G109" s="152">
        <f t="shared" ref="G109" si="178">G108</f>
        <v>0.38800000000000001</v>
      </c>
      <c r="H109" s="152">
        <f t="shared" ref="H109" si="179">H108</f>
        <v>0.39200000000000002</v>
      </c>
      <c r="I109" s="152">
        <f t="shared" ref="I109" si="180">I108</f>
        <v>0.39600000000000002</v>
      </c>
      <c r="J109" s="152">
        <f t="shared" ref="J109:L109" si="181">J108</f>
        <v>0.4</v>
      </c>
      <c r="K109" s="152">
        <f t="shared" si="181"/>
        <v>0.4</v>
      </c>
      <c r="L109" s="152">
        <f t="shared" si="181"/>
        <v>0.4</v>
      </c>
      <c r="M109" s="169"/>
      <c r="N109" s="174"/>
      <c r="O109" s="1316"/>
      <c r="S109" s="95"/>
    </row>
    <row r="110" spans="1:19">
      <c r="A110" s="160">
        <v>7</v>
      </c>
      <c r="B110" s="154" t="s">
        <v>247</v>
      </c>
      <c r="C110" s="155"/>
      <c r="D110" s="155"/>
      <c r="E110" s="152">
        <f>E108</f>
        <v>0.38</v>
      </c>
      <c r="F110" s="152">
        <f t="shared" ref="F110:L110" si="182">F108</f>
        <v>0.38400000000000001</v>
      </c>
      <c r="G110" s="152">
        <f t="shared" si="182"/>
        <v>0.38800000000000001</v>
      </c>
      <c r="H110" s="152">
        <f t="shared" si="182"/>
        <v>0.39200000000000002</v>
      </c>
      <c r="I110" s="152">
        <f t="shared" si="182"/>
        <v>0.39600000000000002</v>
      </c>
      <c r="J110" s="152">
        <f t="shared" si="182"/>
        <v>0.4</v>
      </c>
      <c r="K110" s="152">
        <f t="shared" si="182"/>
        <v>0.4</v>
      </c>
      <c r="L110" s="152">
        <f t="shared" si="182"/>
        <v>0.4</v>
      </c>
      <c r="M110" s="169"/>
      <c r="N110" s="174"/>
      <c r="O110" s="1316"/>
      <c r="S110" s="95"/>
    </row>
    <row r="111" spans="1:19">
      <c r="A111" s="162">
        <v>8</v>
      </c>
      <c r="B111" s="163" t="s">
        <v>17</v>
      </c>
      <c r="C111" s="265"/>
      <c r="D111" s="265"/>
      <c r="E111" s="274">
        <f>E122/E78</f>
        <v>0.38</v>
      </c>
      <c r="F111" s="274">
        <f t="shared" ref="F111:L111" si="183">F122/F78</f>
        <v>0.38400000000000001</v>
      </c>
      <c r="G111" s="274">
        <f t="shared" si="183"/>
        <v>0.38799999999999996</v>
      </c>
      <c r="H111" s="274">
        <f t="shared" si="183"/>
        <v>0.39199999999999996</v>
      </c>
      <c r="I111" s="274">
        <f t="shared" si="183"/>
        <v>0.39600000000000007</v>
      </c>
      <c r="J111" s="274">
        <f t="shared" si="183"/>
        <v>0.4</v>
      </c>
      <c r="K111" s="274">
        <f t="shared" si="183"/>
        <v>0.4</v>
      </c>
      <c r="L111" s="274">
        <f t="shared" si="183"/>
        <v>0.39999999999999997</v>
      </c>
      <c r="M111" s="170"/>
      <c r="N111" s="176"/>
      <c r="O111" s="1316"/>
      <c r="S111" s="95"/>
    </row>
    <row r="112" spans="1:19">
      <c r="A112" s="162">
        <v>9</v>
      </c>
      <c r="B112" s="163" t="s">
        <v>248</v>
      </c>
      <c r="C112" s="265"/>
      <c r="D112" s="265"/>
      <c r="E112" s="274">
        <f>E123/E79</f>
        <v>0.20261870373713667</v>
      </c>
      <c r="F112" s="274">
        <f t="shared" ref="F112:L112" si="184">F123/F79</f>
        <v>0.20413939915147344</v>
      </c>
      <c r="G112" s="274">
        <f t="shared" si="184"/>
        <v>0.20770941611531782</v>
      </c>
      <c r="H112" s="274">
        <f t="shared" si="184"/>
        <v>0.21263157894736842</v>
      </c>
      <c r="I112" s="274">
        <f t="shared" si="184"/>
        <v>0.2180248259492579</v>
      </c>
      <c r="J112" s="274">
        <f t="shared" si="184"/>
        <v>0.22377706785394205</v>
      </c>
      <c r="K112" s="274">
        <f t="shared" si="184"/>
        <v>0.22397147477216331</v>
      </c>
      <c r="L112" s="274">
        <f t="shared" si="184"/>
        <v>0.22424597509866639</v>
      </c>
      <c r="M112" s="170"/>
      <c r="N112" s="176"/>
      <c r="O112" s="1316"/>
      <c r="S112" s="95"/>
    </row>
    <row r="113" spans="1:19">
      <c r="A113" s="162"/>
      <c r="B113" s="154"/>
      <c r="C113" s="154"/>
      <c r="D113" s="266"/>
      <c r="E113" s="266"/>
      <c r="F113" s="266"/>
      <c r="G113" s="266"/>
      <c r="H113" s="267"/>
      <c r="I113" s="267"/>
      <c r="J113" s="267"/>
      <c r="K113" s="267"/>
      <c r="L113" s="267"/>
      <c r="M113" s="168"/>
      <c r="N113" s="173"/>
      <c r="O113" s="1316">
        <f t="shared" si="148"/>
        <v>0</v>
      </c>
      <c r="S113" s="95"/>
    </row>
    <row r="114" spans="1:19" ht="15.75">
      <c r="A114" s="260" t="s">
        <v>745</v>
      </c>
      <c r="B114" s="268" t="s">
        <v>259</v>
      </c>
      <c r="C114" s="269"/>
      <c r="D114" s="269"/>
      <c r="E114" s="270"/>
      <c r="F114" s="270"/>
      <c r="G114" s="270"/>
      <c r="H114" s="271"/>
      <c r="I114" s="271"/>
      <c r="J114" s="271"/>
      <c r="K114" s="271"/>
      <c r="L114" s="271"/>
      <c r="M114" s="177"/>
      <c r="N114" s="178"/>
      <c r="O114" s="1316">
        <f t="shared" si="148"/>
        <v>0</v>
      </c>
      <c r="S114" s="95"/>
    </row>
    <row r="115" spans="1:19">
      <c r="A115" s="160">
        <v>1</v>
      </c>
      <c r="B115" s="154" t="s">
        <v>19</v>
      </c>
      <c r="C115" s="155"/>
      <c r="D115" s="155"/>
      <c r="E115" s="156">
        <f>E71*E104</f>
        <v>93.216374999999999</v>
      </c>
      <c r="F115" s="156">
        <f t="shared" ref="F115:L115" si="185">F71*F104</f>
        <v>91.062971999999988</v>
      </c>
      <c r="G115" s="156">
        <f t="shared" si="185"/>
        <v>85.968540000000019</v>
      </c>
      <c r="H115" s="156">
        <f t="shared" si="185"/>
        <v>85.046850000000006</v>
      </c>
      <c r="I115" s="156">
        <f t="shared" si="185"/>
        <v>82.738435499999994</v>
      </c>
      <c r="J115" s="156">
        <f t="shared" si="185"/>
        <v>79.055864999999997</v>
      </c>
      <c r="K115" s="156">
        <f t="shared" si="185"/>
        <v>76.542164999999983</v>
      </c>
      <c r="L115" s="156">
        <f t="shared" si="185"/>
        <v>74.65688999999999</v>
      </c>
      <c r="M115" s="166">
        <f>SUM(F115:H115)</f>
        <v>262.07836200000003</v>
      </c>
      <c r="N115" s="172">
        <f>SUM(F115:J115)</f>
        <v>423.87266249999999</v>
      </c>
      <c r="O115" s="1316">
        <f t="shared" si="148"/>
        <v>312.99335549999995</v>
      </c>
      <c r="S115" s="95"/>
    </row>
    <row r="116" spans="1:19">
      <c r="A116" s="160">
        <v>2</v>
      </c>
      <c r="B116" s="154" t="s">
        <v>245</v>
      </c>
      <c r="C116" s="155"/>
      <c r="D116" s="155"/>
      <c r="E116" s="156">
        <f t="shared" ref="E116:L116" si="186">E72*E105</f>
        <v>43.063649999999996</v>
      </c>
      <c r="F116" s="156">
        <f t="shared" si="186"/>
        <v>42.819777000000002</v>
      </c>
      <c r="G116" s="156">
        <f t="shared" si="186"/>
        <v>41.674500000000002</v>
      </c>
      <c r="H116" s="156">
        <f t="shared" si="186"/>
        <v>41.100318000000001</v>
      </c>
      <c r="I116" s="156">
        <f t="shared" si="186"/>
        <v>41.672956499999998</v>
      </c>
      <c r="J116" s="156">
        <f t="shared" si="186"/>
        <v>43.017344999999992</v>
      </c>
      <c r="K116" s="156">
        <f t="shared" si="186"/>
        <v>41.720804999999991</v>
      </c>
      <c r="L116" s="156">
        <f t="shared" si="186"/>
        <v>40.609484999999999</v>
      </c>
      <c r="M116" s="166">
        <f t="shared" ref="M116:M121" si="187">SUM(F116:H116)</f>
        <v>125.59459500000001</v>
      </c>
      <c r="N116" s="172">
        <f t="shared" ref="N116:N121" si="188">SUM(F116:J116)</f>
        <v>210.2848965</v>
      </c>
      <c r="O116" s="1316">
        <f t="shared" si="148"/>
        <v>167.02059149999999</v>
      </c>
      <c r="S116" s="95"/>
    </row>
    <row r="117" spans="1:19">
      <c r="A117" s="160">
        <v>3</v>
      </c>
      <c r="B117" s="154" t="s">
        <v>20</v>
      </c>
      <c r="C117" s="155"/>
      <c r="D117" s="155"/>
      <c r="E117" s="156">
        <f t="shared" ref="E117:L117" si="189">E73*E106</f>
        <v>8.14968</v>
      </c>
      <c r="F117" s="156">
        <f t="shared" si="189"/>
        <v>7.7326703999999999</v>
      </c>
      <c r="G117" s="156">
        <f t="shared" si="189"/>
        <v>7.2727956000000002</v>
      </c>
      <c r="H117" s="156">
        <f t="shared" si="189"/>
        <v>7.1124480000000005</v>
      </c>
      <c r="I117" s="156">
        <f t="shared" si="189"/>
        <v>7.0134875999999995</v>
      </c>
      <c r="J117" s="156">
        <f t="shared" si="189"/>
        <v>6.9536879999999988</v>
      </c>
      <c r="K117" s="156">
        <f t="shared" si="189"/>
        <v>6.7473000000000001</v>
      </c>
      <c r="L117" s="156">
        <f t="shared" si="189"/>
        <v>6.5726639999999996</v>
      </c>
      <c r="M117" s="166">
        <f t="shared" si="187"/>
        <v>22.117913999999999</v>
      </c>
      <c r="N117" s="172">
        <f t="shared" si="188"/>
        <v>36.085089599999996</v>
      </c>
      <c r="O117" s="1316">
        <f t="shared" si="148"/>
        <v>27.287139599999996</v>
      </c>
      <c r="S117" s="95"/>
    </row>
    <row r="118" spans="1:19">
      <c r="A118" s="162">
        <v>4</v>
      </c>
      <c r="B118" s="163" t="s">
        <v>16</v>
      </c>
      <c r="C118" s="265"/>
      <c r="D118" s="265"/>
      <c r="E118" s="92">
        <f t="shared" ref="E118:L118" si="190">SUM(E115:E117)</f>
        <v>144.42970499999998</v>
      </c>
      <c r="F118" s="92">
        <f t="shared" si="190"/>
        <v>141.61541939999998</v>
      </c>
      <c r="G118" s="92">
        <f t="shared" si="190"/>
        <v>134.91583560000001</v>
      </c>
      <c r="H118" s="92">
        <f t="shared" si="190"/>
        <v>133.25961599999999</v>
      </c>
      <c r="I118" s="92">
        <f t="shared" si="190"/>
        <v>131.4248796</v>
      </c>
      <c r="J118" s="92">
        <f t="shared" si="190"/>
        <v>129.02689799999999</v>
      </c>
      <c r="K118" s="92">
        <f t="shared" si="190"/>
        <v>125.01026999999996</v>
      </c>
      <c r="L118" s="92">
        <f t="shared" si="190"/>
        <v>121.83903899999999</v>
      </c>
      <c r="M118" s="167">
        <f t="shared" si="187"/>
        <v>409.79087099999998</v>
      </c>
      <c r="N118" s="94">
        <f t="shared" si="188"/>
        <v>670.24264859999994</v>
      </c>
      <c r="O118" s="1316">
        <f t="shared" si="148"/>
        <v>507.30108659999996</v>
      </c>
      <c r="S118" s="95"/>
    </row>
    <row r="119" spans="1:19">
      <c r="A119" s="160">
        <v>5</v>
      </c>
      <c r="B119" s="154" t="s">
        <v>244</v>
      </c>
      <c r="C119" s="277"/>
      <c r="D119" s="155"/>
      <c r="E119" s="156">
        <f>E75*E108</f>
        <v>129.90801599999998</v>
      </c>
      <c r="F119" s="156">
        <f t="shared" ref="F119:L119" si="191">F75*F108</f>
        <v>117.44006399999999</v>
      </c>
      <c r="G119" s="156">
        <f t="shared" si="191"/>
        <v>105.65919</v>
      </c>
      <c r="H119" s="156">
        <f t="shared" si="191"/>
        <v>102.15006479999998</v>
      </c>
      <c r="I119" s="156">
        <f t="shared" si="191"/>
        <v>99.87432840000001</v>
      </c>
      <c r="J119" s="156">
        <f t="shared" si="191"/>
        <v>97.866720000000001</v>
      </c>
      <c r="K119" s="156">
        <f t="shared" si="191"/>
        <v>95.185440000000014</v>
      </c>
      <c r="L119" s="156">
        <f t="shared" si="191"/>
        <v>93.509640000000005</v>
      </c>
      <c r="M119" s="166">
        <f t="shared" si="187"/>
        <v>325.24931879999997</v>
      </c>
      <c r="N119" s="172">
        <f t="shared" si="188"/>
        <v>522.99036720000004</v>
      </c>
      <c r="O119" s="1316">
        <f t="shared" si="148"/>
        <v>386.43612840000003</v>
      </c>
      <c r="S119" s="95"/>
    </row>
    <row r="120" spans="1:19">
      <c r="A120" s="160">
        <v>6</v>
      </c>
      <c r="B120" s="154" t="s">
        <v>246</v>
      </c>
      <c r="C120" s="155"/>
      <c r="D120" s="155"/>
      <c r="E120" s="156">
        <f t="shared" ref="E120:L120" si="192">E76*E109</f>
        <v>59.122224000000003</v>
      </c>
      <c r="F120" s="156">
        <f t="shared" si="192"/>
        <v>52.632115199999994</v>
      </c>
      <c r="G120" s="156">
        <f t="shared" si="192"/>
        <v>48.748669199999995</v>
      </c>
      <c r="H120" s="156">
        <f t="shared" si="192"/>
        <v>47.073045599999993</v>
      </c>
      <c r="I120" s="156">
        <f t="shared" si="192"/>
        <v>45.719704800000002</v>
      </c>
      <c r="J120" s="156">
        <f t="shared" si="192"/>
        <v>44.699759999999998</v>
      </c>
      <c r="K120" s="156">
        <f t="shared" si="192"/>
        <v>43.588439999999999</v>
      </c>
      <c r="L120" s="156">
        <f t="shared" si="192"/>
        <v>42.600599999999993</v>
      </c>
      <c r="M120" s="166">
        <f t="shared" si="187"/>
        <v>148.45382999999998</v>
      </c>
      <c r="N120" s="172">
        <f t="shared" si="188"/>
        <v>238.87329479999997</v>
      </c>
      <c r="O120" s="1316">
        <f t="shared" si="148"/>
        <v>176.60850479999999</v>
      </c>
      <c r="S120" s="95"/>
    </row>
    <row r="121" spans="1:19">
      <c r="A121" s="160">
        <v>7</v>
      </c>
      <c r="B121" s="154" t="s">
        <v>247</v>
      </c>
      <c r="C121" s="155"/>
      <c r="D121" s="155"/>
      <c r="E121" s="156">
        <f t="shared" ref="E121:L121" si="193">E77*E110</f>
        <v>3.0968784</v>
      </c>
      <c r="F121" s="156">
        <f t="shared" si="193"/>
        <v>2.3572684800000001</v>
      </c>
      <c r="G121" s="156">
        <f t="shared" si="193"/>
        <v>1.9711641600000003</v>
      </c>
      <c r="H121" s="156">
        <f t="shared" si="193"/>
        <v>1.8670175999999998</v>
      </c>
      <c r="I121" s="156">
        <f t="shared" si="193"/>
        <v>1.6765056</v>
      </c>
      <c r="J121" s="156">
        <f t="shared" si="193"/>
        <v>1.4817600000000002</v>
      </c>
      <c r="K121" s="156">
        <f t="shared" si="193"/>
        <v>1.312416</v>
      </c>
      <c r="L121" s="156">
        <f t="shared" si="193"/>
        <v>1.1430719999999999</v>
      </c>
      <c r="M121" s="166">
        <f t="shared" si="187"/>
        <v>6.1954502400000004</v>
      </c>
      <c r="N121" s="172">
        <f t="shared" si="188"/>
        <v>9.3537158399999996</v>
      </c>
      <c r="O121" s="1316">
        <f t="shared" si="148"/>
        <v>5.6137535999999999</v>
      </c>
      <c r="S121" s="95"/>
    </row>
    <row r="122" spans="1:19">
      <c r="A122" s="162">
        <v>8</v>
      </c>
      <c r="B122" s="163" t="s">
        <v>17</v>
      </c>
      <c r="C122" s="265"/>
      <c r="D122" s="265"/>
      <c r="E122" s="92">
        <f t="shared" ref="E122:L122" si="194">SUM(E119:E121)</f>
        <v>192.1271184</v>
      </c>
      <c r="F122" s="92">
        <f t="shared" si="194"/>
        <v>172.42944767999998</v>
      </c>
      <c r="G122" s="92">
        <f t="shared" si="194"/>
        <v>156.37902335999999</v>
      </c>
      <c r="H122" s="92">
        <f t="shared" si="194"/>
        <v>151.09012799999996</v>
      </c>
      <c r="I122" s="92">
        <f t="shared" si="194"/>
        <v>147.27053880000003</v>
      </c>
      <c r="J122" s="92">
        <f t="shared" si="194"/>
        <v>144.04824000000002</v>
      </c>
      <c r="K122" s="92">
        <f t="shared" si="194"/>
        <v>140.08629600000003</v>
      </c>
      <c r="L122" s="92">
        <f t="shared" si="194"/>
        <v>137.25331199999999</v>
      </c>
      <c r="M122" s="167">
        <f t="shared" ref="M122:N122" si="195">SUM(M119:M120)</f>
        <v>473.70314879999995</v>
      </c>
      <c r="N122" s="93">
        <f t="shared" si="195"/>
        <v>761.86366199999998</v>
      </c>
      <c r="O122" s="1316">
        <f t="shared" si="148"/>
        <v>568.65838680000002</v>
      </c>
      <c r="S122" s="95"/>
    </row>
    <row r="123" spans="1:19">
      <c r="A123" s="162">
        <v>9</v>
      </c>
      <c r="B123" s="163" t="s">
        <v>248</v>
      </c>
      <c r="C123" s="265"/>
      <c r="D123" s="265"/>
      <c r="E123" s="92">
        <f t="shared" ref="E123" si="196">SUM(E118,E122)</f>
        <v>336.55682339999998</v>
      </c>
      <c r="F123" s="92">
        <f t="shared" ref="F123" si="197">SUM(F118,F122)</f>
        <v>314.04486707999996</v>
      </c>
      <c r="G123" s="92">
        <f t="shared" ref="G123" si="198">SUM(G118,G122)</f>
        <v>291.29485896</v>
      </c>
      <c r="H123" s="92">
        <f t="shared" ref="H123" si="199">SUM(H118,H122)</f>
        <v>284.34974399999999</v>
      </c>
      <c r="I123" s="92">
        <f t="shared" ref="I123" si="200">SUM(I118,I122)</f>
        <v>278.69541839999999</v>
      </c>
      <c r="J123" s="92">
        <f t="shared" ref="J123:N123" si="201">SUM(J118,J122)</f>
        <v>273.07513800000004</v>
      </c>
      <c r="K123" s="92">
        <f t="shared" si="201"/>
        <v>265.096566</v>
      </c>
      <c r="L123" s="92">
        <f t="shared" si="201"/>
        <v>259.09235100000001</v>
      </c>
      <c r="M123" s="167">
        <f t="shared" si="201"/>
        <v>883.49401979999993</v>
      </c>
      <c r="N123" s="93">
        <f t="shared" si="201"/>
        <v>1432.1063105999999</v>
      </c>
      <c r="O123" s="1316">
        <f t="shared" si="148"/>
        <v>1075.9594734</v>
      </c>
      <c r="S123" s="95"/>
    </row>
    <row r="124" spans="1:19">
      <c r="A124" s="162"/>
      <c r="B124" s="154"/>
      <c r="C124" s="154"/>
      <c r="D124" s="266"/>
      <c r="E124" s="266"/>
      <c r="F124" s="266"/>
      <c r="G124" s="266"/>
      <c r="H124" s="267"/>
      <c r="I124" s="267"/>
      <c r="J124" s="267"/>
      <c r="K124" s="267"/>
      <c r="L124" s="267"/>
      <c r="M124" s="168"/>
      <c r="N124" s="173"/>
      <c r="O124" s="1316">
        <f t="shared" si="148"/>
        <v>0</v>
      </c>
      <c r="S124" s="95"/>
    </row>
    <row r="125" spans="1:19" ht="15.75">
      <c r="A125" s="260" t="s">
        <v>746</v>
      </c>
      <c r="B125" s="268" t="s">
        <v>265</v>
      </c>
      <c r="C125" s="269"/>
      <c r="D125" s="269"/>
      <c r="E125" s="270"/>
      <c r="F125" s="270"/>
      <c r="G125" s="270"/>
      <c r="H125" s="271"/>
      <c r="I125" s="271"/>
      <c r="J125" s="271"/>
      <c r="K125" s="271"/>
      <c r="L125" s="271"/>
      <c r="M125" s="177"/>
      <c r="N125" s="178"/>
      <c r="O125" s="1316">
        <f t="shared" si="148"/>
        <v>0</v>
      </c>
      <c r="S125" s="95"/>
    </row>
    <row r="126" spans="1:19">
      <c r="A126" s="160">
        <v>1</v>
      </c>
      <c r="B126" s="154" t="s">
        <v>262</v>
      </c>
      <c r="C126" s="155"/>
      <c r="D126" s="155"/>
      <c r="E126" s="152">
        <f>'DST-2 (2013)'!G20</f>
        <v>0.26704545454545453</v>
      </c>
      <c r="F126" s="152">
        <v>0.27500000000000002</v>
      </c>
      <c r="G126" s="152">
        <v>0.28499999999999998</v>
      </c>
      <c r="H126" s="152">
        <v>0.28999999999999998</v>
      </c>
      <c r="I126" s="152">
        <v>0.29499999999999998</v>
      </c>
      <c r="J126" s="152">
        <v>0.3</v>
      </c>
      <c r="K126" s="152">
        <v>0.3</v>
      </c>
      <c r="L126" s="152">
        <v>0.3</v>
      </c>
      <c r="M126" s="170"/>
      <c r="N126" s="175"/>
      <c r="O126" s="1316"/>
      <c r="S126" s="95"/>
    </row>
    <row r="127" spans="1:19">
      <c r="A127" s="160">
        <v>2</v>
      </c>
      <c r="B127" s="154" t="s">
        <v>263</v>
      </c>
      <c r="C127" s="155"/>
      <c r="D127" s="155"/>
      <c r="E127" s="152">
        <f>'DST-2 (2013)'!H20</f>
        <v>0.28054298642533937</v>
      </c>
      <c r="F127" s="152">
        <v>0.28999999999999998</v>
      </c>
      <c r="G127" s="152">
        <v>0.3</v>
      </c>
      <c r="H127" s="152">
        <v>0.31</v>
      </c>
      <c r="I127" s="152">
        <v>0.315</v>
      </c>
      <c r="J127" s="152">
        <v>0.32</v>
      </c>
      <c r="K127" s="152">
        <v>0.32</v>
      </c>
      <c r="L127" s="152">
        <v>0.32</v>
      </c>
      <c r="M127" s="170"/>
      <c r="N127" s="176"/>
      <c r="O127" s="1316"/>
      <c r="S127" s="95"/>
    </row>
    <row r="128" spans="1:19">
      <c r="A128" s="162">
        <v>3</v>
      </c>
      <c r="B128" s="163" t="s">
        <v>261</v>
      </c>
      <c r="C128" s="265"/>
      <c r="D128" s="265"/>
      <c r="E128" s="274">
        <f>E133/E123</f>
        <v>0.27475066723256242</v>
      </c>
      <c r="F128" s="274">
        <f t="shared" ref="F128:L128" si="202">F133/F123</f>
        <v>0.28323589870851523</v>
      </c>
      <c r="G128" s="274">
        <f t="shared" si="202"/>
        <v>0.29305261499902441</v>
      </c>
      <c r="H128" s="274">
        <f t="shared" si="202"/>
        <v>0.3006270627062706</v>
      </c>
      <c r="I128" s="274">
        <f t="shared" si="202"/>
        <v>0.3055685654716167</v>
      </c>
      <c r="J128" s="274">
        <f t="shared" si="202"/>
        <v>0.31055008090850067</v>
      </c>
      <c r="K128" s="274">
        <f t="shared" si="202"/>
        <v>0.31056869940744536</v>
      </c>
      <c r="L128" s="274">
        <f t="shared" si="202"/>
        <v>0.31059493354166984</v>
      </c>
      <c r="M128" s="170"/>
      <c r="N128" s="176"/>
      <c r="O128" s="1316"/>
      <c r="S128" s="95"/>
    </row>
    <row r="129" spans="1:19">
      <c r="A129" s="162"/>
      <c r="B129" s="154"/>
      <c r="C129" s="154"/>
      <c r="D129" s="266"/>
      <c r="E129" s="266"/>
      <c r="F129" s="266"/>
      <c r="G129" s="266"/>
      <c r="H129" s="267"/>
      <c r="I129" s="267"/>
      <c r="J129" s="267"/>
      <c r="K129" s="267"/>
      <c r="L129" s="267"/>
      <c r="M129" s="168"/>
      <c r="N129" s="173"/>
      <c r="O129" s="1316">
        <f t="shared" si="148"/>
        <v>0</v>
      </c>
      <c r="S129" s="95"/>
    </row>
    <row r="130" spans="1:19" ht="15.75">
      <c r="A130" s="260" t="s">
        <v>747</v>
      </c>
      <c r="B130" s="268" t="s">
        <v>266</v>
      </c>
      <c r="C130" s="269"/>
      <c r="D130" s="269"/>
      <c r="E130" s="270"/>
      <c r="F130" s="270"/>
      <c r="G130" s="270"/>
      <c r="H130" s="271"/>
      <c r="I130" s="271"/>
      <c r="J130" s="271"/>
      <c r="K130" s="271"/>
      <c r="L130" s="271"/>
      <c r="M130" s="177"/>
      <c r="N130" s="178"/>
      <c r="O130" s="1316">
        <f t="shared" si="148"/>
        <v>0</v>
      </c>
      <c r="S130" s="95"/>
    </row>
    <row r="131" spans="1:19">
      <c r="A131" s="160">
        <v>1</v>
      </c>
      <c r="B131" s="154" t="s">
        <v>262</v>
      </c>
      <c r="C131" s="155"/>
      <c r="D131" s="155"/>
      <c r="E131" s="156">
        <f>E118*E126</f>
        <v>38.569296221590903</v>
      </c>
      <c r="F131" s="156">
        <f t="shared" ref="F131:L131" si="203">F118*F126</f>
        <v>38.944240334999996</v>
      </c>
      <c r="G131" s="156">
        <f t="shared" si="203"/>
        <v>38.451013146000001</v>
      </c>
      <c r="H131" s="156">
        <f t="shared" si="203"/>
        <v>38.645288639999997</v>
      </c>
      <c r="I131" s="156">
        <f t="shared" si="203"/>
        <v>38.770339481999997</v>
      </c>
      <c r="J131" s="156">
        <f t="shared" si="203"/>
        <v>38.708069399999992</v>
      </c>
      <c r="K131" s="156">
        <f t="shared" si="203"/>
        <v>37.503080999999987</v>
      </c>
      <c r="L131" s="156">
        <f t="shared" si="203"/>
        <v>36.551711699999991</v>
      </c>
      <c r="M131" s="166">
        <f t="shared" ref="M131:M133" si="204">SUM(F131:H131)</f>
        <v>116.04054212099999</v>
      </c>
      <c r="N131" s="172">
        <f t="shared" ref="N131:N133" si="205">SUM(F131:J131)</f>
        <v>193.51895100299998</v>
      </c>
      <c r="O131" s="1316">
        <f t="shared" si="148"/>
        <v>151.53320158199998</v>
      </c>
      <c r="S131" s="95"/>
    </row>
    <row r="132" spans="1:19">
      <c r="A132" s="160">
        <v>2</v>
      </c>
      <c r="B132" s="154" t="s">
        <v>263</v>
      </c>
      <c r="C132" s="155"/>
      <c r="D132" s="155"/>
      <c r="E132" s="156">
        <f>E122*E127</f>
        <v>53.899915569230771</v>
      </c>
      <c r="F132" s="156">
        <f t="shared" ref="F132:L132" si="206">F122*F127</f>
        <v>50.004539827199991</v>
      </c>
      <c r="G132" s="156">
        <f t="shared" si="206"/>
        <v>46.913707007999996</v>
      </c>
      <c r="H132" s="156">
        <f t="shared" si="206"/>
        <v>46.837939679999991</v>
      </c>
      <c r="I132" s="156">
        <f t="shared" si="206"/>
        <v>46.390219722000012</v>
      </c>
      <c r="J132" s="156">
        <f t="shared" si="206"/>
        <v>46.095436800000009</v>
      </c>
      <c r="K132" s="156">
        <f t="shared" si="206"/>
        <v>44.827614720000014</v>
      </c>
      <c r="L132" s="156">
        <f t="shared" si="206"/>
        <v>43.921059839999998</v>
      </c>
      <c r="M132" s="166">
        <f t="shared" si="204"/>
        <v>143.7561865152</v>
      </c>
      <c r="N132" s="172">
        <f t="shared" si="205"/>
        <v>236.24184303720003</v>
      </c>
      <c r="O132" s="1316">
        <f t="shared" si="148"/>
        <v>181.23433108200004</v>
      </c>
      <c r="S132" s="95"/>
    </row>
    <row r="133" spans="1:19">
      <c r="A133" s="162">
        <v>3</v>
      </c>
      <c r="B133" s="163" t="s">
        <v>261</v>
      </c>
      <c r="C133" s="265"/>
      <c r="D133" s="265"/>
      <c r="E133" s="278">
        <f>SUM(E131:E132)</f>
        <v>92.469211790821674</v>
      </c>
      <c r="F133" s="278">
        <f t="shared" ref="F133" si="207">SUM(F131:F132)</f>
        <v>88.948780162199995</v>
      </c>
      <c r="G133" s="278">
        <f t="shared" ref="G133" si="208">SUM(G131:G132)</f>
        <v>85.364720153999997</v>
      </c>
      <c r="H133" s="278">
        <f t="shared" ref="H133" si="209">SUM(H131:H132)</f>
        <v>85.483228319999995</v>
      </c>
      <c r="I133" s="278">
        <f t="shared" ref="I133" si="210">SUM(I131:I132)</f>
        <v>85.160559204000009</v>
      </c>
      <c r="J133" s="278">
        <f t="shared" ref="J133:L133" si="211">SUM(J131:J132)</f>
        <v>84.803506200000001</v>
      </c>
      <c r="K133" s="278">
        <f t="shared" si="211"/>
        <v>82.330695719999994</v>
      </c>
      <c r="L133" s="278">
        <f t="shared" si="211"/>
        <v>80.472771539999997</v>
      </c>
      <c r="M133" s="167">
        <f t="shared" si="204"/>
        <v>259.79672863619999</v>
      </c>
      <c r="N133" s="94">
        <f t="shared" si="205"/>
        <v>429.76079404020004</v>
      </c>
      <c r="O133" s="1316">
        <f t="shared" si="148"/>
        <v>332.76753266399999</v>
      </c>
      <c r="S133" s="95"/>
    </row>
    <row r="134" spans="1:19">
      <c r="A134" s="162"/>
      <c r="B134" s="154"/>
      <c r="C134" s="154"/>
      <c r="D134" s="266"/>
      <c r="E134" s="266"/>
      <c r="F134" s="266"/>
      <c r="G134" s="266"/>
      <c r="H134" s="267"/>
      <c r="I134" s="267"/>
      <c r="J134" s="267"/>
      <c r="K134" s="267"/>
      <c r="L134" s="267"/>
      <c r="M134" s="168"/>
      <c r="N134" s="173"/>
      <c r="O134" s="1316">
        <f t="shared" si="148"/>
        <v>0</v>
      </c>
      <c r="S134" s="95"/>
    </row>
    <row r="135" spans="1:19" ht="15.75">
      <c r="A135" s="260" t="s">
        <v>748</v>
      </c>
      <c r="B135" s="268" t="s">
        <v>260</v>
      </c>
      <c r="C135" s="269"/>
      <c r="D135" s="269"/>
      <c r="E135" s="270"/>
      <c r="F135" s="270"/>
      <c r="G135" s="270"/>
      <c r="H135" s="271"/>
      <c r="I135" s="271"/>
      <c r="J135" s="271"/>
      <c r="K135" s="271"/>
      <c r="L135" s="271"/>
      <c r="M135" s="177"/>
      <c r="N135" s="178"/>
      <c r="O135" s="1316">
        <f t="shared" si="148"/>
        <v>0</v>
      </c>
      <c r="S135" s="95"/>
    </row>
    <row r="136" spans="1:19">
      <c r="A136" s="160">
        <v>1</v>
      </c>
      <c r="B136" s="154" t="s">
        <v>262</v>
      </c>
      <c r="C136" s="155"/>
      <c r="D136" s="155"/>
      <c r="E136" s="152">
        <f>'DST-2 (2013)'!G23</f>
        <v>4.5454545454545456E-2</v>
      </c>
      <c r="F136" s="152">
        <v>5.5E-2</v>
      </c>
      <c r="G136" s="152">
        <v>6.5000000000000002E-2</v>
      </c>
      <c r="H136" s="152">
        <v>7.0000000000000007E-2</v>
      </c>
      <c r="I136" s="152">
        <v>7.4999999999999997E-2</v>
      </c>
      <c r="J136" s="152">
        <v>0.08</v>
      </c>
      <c r="K136" s="152">
        <v>0.08</v>
      </c>
      <c r="L136" s="152">
        <v>0.08</v>
      </c>
      <c r="M136" s="170"/>
      <c r="N136" s="175"/>
      <c r="O136" s="1316"/>
      <c r="S136" s="95"/>
    </row>
    <row r="137" spans="1:19">
      <c r="A137" s="160">
        <v>2</v>
      </c>
      <c r="B137" s="154" t="s">
        <v>263</v>
      </c>
      <c r="C137" s="155"/>
      <c r="D137" s="155"/>
      <c r="E137" s="152">
        <f>'DST-2 (2013)'!H23</f>
        <v>8.5972850678733032E-2</v>
      </c>
      <c r="F137" s="152">
        <v>0.1</v>
      </c>
      <c r="G137" s="152">
        <v>0.11</v>
      </c>
      <c r="H137" s="152">
        <v>0.115</v>
      </c>
      <c r="I137" s="152">
        <v>0.12</v>
      </c>
      <c r="J137" s="152">
        <v>0.125</v>
      </c>
      <c r="K137" s="152">
        <v>0.125</v>
      </c>
      <c r="L137" s="152">
        <v>0.125</v>
      </c>
      <c r="M137" s="170"/>
      <c r="N137" s="176"/>
      <c r="O137" s="1316"/>
      <c r="S137" s="95"/>
    </row>
    <row r="138" spans="1:19">
      <c r="A138" s="162">
        <v>3</v>
      </c>
      <c r="B138" s="163" t="s">
        <v>261</v>
      </c>
      <c r="C138" s="265"/>
      <c r="D138" s="265"/>
      <c r="E138" s="274">
        <f>E143/E123</f>
        <v>6.8584860111463586E-2</v>
      </c>
      <c r="F138" s="274">
        <f t="shared" ref="F138:L138" si="212">F143/F123</f>
        <v>7.970769612554561E-2</v>
      </c>
      <c r="G138" s="274">
        <f t="shared" si="212"/>
        <v>8.9157844997073271E-2</v>
      </c>
      <c r="H138" s="274">
        <f t="shared" si="212"/>
        <v>9.3910891089108897E-2</v>
      </c>
      <c r="I138" s="274">
        <f t="shared" si="212"/>
        <v>9.877927231113752E-2</v>
      </c>
      <c r="J138" s="274">
        <f t="shared" si="212"/>
        <v>0.10373768204412662</v>
      </c>
      <c r="K138" s="274">
        <f t="shared" si="212"/>
        <v>0.10377957366675207</v>
      </c>
      <c r="L138" s="274">
        <f t="shared" si="212"/>
        <v>0.10383860046875716</v>
      </c>
      <c r="M138" s="170"/>
      <c r="N138" s="176"/>
      <c r="O138" s="1316"/>
      <c r="S138" s="95"/>
    </row>
    <row r="139" spans="1:19">
      <c r="A139" s="162"/>
      <c r="B139" s="154"/>
      <c r="C139" s="154"/>
      <c r="D139" s="266"/>
      <c r="E139" s="266"/>
      <c r="F139" s="266"/>
      <c r="G139" s="266"/>
      <c r="H139" s="267"/>
      <c r="I139" s="267"/>
      <c r="J139" s="267"/>
      <c r="K139" s="267"/>
      <c r="L139" s="267"/>
      <c r="M139" s="168"/>
      <c r="N139" s="173"/>
      <c r="O139" s="1316"/>
      <c r="S139" s="95"/>
    </row>
    <row r="140" spans="1:19" ht="15.75">
      <c r="A140" s="260" t="s">
        <v>749</v>
      </c>
      <c r="B140" s="268" t="s">
        <v>264</v>
      </c>
      <c r="C140" s="269"/>
      <c r="D140" s="269"/>
      <c r="E140" s="270"/>
      <c r="F140" s="270"/>
      <c r="G140" s="270"/>
      <c r="H140" s="271"/>
      <c r="I140" s="271"/>
      <c r="J140" s="271"/>
      <c r="K140" s="271"/>
      <c r="L140" s="271"/>
      <c r="M140" s="177"/>
      <c r="N140" s="178"/>
      <c r="O140" s="1316">
        <f t="shared" si="148"/>
        <v>0</v>
      </c>
      <c r="S140" s="95"/>
    </row>
    <row r="141" spans="1:19">
      <c r="A141" s="160">
        <v>1</v>
      </c>
      <c r="B141" s="154" t="s">
        <v>262</v>
      </c>
      <c r="C141" s="155"/>
      <c r="D141" s="155"/>
      <c r="E141" s="156">
        <f>E118*E136</f>
        <v>6.5649865909090908</v>
      </c>
      <c r="F141" s="156">
        <f t="shared" ref="F141:L141" si="213">F118*F136</f>
        <v>7.7888480669999991</v>
      </c>
      <c r="G141" s="156">
        <f t="shared" si="213"/>
        <v>8.7695293140000015</v>
      </c>
      <c r="H141" s="156">
        <f t="shared" si="213"/>
        <v>9.3281731200000007</v>
      </c>
      <c r="I141" s="156">
        <f t="shared" si="213"/>
        <v>9.8568659699999994</v>
      </c>
      <c r="J141" s="156">
        <f t="shared" si="213"/>
        <v>10.32215184</v>
      </c>
      <c r="K141" s="156">
        <f t="shared" si="213"/>
        <v>10.000821599999997</v>
      </c>
      <c r="L141" s="156">
        <f t="shared" si="213"/>
        <v>9.7471231199999995</v>
      </c>
      <c r="M141" s="166">
        <f t="shared" ref="M141:M143" si="214">SUM(F141:H141)</f>
        <v>25.886550501000002</v>
      </c>
      <c r="N141" s="172">
        <f t="shared" ref="N141:N143" si="215">SUM(F141:J141)</f>
        <v>46.065568311000007</v>
      </c>
      <c r="O141" s="1316">
        <f t="shared" si="148"/>
        <v>39.92696252999999</v>
      </c>
      <c r="S141" s="95"/>
    </row>
    <row r="142" spans="1:19">
      <c r="A142" s="160">
        <v>2</v>
      </c>
      <c r="B142" s="154" t="s">
        <v>263</v>
      </c>
      <c r="C142" s="155"/>
      <c r="D142" s="155"/>
      <c r="E142" s="156">
        <f>E122*E137</f>
        <v>16.517716061538462</v>
      </c>
      <c r="F142" s="156">
        <f t="shared" ref="F142:L142" si="216">F122*F137</f>
        <v>17.242944767999997</v>
      </c>
      <c r="G142" s="156">
        <f t="shared" si="216"/>
        <v>17.201692569599999</v>
      </c>
      <c r="H142" s="156">
        <f t="shared" si="216"/>
        <v>17.375364719999997</v>
      </c>
      <c r="I142" s="156">
        <f t="shared" si="216"/>
        <v>17.672464656000002</v>
      </c>
      <c r="J142" s="156">
        <f t="shared" si="216"/>
        <v>18.006030000000003</v>
      </c>
      <c r="K142" s="156">
        <f t="shared" si="216"/>
        <v>17.510787000000004</v>
      </c>
      <c r="L142" s="156">
        <f t="shared" si="216"/>
        <v>17.156663999999999</v>
      </c>
      <c r="M142" s="166">
        <f t="shared" si="214"/>
        <v>51.820002057599993</v>
      </c>
      <c r="N142" s="172">
        <f t="shared" si="215"/>
        <v>87.498496713599991</v>
      </c>
      <c r="O142" s="1316">
        <f t="shared" si="148"/>
        <v>70.345945655999998</v>
      </c>
      <c r="S142" s="95"/>
    </row>
    <row r="143" spans="1:19">
      <c r="A143" s="162">
        <v>3</v>
      </c>
      <c r="B143" s="163" t="s">
        <v>261</v>
      </c>
      <c r="C143" s="265"/>
      <c r="D143" s="265"/>
      <c r="E143" s="278">
        <f>SUM(E141:E142)</f>
        <v>23.082702652447551</v>
      </c>
      <c r="F143" s="278">
        <f t="shared" ref="F143:L143" si="217">SUM(F141:F142)</f>
        <v>25.031792834999997</v>
      </c>
      <c r="G143" s="278">
        <f t="shared" si="217"/>
        <v>25.971221883600002</v>
      </c>
      <c r="H143" s="278">
        <f t="shared" si="217"/>
        <v>26.703537839999996</v>
      </c>
      <c r="I143" s="278">
        <f t="shared" si="217"/>
        <v>27.529330626000004</v>
      </c>
      <c r="J143" s="278">
        <f t="shared" si="217"/>
        <v>28.328181840000003</v>
      </c>
      <c r="K143" s="278">
        <f t="shared" si="217"/>
        <v>27.511608600000002</v>
      </c>
      <c r="L143" s="278">
        <f t="shared" si="217"/>
        <v>26.903787119999997</v>
      </c>
      <c r="M143" s="167">
        <f t="shared" si="214"/>
        <v>77.706552558599995</v>
      </c>
      <c r="N143" s="94">
        <f t="shared" si="215"/>
        <v>133.56406502460001</v>
      </c>
      <c r="O143" s="1316">
        <f t="shared" si="148"/>
        <v>110.272908186</v>
      </c>
      <c r="S143" s="95"/>
    </row>
    <row r="144" spans="1:19">
      <c r="A144" s="162"/>
      <c r="B144" s="154"/>
      <c r="C144" s="154"/>
      <c r="D144" s="266"/>
      <c r="E144" s="266"/>
      <c r="F144" s="266"/>
      <c r="G144" s="266"/>
      <c r="H144" s="267"/>
      <c r="I144" s="267"/>
      <c r="J144" s="267"/>
      <c r="K144" s="267"/>
      <c r="L144" s="267"/>
      <c r="M144" s="168"/>
      <c r="N144" s="173"/>
      <c r="O144" s="1316">
        <f t="shared" si="148"/>
        <v>0</v>
      </c>
      <c r="S144" s="95"/>
    </row>
    <row r="145" spans="1:30" ht="15.75">
      <c r="A145" s="260" t="s">
        <v>750</v>
      </c>
      <c r="B145" s="268" t="s">
        <v>269</v>
      </c>
      <c r="C145" s="269"/>
      <c r="D145" s="269"/>
      <c r="E145" s="270"/>
      <c r="F145" s="270"/>
      <c r="G145" s="270"/>
      <c r="H145" s="271"/>
      <c r="I145" s="271"/>
      <c r="J145" s="271"/>
      <c r="K145" s="271"/>
      <c r="L145" s="271"/>
      <c r="M145" s="177"/>
      <c r="N145" s="178"/>
      <c r="O145" s="1316">
        <f t="shared" si="148"/>
        <v>0</v>
      </c>
      <c r="S145" s="95"/>
    </row>
    <row r="146" spans="1:30">
      <c r="A146" s="160">
        <v>1</v>
      </c>
      <c r="B146" s="154" t="s">
        <v>270</v>
      </c>
      <c r="C146" s="155"/>
      <c r="D146" s="155"/>
      <c r="E146" s="156">
        <f>E13-SUM(E147:E150)</f>
        <v>3084.8243389240065</v>
      </c>
      <c r="F146" s="156">
        <f t="shared" ref="F146:L146" si="218">F13-SUM(F147:F150)</f>
        <v>2844.3171247400001</v>
      </c>
      <c r="G146" s="156">
        <f t="shared" si="218"/>
        <v>2602.0863663999999</v>
      </c>
      <c r="H146" s="156">
        <f t="shared" si="218"/>
        <v>2470.9562040000001</v>
      </c>
      <c r="I146" s="156">
        <f t="shared" si="218"/>
        <v>2368.6694457600001</v>
      </c>
      <c r="J146" s="156">
        <f t="shared" si="218"/>
        <v>2284.8942827999999</v>
      </c>
      <c r="K146" s="156">
        <f t="shared" si="218"/>
        <v>2214.7098194</v>
      </c>
      <c r="L146" s="156">
        <f t="shared" si="218"/>
        <v>2156.6770252000001</v>
      </c>
      <c r="M146" s="166">
        <f t="shared" ref="M146:M148" si="219">SUM(F146:H146)</f>
        <v>7917.3596951399995</v>
      </c>
      <c r="N146" s="172">
        <f t="shared" ref="N146:N148" si="220">SUM(F146:J146)</f>
        <v>12570.9234237</v>
      </c>
      <c r="O146" s="1316">
        <f t="shared" si="148"/>
        <v>9024.9505731600002</v>
      </c>
      <c r="S146" s="95"/>
    </row>
    <row r="147" spans="1:30">
      <c r="A147" s="160">
        <v>2</v>
      </c>
      <c r="B147" s="154" t="s">
        <v>271</v>
      </c>
      <c r="C147" s="155"/>
      <c r="D147" s="155"/>
      <c r="E147" s="156">
        <f>E101</f>
        <v>189.61883767599357</v>
      </c>
      <c r="F147" s="156">
        <f t="shared" ref="F147:L147" si="221">F101</f>
        <v>173.63800817999999</v>
      </c>
      <c r="G147" s="156">
        <f t="shared" si="221"/>
        <v>155.61877464000003</v>
      </c>
      <c r="H147" s="156">
        <f t="shared" si="221"/>
        <v>145.69405199999997</v>
      </c>
      <c r="I147" s="156">
        <f t="shared" si="221"/>
        <v>136.63513584000003</v>
      </c>
      <c r="J147" s="156">
        <f t="shared" si="221"/>
        <v>127.03057919999998</v>
      </c>
      <c r="K147" s="156">
        <f t="shared" si="221"/>
        <v>123.19361459999999</v>
      </c>
      <c r="L147" s="156">
        <f t="shared" si="221"/>
        <v>120.23062379999999</v>
      </c>
      <c r="M147" s="166">
        <f t="shared" si="219"/>
        <v>474.95083481999995</v>
      </c>
      <c r="N147" s="172">
        <f t="shared" si="220"/>
        <v>738.61654985999985</v>
      </c>
      <c r="O147" s="1316">
        <f t="shared" si="148"/>
        <v>507.08995343999999</v>
      </c>
      <c r="S147" s="95"/>
    </row>
    <row r="148" spans="1:30">
      <c r="A148" s="160">
        <v>3</v>
      </c>
      <c r="B148" s="154" t="s">
        <v>276</v>
      </c>
      <c r="C148" s="155"/>
      <c r="D148" s="155"/>
      <c r="E148" s="156">
        <f>E123-(E149+E150)</f>
        <v>221.00490895673076</v>
      </c>
      <c r="F148" s="156">
        <f t="shared" ref="F148:L148" si="222">F123-(F149+F150)</f>
        <v>200.06429408279996</v>
      </c>
      <c r="G148" s="156">
        <f t="shared" si="222"/>
        <v>179.95891692239999</v>
      </c>
      <c r="H148" s="156">
        <f t="shared" si="222"/>
        <v>172.16297784</v>
      </c>
      <c r="I148" s="156">
        <f t="shared" si="222"/>
        <v>166.00552856999997</v>
      </c>
      <c r="J148" s="156">
        <f t="shared" si="222"/>
        <v>159.94344996000004</v>
      </c>
      <c r="K148" s="156">
        <f t="shared" si="222"/>
        <v>155.25426168000001</v>
      </c>
      <c r="L148" s="156">
        <f t="shared" si="222"/>
        <v>151.71579234000001</v>
      </c>
      <c r="M148" s="166">
        <f t="shared" si="219"/>
        <v>552.18618884519992</v>
      </c>
      <c r="N148" s="172">
        <f t="shared" si="220"/>
        <v>878.13516737520001</v>
      </c>
      <c r="O148" s="1316">
        <f t="shared" si="148"/>
        <v>632.91903255</v>
      </c>
      <c r="S148" s="95"/>
    </row>
    <row r="149" spans="1:30">
      <c r="A149" s="160">
        <v>4</v>
      </c>
      <c r="B149" s="154" t="s">
        <v>277</v>
      </c>
      <c r="C149" s="155"/>
      <c r="D149" s="155"/>
      <c r="E149" s="156">
        <f>E133</f>
        <v>92.469211790821674</v>
      </c>
      <c r="F149" s="156">
        <f t="shared" ref="F149:L149" si="223">F133</f>
        <v>88.948780162199995</v>
      </c>
      <c r="G149" s="156">
        <f t="shared" si="223"/>
        <v>85.364720153999997</v>
      </c>
      <c r="H149" s="156">
        <f t="shared" si="223"/>
        <v>85.483228319999995</v>
      </c>
      <c r="I149" s="156">
        <f t="shared" si="223"/>
        <v>85.160559204000009</v>
      </c>
      <c r="J149" s="156">
        <f t="shared" si="223"/>
        <v>84.803506200000001</v>
      </c>
      <c r="K149" s="156">
        <f t="shared" si="223"/>
        <v>82.330695719999994</v>
      </c>
      <c r="L149" s="156">
        <f t="shared" si="223"/>
        <v>80.472771539999997</v>
      </c>
      <c r="M149" s="166">
        <f t="shared" ref="M149:M151" si="224">SUM(F149:H149)</f>
        <v>259.79672863619999</v>
      </c>
      <c r="N149" s="172">
        <f t="shared" ref="N149:N151" si="225">SUM(F149:J149)</f>
        <v>429.76079404020004</v>
      </c>
      <c r="O149" s="1316">
        <f t="shared" si="148"/>
        <v>332.76753266399999</v>
      </c>
      <c r="S149" s="95"/>
    </row>
    <row r="150" spans="1:30">
      <c r="A150" s="160">
        <v>5</v>
      </c>
      <c r="B150" s="154" t="s">
        <v>278</v>
      </c>
      <c r="C150" s="155"/>
      <c r="D150" s="155"/>
      <c r="E150" s="156">
        <f>E143</f>
        <v>23.082702652447551</v>
      </c>
      <c r="F150" s="156">
        <f t="shared" ref="F150:L150" si="226">F143</f>
        <v>25.031792834999997</v>
      </c>
      <c r="G150" s="156">
        <f t="shared" si="226"/>
        <v>25.971221883600002</v>
      </c>
      <c r="H150" s="156">
        <f t="shared" si="226"/>
        <v>26.703537839999996</v>
      </c>
      <c r="I150" s="156">
        <f t="shared" si="226"/>
        <v>27.529330626000004</v>
      </c>
      <c r="J150" s="156">
        <f t="shared" si="226"/>
        <v>28.328181840000003</v>
      </c>
      <c r="K150" s="156">
        <f t="shared" si="226"/>
        <v>27.511608600000002</v>
      </c>
      <c r="L150" s="156">
        <f t="shared" si="226"/>
        <v>26.903787119999997</v>
      </c>
      <c r="M150" s="166">
        <f t="shared" si="224"/>
        <v>77.706552558599995</v>
      </c>
      <c r="N150" s="172">
        <f t="shared" si="225"/>
        <v>133.56406502460001</v>
      </c>
      <c r="O150" s="1316">
        <f t="shared" si="148"/>
        <v>110.272908186</v>
      </c>
      <c r="S150" s="95"/>
    </row>
    <row r="151" spans="1:30">
      <c r="A151" s="162">
        <v>6</v>
      </c>
      <c r="B151" s="163" t="s">
        <v>248</v>
      </c>
      <c r="C151" s="265"/>
      <c r="D151" s="265"/>
      <c r="E151" s="92">
        <f>SUM(E146:E150)</f>
        <v>3611</v>
      </c>
      <c r="F151" s="92">
        <f t="shared" ref="F151:L151" si="227">SUM(F146:F150)</f>
        <v>3331.9999999999995</v>
      </c>
      <c r="G151" s="92">
        <f t="shared" si="227"/>
        <v>3048.9999999999995</v>
      </c>
      <c r="H151" s="92">
        <f t="shared" si="227"/>
        <v>2901</v>
      </c>
      <c r="I151" s="92">
        <f t="shared" si="227"/>
        <v>2784.0000000000005</v>
      </c>
      <c r="J151" s="92">
        <f t="shared" si="227"/>
        <v>2685</v>
      </c>
      <c r="K151" s="92">
        <f t="shared" si="227"/>
        <v>2603</v>
      </c>
      <c r="L151" s="92">
        <f t="shared" si="227"/>
        <v>2536</v>
      </c>
      <c r="M151" s="167">
        <f t="shared" si="224"/>
        <v>9282</v>
      </c>
      <c r="N151" s="94">
        <f t="shared" si="225"/>
        <v>14751</v>
      </c>
      <c r="O151" s="1316">
        <f t="shared" si="148"/>
        <v>10608</v>
      </c>
      <c r="S151" s="95"/>
    </row>
    <row r="152" spans="1:30">
      <c r="A152" s="281"/>
      <c r="B152" s="282" t="s">
        <v>831</v>
      </c>
      <c r="C152" s="282"/>
      <c r="D152" s="283"/>
      <c r="E152" s="284">
        <f>SUM(E148:E150)</f>
        <v>336.55682339999998</v>
      </c>
      <c r="F152" s="284">
        <f t="shared" ref="F152:L152" si="228">SUM(F148:F150)</f>
        <v>314.04486707999996</v>
      </c>
      <c r="G152" s="284">
        <f t="shared" si="228"/>
        <v>291.29485896</v>
      </c>
      <c r="H152" s="284">
        <f t="shared" si="228"/>
        <v>284.34974399999999</v>
      </c>
      <c r="I152" s="284">
        <f t="shared" si="228"/>
        <v>278.69541839999999</v>
      </c>
      <c r="J152" s="284">
        <f t="shared" si="228"/>
        <v>273.07513800000004</v>
      </c>
      <c r="K152" s="284">
        <f t="shared" si="228"/>
        <v>265.096566</v>
      </c>
      <c r="L152" s="284">
        <f t="shared" si="228"/>
        <v>259.09235100000001</v>
      </c>
      <c r="M152" s="285">
        <f t="shared" ref="M152:N152" si="229">SUM(M147,M148,M149)</f>
        <v>1286.9337523013999</v>
      </c>
      <c r="N152" s="286">
        <f t="shared" si="229"/>
        <v>2046.5125112753999</v>
      </c>
      <c r="O152" s="1316">
        <f t="shared" si="148"/>
        <v>1075.9594734</v>
      </c>
      <c r="S152" s="95"/>
      <c r="V152" s="284">
        <f t="shared" ref="V152:AD152" si="230">SUM(V147,V148,V149)</f>
        <v>0</v>
      </c>
      <c r="W152" s="284">
        <f t="shared" si="230"/>
        <v>0</v>
      </c>
      <c r="X152" s="284">
        <f t="shared" si="230"/>
        <v>0</v>
      </c>
      <c r="Y152" s="284">
        <f t="shared" si="230"/>
        <v>0</v>
      </c>
      <c r="Z152" s="284">
        <f t="shared" si="230"/>
        <v>0</v>
      </c>
      <c r="AA152" s="284"/>
      <c r="AB152" s="284"/>
      <c r="AC152" s="285">
        <f t="shared" si="230"/>
        <v>0</v>
      </c>
      <c r="AD152" s="286">
        <f t="shared" si="230"/>
        <v>0</v>
      </c>
    </row>
    <row r="153" spans="1:30">
      <c r="A153" s="162"/>
      <c r="B153" s="154"/>
      <c r="C153" s="154"/>
      <c r="D153" s="266"/>
      <c r="E153" s="266"/>
      <c r="F153" s="266"/>
      <c r="G153" s="266"/>
      <c r="H153" s="267"/>
      <c r="I153" s="267"/>
      <c r="J153" s="267"/>
      <c r="K153" s="267"/>
      <c r="L153" s="267"/>
      <c r="M153" s="168"/>
      <c r="N153" s="173"/>
      <c r="O153" s="1316">
        <f t="shared" si="148"/>
        <v>0</v>
      </c>
      <c r="S153" s="95"/>
    </row>
    <row r="154" spans="1:30" ht="15.75">
      <c r="A154" s="260" t="s">
        <v>751</v>
      </c>
      <c r="B154" s="268" t="s">
        <v>272</v>
      </c>
      <c r="C154" s="269"/>
      <c r="D154" s="269"/>
      <c r="E154" s="270"/>
      <c r="F154" s="270"/>
      <c r="G154" s="270"/>
      <c r="H154" s="271"/>
      <c r="I154" s="271"/>
      <c r="J154" s="271"/>
      <c r="K154" s="271"/>
      <c r="L154" s="271"/>
      <c r="M154" s="177"/>
      <c r="N154" s="178"/>
      <c r="O154" s="1316">
        <f t="shared" si="148"/>
        <v>0</v>
      </c>
      <c r="S154" s="95"/>
    </row>
    <row r="155" spans="1:30">
      <c r="A155" s="160">
        <v>1</v>
      </c>
      <c r="B155" s="154" t="s">
        <v>270</v>
      </c>
      <c r="C155" s="155"/>
      <c r="D155" s="155"/>
      <c r="E155" s="279">
        <v>1</v>
      </c>
      <c r="F155" s="279">
        <f>E155</f>
        <v>1</v>
      </c>
      <c r="G155" s="279">
        <f t="shared" ref="G155:J155" si="231">F155</f>
        <v>1</v>
      </c>
      <c r="H155" s="279">
        <f t="shared" si="231"/>
        <v>1</v>
      </c>
      <c r="I155" s="279">
        <f t="shared" si="231"/>
        <v>1</v>
      </c>
      <c r="J155" s="279">
        <f t="shared" si="231"/>
        <v>1</v>
      </c>
      <c r="K155" s="279">
        <f t="shared" ref="K155:K159" si="232">J155</f>
        <v>1</v>
      </c>
      <c r="L155" s="279">
        <f t="shared" ref="L155:L159" si="233">K155</f>
        <v>1</v>
      </c>
      <c r="M155" s="169"/>
      <c r="N155" s="174"/>
      <c r="O155" s="1316"/>
      <c r="S155" s="95"/>
    </row>
    <row r="156" spans="1:30">
      <c r="A156" s="160">
        <v>2</v>
      </c>
      <c r="B156" s="154" t="s">
        <v>271</v>
      </c>
      <c r="C156" s="155"/>
      <c r="D156" s="155"/>
      <c r="E156" s="279">
        <v>1</v>
      </c>
      <c r="F156" s="279">
        <f t="shared" ref="F156:J156" si="234">E156</f>
        <v>1</v>
      </c>
      <c r="G156" s="279">
        <f t="shared" si="234"/>
        <v>1</v>
      </c>
      <c r="H156" s="279">
        <f t="shared" si="234"/>
        <v>1</v>
      </c>
      <c r="I156" s="279">
        <f t="shared" si="234"/>
        <v>1</v>
      </c>
      <c r="J156" s="279">
        <f t="shared" si="234"/>
        <v>1</v>
      </c>
      <c r="K156" s="279">
        <f t="shared" si="232"/>
        <v>1</v>
      </c>
      <c r="L156" s="279">
        <f t="shared" si="233"/>
        <v>1</v>
      </c>
      <c r="M156" s="169"/>
      <c r="N156" s="174"/>
      <c r="O156" s="1316"/>
      <c r="S156" s="95"/>
    </row>
    <row r="157" spans="1:30">
      <c r="A157" s="160">
        <v>3</v>
      </c>
      <c r="B157" s="154" t="s">
        <v>276</v>
      </c>
      <c r="C157" s="155"/>
      <c r="D157" s="155"/>
      <c r="E157" s="279">
        <v>0.99</v>
      </c>
      <c r="F157" s="279">
        <f t="shared" ref="F157:J157" si="235">E157</f>
        <v>0.99</v>
      </c>
      <c r="G157" s="279">
        <f t="shared" si="235"/>
        <v>0.99</v>
      </c>
      <c r="H157" s="279">
        <f t="shared" si="235"/>
        <v>0.99</v>
      </c>
      <c r="I157" s="279">
        <f t="shared" si="235"/>
        <v>0.99</v>
      </c>
      <c r="J157" s="279">
        <f t="shared" si="235"/>
        <v>0.99</v>
      </c>
      <c r="K157" s="279">
        <f t="shared" si="232"/>
        <v>0.99</v>
      </c>
      <c r="L157" s="279">
        <f t="shared" si="233"/>
        <v>0.99</v>
      </c>
      <c r="M157" s="279"/>
      <c r="N157" s="174"/>
      <c r="O157" s="1316"/>
      <c r="S157" s="95"/>
    </row>
    <row r="158" spans="1:30">
      <c r="A158" s="160">
        <v>4</v>
      </c>
      <c r="B158" s="154" t="s">
        <v>277</v>
      </c>
      <c r="C158" s="155"/>
      <c r="D158" s="155"/>
      <c r="E158" s="279">
        <v>0.95</v>
      </c>
      <c r="F158" s="279">
        <f t="shared" ref="F158:J158" si="236">E158</f>
        <v>0.95</v>
      </c>
      <c r="G158" s="279">
        <f t="shared" si="236"/>
        <v>0.95</v>
      </c>
      <c r="H158" s="279">
        <f t="shared" si="236"/>
        <v>0.95</v>
      </c>
      <c r="I158" s="279">
        <f t="shared" si="236"/>
        <v>0.95</v>
      </c>
      <c r="J158" s="279">
        <f t="shared" si="236"/>
        <v>0.95</v>
      </c>
      <c r="K158" s="279">
        <f t="shared" si="232"/>
        <v>0.95</v>
      </c>
      <c r="L158" s="279">
        <f t="shared" si="233"/>
        <v>0.95</v>
      </c>
      <c r="M158" s="169"/>
      <c r="N158" s="174"/>
      <c r="O158" s="1316"/>
      <c r="S158" s="95"/>
    </row>
    <row r="159" spans="1:30">
      <c r="A159" s="160">
        <v>5</v>
      </c>
      <c r="B159" s="154" t="s">
        <v>278</v>
      </c>
      <c r="C159" s="155"/>
      <c r="D159" s="155"/>
      <c r="E159" s="279">
        <v>0.9</v>
      </c>
      <c r="F159" s="279">
        <f t="shared" ref="F159:J159" si="237">E159</f>
        <v>0.9</v>
      </c>
      <c r="G159" s="279">
        <f t="shared" si="237"/>
        <v>0.9</v>
      </c>
      <c r="H159" s="279">
        <f t="shared" si="237"/>
        <v>0.9</v>
      </c>
      <c r="I159" s="279">
        <f t="shared" si="237"/>
        <v>0.9</v>
      </c>
      <c r="J159" s="279">
        <f t="shared" si="237"/>
        <v>0.9</v>
      </c>
      <c r="K159" s="279">
        <f t="shared" si="232"/>
        <v>0.9</v>
      </c>
      <c r="L159" s="279">
        <f t="shared" si="233"/>
        <v>0.9</v>
      </c>
      <c r="M159" s="169"/>
      <c r="N159" s="174"/>
      <c r="O159" s="1316"/>
      <c r="S159" s="95"/>
    </row>
    <row r="160" spans="1:30">
      <c r="A160" s="162">
        <v>6</v>
      </c>
      <c r="B160" s="163" t="s">
        <v>248</v>
      </c>
      <c r="C160" s="265"/>
      <c r="D160" s="265"/>
      <c r="E160" s="274">
        <f t="shared" ref="E160:L160" si="238">SUM(E183:E187)/E151</f>
        <v>0.9977845472168374</v>
      </c>
      <c r="F160" s="274">
        <f t="shared" si="238"/>
        <v>0.99759903961584651</v>
      </c>
      <c r="G160" s="274">
        <f t="shared" si="238"/>
        <v>0.99704821252869813</v>
      </c>
      <c r="H160" s="274">
        <f t="shared" si="238"/>
        <v>0.99689762150982419</v>
      </c>
      <c r="I160" s="274">
        <f t="shared" si="238"/>
        <v>0.99712643678160906</v>
      </c>
      <c r="J160" s="274">
        <f t="shared" si="238"/>
        <v>0.99664804469273738</v>
      </c>
      <c r="K160" s="274">
        <f t="shared" si="238"/>
        <v>0.99692662312716096</v>
      </c>
      <c r="L160" s="274">
        <f t="shared" si="238"/>
        <v>0.99645110410094639</v>
      </c>
      <c r="M160" s="170"/>
      <c r="N160" s="176"/>
      <c r="O160" s="1316"/>
      <c r="S160" s="95"/>
    </row>
    <row r="161" spans="1:30">
      <c r="A161" s="162"/>
      <c r="B161" s="154"/>
      <c r="C161" s="154"/>
      <c r="D161" s="266"/>
      <c r="E161" s="266"/>
      <c r="F161" s="266"/>
      <c r="G161" s="266"/>
      <c r="H161" s="267"/>
      <c r="I161" s="267"/>
      <c r="J161" s="267"/>
      <c r="K161" s="267"/>
      <c r="L161" s="267"/>
      <c r="M161" s="168"/>
      <c r="N161" s="173"/>
      <c r="O161" s="1316"/>
      <c r="S161" s="95"/>
    </row>
    <row r="162" spans="1:30" ht="15.75">
      <c r="A162" s="260" t="s">
        <v>752</v>
      </c>
      <c r="B162" s="268" t="s">
        <v>981</v>
      </c>
      <c r="C162" s="269"/>
      <c r="D162" s="269"/>
      <c r="E162" s="270"/>
      <c r="F162" s="270"/>
      <c r="G162" s="270"/>
      <c r="H162" s="271"/>
      <c r="I162" s="271"/>
      <c r="J162" s="271"/>
      <c r="K162" s="271"/>
      <c r="L162" s="271"/>
      <c r="M162" s="177"/>
      <c r="N162" s="178"/>
      <c r="O162" s="1316">
        <f t="shared" ref="O162:O219" si="239">I162+J162+K162+L162</f>
        <v>0</v>
      </c>
      <c r="S162" s="95"/>
    </row>
    <row r="163" spans="1:30">
      <c r="A163" s="160">
        <v>1</v>
      </c>
      <c r="B163" s="154" t="s">
        <v>270</v>
      </c>
      <c r="C163" s="155"/>
      <c r="D163" s="155"/>
      <c r="E163" s="156">
        <f t="shared" ref="E163:L167" si="240">ROUND(E146*E155,0)</f>
        <v>3085</v>
      </c>
      <c r="F163" s="156">
        <f t="shared" si="240"/>
        <v>2844</v>
      </c>
      <c r="G163" s="156">
        <f t="shared" si="240"/>
        <v>2602</v>
      </c>
      <c r="H163" s="156">
        <f t="shared" si="240"/>
        <v>2471</v>
      </c>
      <c r="I163" s="156">
        <f t="shared" si="240"/>
        <v>2369</v>
      </c>
      <c r="J163" s="156">
        <f t="shared" si="240"/>
        <v>2285</v>
      </c>
      <c r="K163" s="156">
        <f t="shared" si="240"/>
        <v>2215</v>
      </c>
      <c r="L163" s="156">
        <f t="shared" si="240"/>
        <v>2157</v>
      </c>
      <c r="M163" s="166">
        <f t="shared" ref="M163:M165" si="241">SUM(F163:H163)</f>
        <v>7917</v>
      </c>
      <c r="N163" s="172">
        <f t="shared" ref="N163:N165" si="242">SUM(F163:J163)</f>
        <v>12571</v>
      </c>
      <c r="O163" s="1316">
        <f t="shared" si="239"/>
        <v>9026</v>
      </c>
      <c r="S163" s="95"/>
    </row>
    <row r="164" spans="1:30">
      <c r="A164" s="160">
        <v>2</v>
      </c>
      <c r="B164" s="154" t="s">
        <v>271</v>
      </c>
      <c r="C164" s="155"/>
      <c r="D164" s="155"/>
      <c r="E164" s="156">
        <f t="shared" si="240"/>
        <v>190</v>
      </c>
      <c r="F164" s="156">
        <f t="shared" si="240"/>
        <v>174</v>
      </c>
      <c r="G164" s="156">
        <f t="shared" si="240"/>
        <v>156</v>
      </c>
      <c r="H164" s="156">
        <f t="shared" si="240"/>
        <v>146</v>
      </c>
      <c r="I164" s="156">
        <f t="shared" si="240"/>
        <v>137</v>
      </c>
      <c r="J164" s="156">
        <f t="shared" si="240"/>
        <v>127</v>
      </c>
      <c r="K164" s="156">
        <f t="shared" si="240"/>
        <v>123</v>
      </c>
      <c r="L164" s="156">
        <f t="shared" si="240"/>
        <v>120</v>
      </c>
      <c r="M164" s="166">
        <f t="shared" si="241"/>
        <v>476</v>
      </c>
      <c r="N164" s="172">
        <f t="shared" si="242"/>
        <v>740</v>
      </c>
      <c r="O164" s="1316">
        <f t="shared" si="239"/>
        <v>507</v>
      </c>
      <c r="S164" s="95"/>
    </row>
    <row r="165" spans="1:30">
      <c r="A165" s="160">
        <v>3</v>
      </c>
      <c r="B165" s="154" t="s">
        <v>276</v>
      </c>
      <c r="C165" s="155"/>
      <c r="D165" s="155"/>
      <c r="E165" s="156">
        <f t="shared" si="240"/>
        <v>219</v>
      </c>
      <c r="F165" s="156">
        <f t="shared" si="240"/>
        <v>198</v>
      </c>
      <c r="G165" s="156">
        <f t="shared" si="240"/>
        <v>178</v>
      </c>
      <c r="H165" s="156">
        <f t="shared" si="240"/>
        <v>170</v>
      </c>
      <c r="I165" s="156">
        <f t="shared" si="240"/>
        <v>164</v>
      </c>
      <c r="J165" s="156">
        <f t="shared" si="240"/>
        <v>158</v>
      </c>
      <c r="K165" s="156">
        <f t="shared" si="240"/>
        <v>154</v>
      </c>
      <c r="L165" s="156">
        <f t="shared" si="240"/>
        <v>150</v>
      </c>
      <c r="M165" s="166">
        <f t="shared" si="241"/>
        <v>546</v>
      </c>
      <c r="N165" s="172">
        <f t="shared" si="242"/>
        <v>868</v>
      </c>
      <c r="O165" s="1316">
        <f t="shared" si="239"/>
        <v>626</v>
      </c>
      <c r="S165" s="95"/>
    </row>
    <row r="166" spans="1:30">
      <c r="A166" s="160">
        <v>4</v>
      </c>
      <c r="B166" s="154" t="s">
        <v>277</v>
      </c>
      <c r="C166" s="155"/>
      <c r="D166" s="155"/>
      <c r="E166" s="156">
        <f t="shared" si="240"/>
        <v>88</v>
      </c>
      <c r="F166" s="156">
        <f t="shared" si="240"/>
        <v>85</v>
      </c>
      <c r="G166" s="156">
        <f t="shared" si="240"/>
        <v>81</v>
      </c>
      <c r="H166" s="156">
        <f t="shared" si="240"/>
        <v>81</v>
      </c>
      <c r="I166" s="156">
        <f t="shared" si="240"/>
        <v>81</v>
      </c>
      <c r="J166" s="156">
        <f t="shared" si="240"/>
        <v>81</v>
      </c>
      <c r="K166" s="156">
        <f t="shared" si="240"/>
        <v>78</v>
      </c>
      <c r="L166" s="156">
        <f t="shared" si="240"/>
        <v>76</v>
      </c>
      <c r="M166" s="166">
        <f t="shared" ref="M166:M169" si="243">SUM(F166:H166)</f>
        <v>247</v>
      </c>
      <c r="N166" s="172">
        <f t="shared" ref="N166:N169" si="244">SUM(F166:J166)</f>
        <v>409</v>
      </c>
      <c r="O166" s="1316">
        <f t="shared" si="239"/>
        <v>316</v>
      </c>
      <c r="S166" s="95"/>
    </row>
    <row r="167" spans="1:30">
      <c r="A167" s="160">
        <v>5</v>
      </c>
      <c r="B167" s="154" t="s">
        <v>278</v>
      </c>
      <c r="C167" s="155"/>
      <c r="D167" s="155"/>
      <c r="E167" s="156">
        <f t="shared" si="240"/>
        <v>21</v>
      </c>
      <c r="F167" s="156">
        <f t="shared" si="240"/>
        <v>23</v>
      </c>
      <c r="G167" s="156">
        <f t="shared" si="240"/>
        <v>23</v>
      </c>
      <c r="H167" s="156">
        <f t="shared" si="240"/>
        <v>24</v>
      </c>
      <c r="I167" s="156">
        <f t="shared" si="240"/>
        <v>25</v>
      </c>
      <c r="J167" s="156">
        <f t="shared" si="240"/>
        <v>25</v>
      </c>
      <c r="K167" s="156">
        <f t="shared" si="240"/>
        <v>25</v>
      </c>
      <c r="L167" s="156">
        <f t="shared" si="240"/>
        <v>24</v>
      </c>
      <c r="M167" s="166">
        <f t="shared" si="243"/>
        <v>70</v>
      </c>
      <c r="N167" s="172">
        <f t="shared" si="244"/>
        <v>120</v>
      </c>
      <c r="O167" s="1316">
        <f t="shared" si="239"/>
        <v>99</v>
      </c>
      <c r="S167" s="95"/>
    </row>
    <row r="168" spans="1:30">
      <c r="A168" s="160">
        <v>6</v>
      </c>
      <c r="B168" s="154" t="s">
        <v>275</v>
      </c>
      <c r="C168" s="155"/>
      <c r="D168" s="155"/>
      <c r="E168" s="156">
        <f t="shared" ref="E168:L168" si="245">E151-SUM(E163:E167)</f>
        <v>8</v>
      </c>
      <c r="F168" s="156">
        <f t="shared" si="245"/>
        <v>7.9999999999995453</v>
      </c>
      <c r="G168" s="156">
        <f t="shared" si="245"/>
        <v>8.9999999999995453</v>
      </c>
      <c r="H168" s="156">
        <f t="shared" si="245"/>
        <v>9</v>
      </c>
      <c r="I168" s="156">
        <f t="shared" si="245"/>
        <v>8.0000000000004547</v>
      </c>
      <c r="J168" s="156">
        <f t="shared" si="245"/>
        <v>9</v>
      </c>
      <c r="K168" s="156">
        <f t="shared" si="245"/>
        <v>8</v>
      </c>
      <c r="L168" s="156">
        <f t="shared" si="245"/>
        <v>9</v>
      </c>
      <c r="M168" s="166">
        <f t="shared" si="243"/>
        <v>25.999999999999091</v>
      </c>
      <c r="N168" s="172">
        <f t="shared" si="244"/>
        <v>42.999999999999545</v>
      </c>
      <c r="O168" s="1316">
        <f t="shared" si="239"/>
        <v>34.000000000000455</v>
      </c>
      <c r="S168" s="95"/>
      <c r="V168" s="89"/>
      <c r="W168" s="89"/>
      <c r="X168" s="89"/>
      <c r="Y168" s="89"/>
      <c r="Z168" s="89"/>
      <c r="AA168" s="89"/>
      <c r="AB168" s="89"/>
      <c r="AC168" s="166"/>
      <c r="AD168" s="172"/>
    </row>
    <row r="169" spans="1:30">
      <c r="A169" s="162">
        <v>7</v>
      </c>
      <c r="B169" s="163" t="s">
        <v>248</v>
      </c>
      <c r="C169" s="265"/>
      <c r="D169" s="265"/>
      <c r="E169" s="280">
        <f>SUM(E163:E168)</f>
        <v>3611</v>
      </c>
      <c r="F169" s="280">
        <f t="shared" ref="F169:L169" si="246">SUM(F163:F168)</f>
        <v>3331.9999999999995</v>
      </c>
      <c r="G169" s="280">
        <f t="shared" si="246"/>
        <v>3048.9999999999995</v>
      </c>
      <c r="H169" s="280">
        <f t="shared" si="246"/>
        <v>2901</v>
      </c>
      <c r="I169" s="280">
        <f t="shared" si="246"/>
        <v>2784.0000000000005</v>
      </c>
      <c r="J169" s="280">
        <f t="shared" si="246"/>
        <v>2685</v>
      </c>
      <c r="K169" s="280">
        <f t="shared" si="246"/>
        <v>2603</v>
      </c>
      <c r="L169" s="280">
        <f t="shared" si="246"/>
        <v>2536</v>
      </c>
      <c r="M169" s="167">
        <f t="shared" si="243"/>
        <v>9282</v>
      </c>
      <c r="N169" s="94">
        <f t="shared" si="244"/>
        <v>14751</v>
      </c>
      <c r="O169" s="1316">
        <f t="shared" si="239"/>
        <v>10608</v>
      </c>
      <c r="S169" s="95"/>
      <c r="V169" s="280"/>
      <c r="W169" s="280"/>
      <c r="X169" s="280"/>
      <c r="Y169" s="280"/>
      <c r="Z169" s="280"/>
      <c r="AA169" s="280"/>
      <c r="AB169" s="280"/>
      <c r="AC169" s="167"/>
      <c r="AD169" s="94"/>
    </row>
    <row r="170" spans="1:30">
      <c r="A170" s="281"/>
      <c r="B170" s="282" t="s">
        <v>831</v>
      </c>
      <c r="C170" s="282"/>
      <c r="D170" s="283"/>
      <c r="E170" s="284">
        <f>SUM(E165,E166,E167)</f>
        <v>328</v>
      </c>
      <c r="F170" s="284">
        <f t="shared" ref="F170:N170" si="247">SUM(F165,F166,F167)</f>
        <v>306</v>
      </c>
      <c r="G170" s="284">
        <f t="shared" si="247"/>
        <v>282</v>
      </c>
      <c r="H170" s="284">
        <f t="shared" si="247"/>
        <v>275</v>
      </c>
      <c r="I170" s="284">
        <f t="shared" si="247"/>
        <v>270</v>
      </c>
      <c r="J170" s="284">
        <f t="shared" si="247"/>
        <v>264</v>
      </c>
      <c r="K170" s="284">
        <f t="shared" si="247"/>
        <v>257</v>
      </c>
      <c r="L170" s="284">
        <f t="shared" si="247"/>
        <v>250</v>
      </c>
      <c r="M170" s="285">
        <f t="shared" si="247"/>
        <v>863</v>
      </c>
      <c r="N170" s="286">
        <f t="shared" si="247"/>
        <v>1397</v>
      </c>
      <c r="O170" s="1316">
        <f t="shared" si="239"/>
        <v>1041</v>
      </c>
      <c r="S170" s="95"/>
      <c r="V170" s="284"/>
      <c r="W170" s="284"/>
      <c r="X170" s="284"/>
      <c r="Y170" s="284"/>
      <c r="Z170" s="284"/>
      <c r="AA170" s="284"/>
      <c r="AB170" s="284"/>
      <c r="AC170" s="285"/>
      <c r="AD170" s="286"/>
    </row>
    <row r="171" spans="1:30">
      <c r="A171" s="162"/>
      <c r="B171" s="154"/>
      <c r="C171" s="154"/>
      <c r="D171" s="266"/>
      <c r="E171" s="266"/>
      <c r="F171" s="266"/>
      <c r="G171" s="266"/>
      <c r="H171" s="267"/>
      <c r="I171" s="267"/>
      <c r="J171" s="267"/>
      <c r="K171" s="267"/>
      <c r="L171" s="267"/>
      <c r="M171" s="168"/>
      <c r="N171" s="173"/>
      <c r="O171" s="1316">
        <f t="shared" si="239"/>
        <v>0</v>
      </c>
      <c r="S171" s="95"/>
    </row>
    <row r="172" spans="1:30" ht="15.75">
      <c r="A172" s="260" t="s">
        <v>753</v>
      </c>
      <c r="B172" s="268" t="s">
        <v>982</v>
      </c>
      <c r="C172" s="269"/>
      <c r="D172" s="269"/>
      <c r="E172" s="270"/>
      <c r="F172" s="270"/>
      <c r="G172" s="270"/>
      <c r="H172" s="271"/>
      <c r="I172" s="271"/>
      <c r="J172" s="271"/>
      <c r="K172" s="271"/>
      <c r="L172" s="271"/>
      <c r="M172" s="177"/>
      <c r="N172" s="178"/>
      <c r="O172" s="1316">
        <f t="shared" si="239"/>
        <v>0</v>
      </c>
      <c r="S172" s="95"/>
    </row>
    <row r="173" spans="1:30">
      <c r="A173" s="160">
        <v>1</v>
      </c>
      <c r="B173" s="154" t="s">
        <v>270</v>
      </c>
      <c r="C173" s="155"/>
      <c r="D173" s="155"/>
      <c r="E173" s="156">
        <v>-83</v>
      </c>
      <c r="F173" s="156">
        <v>-74</v>
      </c>
      <c r="G173" s="156">
        <v>-73</v>
      </c>
      <c r="H173" s="156">
        <v>-73</v>
      </c>
      <c r="I173" s="156">
        <v>-73</v>
      </c>
      <c r="J173" s="156">
        <v>-73</v>
      </c>
      <c r="K173" s="156">
        <v>-73</v>
      </c>
      <c r="L173" s="156">
        <v>-73</v>
      </c>
      <c r="M173" s="166">
        <f t="shared" ref="M173:M175" si="248">SUM(F173:H173)</f>
        <v>-220</v>
      </c>
      <c r="N173" s="172">
        <f t="shared" ref="N173:N175" si="249">SUM(F173:J173)</f>
        <v>-366</v>
      </c>
      <c r="O173" s="1316">
        <f t="shared" si="239"/>
        <v>-292</v>
      </c>
      <c r="S173" s="95"/>
    </row>
    <row r="174" spans="1:30">
      <c r="A174" s="160">
        <v>2</v>
      </c>
      <c r="B174" s="154" t="s">
        <v>271</v>
      </c>
      <c r="C174" s="155"/>
      <c r="D174" s="155"/>
      <c r="E174" s="156">
        <v>-43</v>
      </c>
      <c r="F174" s="156">
        <v>-43</v>
      </c>
      <c r="G174" s="156">
        <v>-43</v>
      </c>
      <c r="H174" s="156">
        <v>-43</v>
      </c>
      <c r="I174" s="156">
        <v>-43</v>
      </c>
      <c r="J174" s="156">
        <v>-43</v>
      </c>
      <c r="K174" s="156">
        <v>-43</v>
      </c>
      <c r="L174" s="156">
        <v>-43</v>
      </c>
      <c r="M174" s="166">
        <f t="shared" si="248"/>
        <v>-129</v>
      </c>
      <c r="N174" s="172">
        <f t="shared" si="249"/>
        <v>-215</v>
      </c>
      <c r="O174" s="1316">
        <f t="shared" si="239"/>
        <v>-172</v>
      </c>
      <c r="S174" s="95"/>
    </row>
    <row r="175" spans="1:30">
      <c r="A175" s="160">
        <v>3</v>
      </c>
      <c r="B175" s="154" t="s">
        <v>276</v>
      </c>
      <c r="C175" s="155"/>
      <c r="D175" s="155"/>
      <c r="E175" s="156">
        <v>97</v>
      </c>
      <c r="F175" s="156">
        <v>95</v>
      </c>
      <c r="G175" s="156">
        <v>95</v>
      </c>
      <c r="H175" s="156">
        <v>95</v>
      </c>
      <c r="I175" s="156">
        <v>95</v>
      </c>
      <c r="J175" s="156">
        <v>95</v>
      </c>
      <c r="K175" s="156">
        <v>95</v>
      </c>
      <c r="L175" s="156">
        <v>95</v>
      </c>
      <c r="M175" s="166">
        <f t="shared" si="248"/>
        <v>285</v>
      </c>
      <c r="N175" s="172">
        <f t="shared" si="249"/>
        <v>475</v>
      </c>
      <c r="O175" s="1316">
        <f t="shared" si="239"/>
        <v>380</v>
      </c>
      <c r="S175" s="95"/>
    </row>
    <row r="176" spans="1:30">
      <c r="A176" s="160">
        <v>4</v>
      </c>
      <c r="B176" s="154" t="s">
        <v>277</v>
      </c>
      <c r="C176" s="155"/>
      <c r="D176" s="155"/>
      <c r="E176" s="156">
        <v>23</v>
      </c>
      <c r="F176" s="156">
        <v>18</v>
      </c>
      <c r="G176" s="156">
        <v>18</v>
      </c>
      <c r="H176" s="156">
        <v>18</v>
      </c>
      <c r="I176" s="156">
        <v>18</v>
      </c>
      <c r="J176" s="156">
        <v>18</v>
      </c>
      <c r="K176" s="156">
        <v>18</v>
      </c>
      <c r="L176" s="156">
        <v>18</v>
      </c>
      <c r="M176" s="166">
        <f t="shared" ref="M176:M179" si="250">SUM(F176:H176)</f>
        <v>54</v>
      </c>
      <c r="N176" s="172">
        <f t="shared" ref="N176:N179" si="251">SUM(F176:J176)</f>
        <v>90</v>
      </c>
      <c r="O176" s="1316">
        <f t="shared" si="239"/>
        <v>72</v>
      </c>
      <c r="S176" s="95"/>
    </row>
    <row r="177" spans="1:32">
      <c r="A177" s="160">
        <v>5</v>
      </c>
      <c r="B177" s="154" t="s">
        <v>278</v>
      </c>
      <c r="C177" s="155"/>
      <c r="D177" s="155"/>
      <c r="E177" s="156">
        <v>6</v>
      </c>
      <c r="F177" s="156">
        <v>4</v>
      </c>
      <c r="G177" s="156">
        <v>3</v>
      </c>
      <c r="H177" s="156">
        <v>3</v>
      </c>
      <c r="I177" s="156">
        <v>3</v>
      </c>
      <c r="J177" s="156">
        <v>3</v>
      </c>
      <c r="K177" s="156">
        <v>3</v>
      </c>
      <c r="L177" s="156">
        <v>3</v>
      </c>
      <c r="M177" s="166">
        <f t="shared" si="250"/>
        <v>10</v>
      </c>
      <c r="N177" s="172">
        <f t="shared" si="251"/>
        <v>16</v>
      </c>
      <c r="O177" s="1316">
        <f t="shared" si="239"/>
        <v>12</v>
      </c>
      <c r="S177" s="95"/>
    </row>
    <row r="178" spans="1:32">
      <c r="A178" s="160">
        <v>6</v>
      </c>
      <c r="B178" s="154" t="s">
        <v>275</v>
      </c>
      <c r="C178" s="155"/>
      <c r="D178" s="155"/>
      <c r="E178" s="323">
        <v>0</v>
      </c>
      <c r="F178" s="323">
        <v>0</v>
      </c>
      <c r="G178" s="323">
        <v>0</v>
      </c>
      <c r="H178" s="323">
        <v>0</v>
      </c>
      <c r="I178" s="323">
        <v>0</v>
      </c>
      <c r="J178" s="323">
        <v>0</v>
      </c>
      <c r="K178" s="323">
        <v>0</v>
      </c>
      <c r="L178" s="323">
        <v>0</v>
      </c>
      <c r="M178" s="166">
        <f t="shared" si="250"/>
        <v>0</v>
      </c>
      <c r="N178" s="172">
        <f t="shared" si="251"/>
        <v>0</v>
      </c>
      <c r="O178" s="1316">
        <f t="shared" si="239"/>
        <v>0</v>
      </c>
      <c r="S178" s="95"/>
      <c r="V178" s="89"/>
      <c r="W178" s="89"/>
      <c r="X178" s="89"/>
      <c r="Y178" s="89"/>
      <c r="Z178" s="89"/>
      <c r="AA178" s="89"/>
      <c r="AB178" s="89"/>
      <c r="AC178" s="166"/>
      <c r="AD178" s="172"/>
    </row>
    <row r="179" spans="1:32">
      <c r="A179" s="162">
        <v>6</v>
      </c>
      <c r="B179" s="163" t="s">
        <v>248</v>
      </c>
      <c r="C179" s="265"/>
      <c r="D179" s="265"/>
      <c r="E179" s="92">
        <f>SUM(E173:E177)</f>
        <v>0</v>
      </c>
      <c r="F179" s="92">
        <f>SUM(F173:F178)</f>
        <v>0</v>
      </c>
      <c r="G179" s="92">
        <f t="shared" ref="G179:L179" si="252">SUM(G173:G178)</f>
        <v>0</v>
      </c>
      <c r="H179" s="92">
        <f t="shared" si="252"/>
        <v>0</v>
      </c>
      <c r="I179" s="92">
        <f t="shared" si="252"/>
        <v>0</v>
      </c>
      <c r="J179" s="92">
        <f t="shared" si="252"/>
        <v>0</v>
      </c>
      <c r="K179" s="92">
        <f t="shared" si="252"/>
        <v>0</v>
      </c>
      <c r="L179" s="92">
        <f t="shared" si="252"/>
        <v>0</v>
      </c>
      <c r="M179" s="167">
        <f t="shared" si="250"/>
        <v>0</v>
      </c>
      <c r="N179" s="94">
        <f t="shared" si="251"/>
        <v>0</v>
      </c>
      <c r="O179" s="1316">
        <f t="shared" si="239"/>
        <v>0</v>
      </c>
      <c r="S179" s="95"/>
    </row>
    <row r="180" spans="1:32">
      <c r="A180" s="281"/>
      <c r="B180" s="282" t="s">
        <v>831</v>
      </c>
      <c r="C180" s="282"/>
      <c r="D180" s="283"/>
      <c r="E180" s="284">
        <f>SUM(E175:E177)</f>
        <v>126</v>
      </c>
      <c r="F180" s="284">
        <f t="shared" ref="F180:L180" si="253">SUM(F175:F177)</f>
        <v>117</v>
      </c>
      <c r="G180" s="284">
        <f t="shared" si="253"/>
        <v>116</v>
      </c>
      <c r="H180" s="284">
        <f t="shared" si="253"/>
        <v>116</v>
      </c>
      <c r="I180" s="284">
        <f t="shared" si="253"/>
        <v>116</v>
      </c>
      <c r="J180" s="284">
        <f t="shared" si="253"/>
        <v>116</v>
      </c>
      <c r="K180" s="284">
        <f t="shared" si="253"/>
        <v>116</v>
      </c>
      <c r="L180" s="284">
        <f t="shared" si="253"/>
        <v>116</v>
      </c>
      <c r="M180" s="285">
        <f t="shared" ref="M180:N180" si="254">SUM(M174,M175,M176)</f>
        <v>210</v>
      </c>
      <c r="N180" s="286">
        <f t="shared" si="254"/>
        <v>350</v>
      </c>
      <c r="O180" s="1316">
        <f t="shared" si="239"/>
        <v>464</v>
      </c>
      <c r="S180" s="95"/>
      <c r="V180" s="284"/>
      <c r="W180" s="284"/>
      <c r="X180" s="284"/>
      <c r="Y180" s="284"/>
      <c r="Z180" s="284"/>
      <c r="AA180" s="284"/>
      <c r="AB180" s="284"/>
      <c r="AC180" s="285"/>
      <c r="AD180" s="286"/>
    </row>
    <row r="181" spans="1:32">
      <c r="A181" s="162"/>
      <c r="B181" s="154"/>
      <c r="C181" s="154"/>
      <c r="D181" s="266"/>
      <c r="E181" s="266"/>
      <c r="F181" s="266"/>
      <c r="G181" s="266"/>
      <c r="H181" s="267"/>
      <c r="I181" s="267"/>
      <c r="J181" s="267"/>
      <c r="K181" s="267"/>
      <c r="L181" s="267"/>
      <c r="M181" s="168"/>
      <c r="N181" s="173"/>
      <c r="O181" s="1316">
        <f t="shared" si="239"/>
        <v>0</v>
      </c>
      <c r="S181" s="95"/>
    </row>
    <row r="182" spans="1:32" ht="25.5">
      <c r="A182" s="260" t="s">
        <v>754</v>
      </c>
      <c r="B182" s="268" t="s">
        <v>983</v>
      </c>
      <c r="C182" s="269"/>
      <c r="D182" s="269"/>
      <c r="E182" s="270"/>
      <c r="F182" s="270"/>
      <c r="G182" s="270"/>
      <c r="H182" s="271"/>
      <c r="I182" s="271"/>
      <c r="J182" s="271"/>
      <c r="K182" s="271"/>
      <c r="L182" s="271"/>
      <c r="M182" s="177"/>
      <c r="N182" s="178"/>
      <c r="O182" s="1316">
        <f t="shared" si="239"/>
        <v>0</v>
      </c>
      <c r="S182" s="95"/>
      <c r="V182" s="65" t="s">
        <v>2171</v>
      </c>
      <c r="W182" s="263" t="s">
        <v>231</v>
      </c>
      <c r="X182" s="263" t="s">
        <v>232</v>
      </c>
      <c r="Y182" s="263" t="s">
        <v>233</v>
      </c>
      <c r="Z182" s="263" t="s">
        <v>234</v>
      </c>
      <c r="AA182" s="263" t="s">
        <v>235</v>
      </c>
      <c r="AB182" s="263">
        <v>2021</v>
      </c>
      <c r="AC182" s="263">
        <v>2022</v>
      </c>
      <c r="AD182" s="165" t="s">
        <v>236</v>
      </c>
      <c r="AE182" s="171" t="s">
        <v>237</v>
      </c>
      <c r="AF182" s="135" t="s">
        <v>1838</v>
      </c>
    </row>
    <row r="183" spans="1:32">
      <c r="A183" s="160">
        <v>1</v>
      </c>
      <c r="B183" s="154" t="s">
        <v>274</v>
      </c>
      <c r="C183" s="155"/>
      <c r="D183" s="155"/>
      <c r="E183" s="156">
        <f>E163+E173</f>
        <v>3002</v>
      </c>
      <c r="F183" s="156">
        <f>F163+F173</f>
        <v>2770</v>
      </c>
      <c r="G183" s="156">
        <f t="shared" ref="G183:J183" si="255">G163+G173</f>
        <v>2529</v>
      </c>
      <c r="H183" s="156">
        <f t="shared" si="255"/>
        <v>2398</v>
      </c>
      <c r="I183" s="156">
        <f t="shared" si="255"/>
        <v>2296</v>
      </c>
      <c r="J183" s="156">
        <f t="shared" si="255"/>
        <v>2212</v>
      </c>
      <c r="K183" s="156">
        <f t="shared" ref="K183:L183" si="256">K163+K173</f>
        <v>2142</v>
      </c>
      <c r="L183" s="156">
        <f t="shared" si="256"/>
        <v>2084</v>
      </c>
      <c r="M183" s="166">
        <f t="shared" ref="M183" si="257">SUM(F183:H183)</f>
        <v>7697</v>
      </c>
      <c r="N183" s="172">
        <f t="shared" ref="N183" si="258">SUM(F183:J183)</f>
        <v>12205</v>
      </c>
      <c r="O183" s="1316">
        <f t="shared" si="239"/>
        <v>8734</v>
      </c>
      <c r="P183" s="65" t="s">
        <v>1765</v>
      </c>
      <c r="S183" s="95"/>
      <c r="T183" s="154" t="s">
        <v>274</v>
      </c>
      <c r="V183" s="1733">
        <f t="shared" ref="V183:AC183" si="259">E183</f>
        <v>3002</v>
      </c>
      <c r="W183" s="89">
        <f t="shared" si="259"/>
        <v>2770</v>
      </c>
      <c r="X183" s="89">
        <f t="shared" si="259"/>
        <v>2529</v>
      </c>
      <c r="Y183" s="89">
        <f t="shared" si="259"/>
        <v>2398</v>
      </c>
      <c r="Z183" s="89">
        <f t="shared" si="259"/>
        <v>2296</v>
      </c>
      <c r="AA183" s="89">
        <f t="shared" si="259"/>
        <v>2212</v>
      </c>
      <c r="AB183" s="89">
        <f t="shared" si="259"/>
        <v>2142</v>
      </c>
      <c r="AC183" s="89">
        <f t="shared" si="259"/>
        <v>2084</v>
      </c>
      <c r="AD183" s="166">
        <f t="shared" ref="AD183:AD189" si="260">SUM(W183:Y183)</f>
        <v>7697</v>
      </c>
      <c r="AE183" s="172">
        <f t="shared" ref="AE183:AE189" si="261">SUM(W183:AA183)</f>
        <v>12205</v>
      </c>
      <c r="AF183" s="95">
        <f>Z183+AA183+AB183+AC183</f>
        <v>8734</v>
      </c>
    </row>
    <row r="184" spans="1:32">
      <c r="A184" s="160">
        <v>2</v>
      </c>
      <c r="B184" s="154" t="s">
        <v>271</v>
      </c>
      <c r="C184" s="155"/>
      <c r="D184" s="155"/>
      <c r="E184" s="156">
        <f t="shared" ref="E184" si="262">E164+E174</f>
        <v>147</v>
      </c>
      <c r="F184" s="156">
        <f t="shared" ref="F184:J184" si="263">F164+F174</f>
        <v>131</v>
      </c>
      <c r="G184" s="156">
        <f t="shared" si="263"/>
        <v>113</v>
      </c>
      <c r="H184" s="156">
        <f t="shared" si="263"/>
        <v>103</v>
      </c>
      <c r="I184" s="156">
        <f t="shared" si="263"/>
        <v>94</v>
      </c>
      <c r="J184" s="156">
        <f t="shared" si="263"/>
        <v>84</v>
      </c>
      <c r="K184" s="156">
        <f t="shared" ref="K184:L184" si="264">K164+K174</f>
        <v>80</v>
      </c>
      <c r="L184" s="156">
        <f t="shared" si="264"/>
        <v>77</v>
      </c>
      <c r="M184" s="166">
        <f t="shared" ref="M184:M189" si="265">SUM(F184:H184)</f>
        <v>347</v>
      </c>
      <c r="N184" s="172">
        <f t="shared" ref="N184:N189" si="266">SUM(F184:J184)</f>
        <v>525</v>
      </c>
      <c r="O184" s="1316">
        <f t="shared" si="239"/>
        <v>335</v>
      </c>
      <c r="S184" s="95"/>
      <c r="T184" s="154" t="s">
        <v>271</v>
      </c>
      <c r="V184" s="1733">
        <f t="shared" ref="V184:V190" si="267">E184</f>
        <v>147</v>
      </c>
      <c r="W184" s="89">
        <f t="shared" ref="W184:AC188" si="268">F184</f>
        <v>131</v>
      </c>
      <c r="X184" s="89">
        <f t="shared" si="268"/>
        <v>113</v>
      </c>
      <c r="Y184" s="89">
        <f t="shared" si="268"/>
        <v>103</v>
      </c>
      <c r="Z184" s="89">
        <f t="shared" si="268"/>
        <v>94</v>
      </c>
      <c r="AA184" s="89">
        <f t="shared" si="268"/>
        <v>84</v>
      </c>
      <c r="AB184" s="89">
        <f t="shared" si="268"/>
        <v>80</v>
      </c>
      <c r="AC184" s="89">
        <f t="shared" si="268"/>
        <v>77</v>
      </c>
      <c r="AD184" s="166">
        <f t="shared" si="260"/>
        <v>347</v>
      </c>
      <c r="AE184" s="172">
        <f t="shared" si="261"/>
        <v>525</v>
      </c>
      <c r="AF184" s="95">
        <f t="shared" ref="AF184:AF192" si="269">Z184+AA184+AB184+AC184</f>
        <v>335</v>
      </c>
    </row>
    <row r="185" spans="1:32">
      <c r="A185" s="160">
        <v>3</v>
      </c>
      <c r="B185" s="154" t="s">
        <v>276</v>
      </c>
      <c r="C185" s="155"/>
      <c r="D185" s="155"/>
      <c r="E185" s="156">
        <f t="shared" ref="E185" si="270">E165+E175</f>
        <v>316</v>
      </c>
      <c r="F185" s="156">
        <f t="shared" ref="F185:J185" si="271">F165+F175</f>
        <v>293</v>
      </c>
      <c r="G185" s="156">
        <f t="shared" si="271"/>
        <v>273</v>
      </c>
      <c r="H185" s="156">
        <f t="shared" si="271"/>
        <v>265</v>
      </c>
      <c r="I185" s="156">
        <f t="shared" si="271"/>
        <v>259</v>
      </c>
      <c r="J185" s="156">
        <f t="shared" si="271"/>
        <v>253</v>
      </c>
      <c r="K185" s="156">
        <f t="shared" ref="K185:L185" si="272">K165+K175</f>
        <v>249</v>
      </c>
      <c r="L185" s="156">
        <f t="shared" si="272"/>
        <v>245</v>
      </c>
      <c r="M185" s="166">
        <f t="shared" si="265"/>
        <v>831</v>
      </c>
      <c r="N185" s="172">
        <f t="shared" si="266"/>
        <v>1343</v>
      </c>
      <c r="O185" s="1316">
        <f t="shared" si="239"/>
        <v>1006</v>
      </c>
      <c r="S185" s="95"/>
      <c r="T185" s="154" t="s">
        <v>276</v>
      </c>
      <c r="V185" s="1733">
        <f t="shared" si="267"/>
        <v>316</v>
      </c>
      <c r="W185" s="89">
        <f t="shared" si="268"/>
        <v>293</v>
      </c>
      <c r="X185" s="89">
        <f t="shared" si="268"/>
        <v>273</v>
      </c>
      <c r="Y185" s="89">
        <f t="shared" si="268"/>
        <v>265</v>
      </c>
      <c r="Z185" s="89">
        <f t="shared" si="268"/>
        <v>259</v>
      </c>
      <c r="AA185" s="89">
        <f t="shared" si="268"/>
        <v>253</v>
      </c>
      <c r="AB185" s="89">
        <f t="shared" si="268"/>
        <v>249</v>
      </c>
      <c r="AC185" s="89">
        <f t="shared" si="268"/>
        <v>245</v>
      </c>
      <c r="AD185" s="166">
        <f t="shared" si="260"/>
        <v>831</v>
      </c>
      <c r="AE185" s="172">
        <f t="shared" si="261"/>
        <v>1343</v>
      </c>
      <c r="AF185" s="95">
        <f t="shared" si="269"/>
        <v>1006</v>
      </c>
    </row>
    <row r="186" spans="1:32">
      <c r="A186" s="160">
        <v>4</v>
      </c>
      <c r="B186" s="154" t="s">
        <v>277</v>
      </c>
      <c r="C186" s="155"/>
      <c r="D186" s="155"/>
      <c r="E186" s="156">
        <f t="shared" ref="E186" si="273">E166+E176</f>
        <v>111</v>
      </c>
      <c r="F186" s="156">
        <f t="shared" ref="F186:J186" si="274">F166+F176</f>
        <v>103</v>
      </c>
      <c r="G186" s="156">
        <f t="shared" si="274"/>
        <v>99</v>
      </c>
      <c r="H186" s="156">
        <f t="shared" si="274"/>
        <v>99</v>
      </c>
      <c r="I186" s="156">
        <f t="shared" si="274"/>
        <v>99</v>
      </c>
      <c r="J186" s="156">
        <f t="shared" si="274"/>
        <v>99</v>
      </c>
      <c r="K186" s="156">
        <f t="shared" ref="K186:L186" si="275">K166+K176</f>
        <v>96</v>
      </c>
      <c r="L186" s="156">
        <f t="shared" si="275"/>
        <v>94</v>
      </c>
      <c r="M186" s="166">
        <f t="shared" si="265"/>
        <v>301</v>
      </c>
      <c r="N186" s="172">
        <f t="shared" si="266"/>
        <v>499</v>
      </c>
      <c r="O186" s="1316">
        <f t="shared" si="239"/>
        <v>388</v>
      </c>
      <c r="S186" s="95"/>
      <c r="T186" s="154" t="s">
        <v>277</v>
      </c>
      <c r="V186" s="1733">
        <f t="shared" si="267"/>
        <v>111</v>
      </c>
      <c r="W186" s="89">
        <f t="shared" si="268"/>
        <v>103</v>
      </c>
      <c r="X186" s="89">
        <f t="shared" si="268"/>
        <v>99</v>
      </c>
      <c r="Y186" s="89">
        <f t="shared" si="268"/>
        <v>99</v>
      </c>
      <c r="Z186" s="89">
        <f t="shared" si="268"/>
        <v>99</v>
      </c>
      <c r="AA186" s="89">
        <f t="shared" si="268"/>
        <v>99</v>
      </c>
      <c r="AB186" s="89">
        <f t="shared" si="268"/>
        <v>96</v>
      </c>
      <c r="AC186" s="89">
        <f t="shared" si="268"/>
        <v>94</v>
      </c>
      <c r="AD186" s="166">
        <f t="shared" si="260"/>
        <v>301</v>
      </c>
      <c r="AE186" s="172">
        <f t="shared" si="261"/>
        <v>499</v>
      </c>
      <c r="AF186" s="95">
        <f t="shared" si="269"/>
        <v>388</v>
      </c>
    </row>
    <row r="187" spans="1:32">
      <c r="A187" s="160">
        <v>5</v>
      </c>
      <c r="B187" s="154" t="s">
        <v>278</v>
      </c>
      <c r="C187" s="155"/>
      <c r="D187" s="155"/>
      <c r="E187" s="156">
        <f t="shared" ref="E187" si="276">E167+E177</f>
        <v>27</v>
      </c>
      <c r="F187" s="156">
        <f t="shared" ref="F187:J187" si="277">F167+F177</f>
        <v>27</v>
      </c>
      <c r="G187" s="156">
        <f t="shared" si="277"/>
        <v>26</v>
      </c>
      <c r="H187" s="156">
        <f t="shared" si="277"/>
        <v>27</v>
      </c>
      <c r="I187" s="156">
        <f t="shared" si="277"/>
        <v>28</v>
      </c>
      <c r="J187" s="156">
        <f t="shared" si="277"/>
        <v>28</v>
      </c>
      <c r="K187" s="156">
        <f t="shared" ref="K187:L187" si="278">K167+K177</f>
        <v>28</v>
      </c>
      <c r="L187" s="156">
        <f t="shared" si="278"/>
        <v>27</v>
      </c>
      <c r="M187" s="166">
        <f t="shared" si="265"/>
        <v>80</v>
      </c>
      <c r="N187" s="172">
        <f t="shared" si="266"/>
        <v>136</v>
      </c>
      <c r="O187" s="1316">
        <f t="shared" si="239"/>
        <v>111</v>
      </c>
      <c r="S187" s="95"/>
      <c r="T187" s="154" t="s">
        <v>278</v>
      </c>
      <c r="V187" s="1733">
        <f t="shared" si="267"/>
        <v>27</v>
      </c>
      <c r="W187" s="89">
        <f t="shared" si="268"/>
        <v>27</v>
      </c>
      <c r="X187" s="89">
        <f t="shared" si="268"/>
        <v>26</v>
      </c>
      <c r="Y187" s="89">
        <f t="shared" si="268"/>
        <v>27</v>
      </c>
      <c r="Z187" s="89">
        <f t="shared" si="268"/>
        <v>28</v>
      </c>
      <c r="AA187" s="89">
        <f t="shared" si="268"/>
        <v>28</v>
      </c>
      <c r="AB187" s="89">
        <f t="shared" si="268"/>
        <v>28</v>
      </c>
      <c r="AC187" s="89">
        <f t="shared" si="268"/>
        <v>27</v>
      </c>
      <c r="AD187" s="166">
        <f t="shared" si="260"/>
        <v>80</v>
      </c>
      <c r="AE187" s="172">
        <f t="shared" si="261"/>
        <v>136</v>
      </c>
      <c r="AF187" s="95">
        <f t="shared" si="269"/>
        <v>111</v>
      </c>
    </row>
    <row r="188" spans="1:32">
      <c r="A188" s="160">
        <v>6</v>
      </c>
      <c r="B188" s="154" t="s">
        <v>275</v>
      </c>
      <c r="C188" s="155"/>
      <c r="D188" s="155"/>
      <c r="E188" s="156">
        <f t="shared" ref="E188:J188" si="279">E168+E178</f>
        <v>8</v>
      </c>
      <c r="F188" s="156">
        <f t="shared" si="279"/>
        <v>7.9999999999995453</v>
      </c>
      <c r="G188" s="156">
        <f t="shared" si="279"/>
        <v>8.9999999999995453</v>
      </c>
      <c r="H188" s="156">
        <f t="shared" si="279"/>
        <v>9</v>
      </c>
      <c r="I188" s="156">
        <f t="shared" si="279"/>
        <v>8.0000000000004547</v>
      </c>
      <c r="J188" s="156">
        <f t="shared" si="279"/>
        <v>9</v>
      </c>
      <c r="K188" s="156">
        <f t="shared" ref="K188:L188" si="280">K168+K178</f>
        <v>8</v>
      </c>
      <c r="L188" s="156">
        <f t="shared" si="280"/>
        <v>9</v>
      </c>
      <c r="M188" s="166">
        <f t="shared" si="265"/>
        <v>25.999999999999091</v>
      </c>
      <c r="N188" s="172">
        <f t="shared" si="266"/>
        <v>42.999999999999545</v>
      </c>
      <c r="O188" s="1316">
        <f t="shared" si="239"/>
        <v>34.000000000000455</v>
      </c>
      <c r="S188" s="95"/>
      <c r="T188" s="154" t="s">
        <v>275</v>
      </c>
      <c r="V188" s="1733">
        <f t="shared" si="267"/>
        <v>8</v>
      </c>
      <c r="W188" s="89">
        <f t="shared" si="268"/>
        <v>7.9999999999995453</v>
      </c>
      <c r="X188" s="89">
        <f t="shared" si="268"/>
        <v>8.9999999999995453</v>
      </c>
      <c r="Y188" s="89">
        <f t="shared" si="268"/>
        <v>9</v>
      </c>
      <c r="Z188" s="89">
        <f t="shared" si="268"/>
        <v>8.0000000000004547</v>
      </c>
      <c r="AA188" s="89">
        <f t="shared" si="268"/>
        <v>9</v>
      </c>
      <c r="AB188" s="89">
        <f t="shared" si="268"/>
        <v>8</v>
      </c>
      <c r="AC188" s="89">
        <f t="shared" si="268"/>
        <v>9</v>
      </c>
      <c r="AD188" s="166">
        <f t="shared" si="260"/>
        <v>25.999999999999091</v>
      </c>
      <c r="AE188" s="172">
        <f t="shared" si="261"/>
        <v>42.999999999999545</v>
      </c>
      <c r="AF188" s="95">
        <f t="shared" si="269"/>
        <v>34.000000000000455</v>
      </c>
    </row>
    <row r="189" spans="1:32">
      <c r="A189" s="162">
        <v>7</v>
      </c>
      <c r="B189" s="163" t="s">
        <v>248</v>
      </c>
      <c r="C189" s="265"/>
      <c r="D189" s="265"/>
      <c r="E189" s="280">
        <f>SUM(E183:E188)</f>
        <v>3611</v>
      </c>
      <c r="F189" s="280">
        <f t="shared" ref="F189:J189" si="281">SUM(F183:F188)</f>
        <v>3331.9999999999995</v>
      </c>
      <c r="G189" s="280">
        <f t="shared" si="281"/>
        <v>3048.9999999999995</v>
      </c>
      <c r="H189" s="280">
        <f t="shared" si="281"/>
        <v>2901</v>
      </c>
      <c r="I189" s="280">
        <f t="shared" si="281"/>
        <v>2784.0000000000005</v>
      </c>
      <c r="J189" s="280">
        <f t="shared" si="281"/>
        <v>2685</v>
      </c>
      <c r="K189" s="280">
        <f t="shared" ref="K189:L189" si="282">SUM(K183:K188)</f>
        <v>2603</v>
      </c>
      <c r="L189" s="280">
        <f t="shared" si="282"/>
        <v>2536</v>
      </c>
      <c r="M189" s="167">
        <f t="shared" si="265"/>
        <v>9282</v>
      </c>
      <c r="N189" s="94">
        <f t="shared" si="266"/>
        <v>14751</v>
      </c>
      <c r="O189" s="1316">
        <f t="shared" si="239"/>
        <v>10608</v>
      </c>
      <c r="S189" s="95"/>
      <c r="T189" s="163" t="s">
        <v>248</v>
      </c>
      <c r="V189" s="1733">
        <f t="shared" si="267"/>
        <v>3611</v>
      </c>
      <c r="W189" s="280">
        <f t="shared" ref="W189:AC189" si="283">SUM(W183:W188)</f>
        <v>3331.9999999999995</v>
      </c>
      <c r="X189" s="280">
        <f t="shared" si="283"/>
        <v>3048.9999999999995</v>
      </c>
      <c r="Y189" s="280">
        <f t="shared" si="283"/>
        <v>2901</v>
      </c>
      <c r="Z189" s="280">
        <f t="shared" si="283"/>
        <v>2784.0000000000005</v>
      </c>
      <c r="AA189" s="280">
        <f t="shared" si="283"/>
        <v>2685</v>
      </c>
      <c r="AB189" s="280">
        <f t="shared" si="283"/>
        <v>2603</v>
      </c>
      <c r="AC189" s="280">
        <f t="shared" si="283"/>
        <v>2536</v>
      </c>
      <c r="AD189" s="167">
        <f t="shared" si="260"/>
        <v>9282</v>
      </c>
      <c r="AE189" s="94">
        <f t="shared" si="261"/>
        <v>14751</v>
      </c>
      <c r="AF189" s="95">
        <f t="shared" si="269"/>
        <v>10608</v>
      </c>
    </row>
    <row r="190" spans="1:32">
      <c r="A190" s="281"/>
      <c r="B190" s="282" t="s">
        <v>831</v>
      </c>
      <c r="C190" s="282"/>
      <c r="D190" s="283"/>
      <c r="E190" s="284">
        <f>SUM(E185,E186,E187)</f>
        <v>454</v>
      </c>
      <c r="F190" s="284">
        <f t="shared" ref="F190:N190" si="284">SUM(F185,F186,F187)</f>
        <v>423</v>
      </c>
      <c r="G190" s="284">
        <f t="shared" si="284"/>
        <v>398</v>
      </c>
      <c r="H190" s="284">
        <f t="shared" si="284"/>
        <v>391</v>
      </c>
      <c r="I190" s="284">
        <f t="shared" si="284"/>
        <v>386</v>
      </c>
      <c r="J190" s="284">
        <f t="shared" si="284"/>
        <v>380</v>
      </c>
      <c r="K190" s="284">
        <f t="shared" ref="K190:L190" si="285">SUM(K185,K186,K187)</f>
        <v>373</v>
      </c>
      <c r="L190" s="284">
        <f t="shared" si="285"/>
        <v>366</v>
      </c>
      <c r="M190" s="285">
        <f t="shared" si="284"/>
        <v>1212</v>
      </c>
      <c r="N190" s="286">
        <f t="shared" si="284"/>
        <v>1978</v>
      </c>
      <c r="O190" s="1316">
        <f t="shared" si="239"/>
        <v>1505</v>
      </c>
      <c r="S190" s="95"/>
      <c r="T190" s="282" t="s">
        <v>831</v>
      </c>
      <c r="V190" s="1733">
        <f t="shared" si="267"/>
        <v>454</v>
      </c>
      <c r="W190" s="284">
        <f t="shared" ref="W190:AE190" si="286">SUM(W185,W186,W187)</f>
        <v>423</v>
      </c>
      <c r="X190" s="284">
        <f t="shared" si="286"/>
        <v>398</v>
      </c>
      <c r="Y190" s="284">
        <f t="shared" si="286"/>
        <v>391</v>
      </c>
      <c r="Z190" s="284">
        <f t="shared" si="286"/>
        <v>386</v>
      </c>
      <c r="AA190" s="284">
        <f t="shared" si="286"/>
        <v>380</v>
      </c>
      <c r="AB190" s="284">
        <f t="shared" si="286"/>
        <v>373</v>
      </c>
      <c r="AC190" s="284">
        <f t="shared" si="286"/>
        <v>366</v>
      </c>
      <c r="AD190" s="285">
        <f t="shared" si="286"/>
        <v>1212</v>
      </c>
      <c r="AE190" s="286">
        <f t="shared" si="286"/>
        <v>1978</v>
      </c>
      <c r="AF190" s="95">
        <f t="shared" si="269"/>
        <v>1505</v>
      </c>
    </row>
    <row r="191" spans="1:32">
      <c r="A191" s="281"/>
      <c r="B191" s="282"/>
      <c r="C191" s="282"/>
      <c r="D191" s="283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1316">
        <f t="shared" si="239"/>
        <v>0</v>
      </c>
      <c r="S191" s="95"/>
      <c r="U191" s="325" t="s">
        <v>1766</v>
      </c>
      <c r="W191" s="324">
        <f t="shared" ref="W191:AE191" si="287">F189-W189</f>
        <v>0</v>
      </c>
      <c r="X191" s="324">
        <f t="shared" si="287"/>
        <v>0</v>
      </c>
      <c r="Y191" s="324">
        <f t="shared" si="287"/>
        <v>0</v>
      </c>
      <c r="Z191" s="324">
        <f t="shared" si="287"/>
        <v>0</v>
      </c>
      <c r="AA191" s="324">
        <f t="shared" si="287"/>
        <v>0</v>
      </c>
      <c r="AB191" s="324">
        <f t="shared" si="287"/>
        <v>0</v>
      </c>
      <c r="AC191" s="324">
        <f t="shared" si="287"/>
        <v>0</v>
      </c>
      <c r="AD191" s="324">
        <f t="shared" si="287"/>
        <v>0</v>
      </c>
      <c r="AE191" s="324">
        <f t="shared" si="287"/>
        <v>0</v>
      </c>
      <c r="AF191" s="95">
        <f t="shared" si="269"/>
        <v>0</v>
      </c>
    </row>
    <row r="192" spans="1:32" ht="15.75">
      <c r="A192" s="260" t="s">
        <v>755</v>
      </c>
      <c r="B192" s="268" t="s">
        <v>281</v>
      </c>
      <c r="C192" s="269"/>
      <c r="D192" s="269"/>
      <c r="E192" s="270"/>
      <c r="F192" s="270"/>
      <c r="G192" s="270"/>
      <c r="H192" s="271"/>
      <c r="I192" s="271"/>
      <c r="J192" s="271"/>
      <c r="K192" s="271"/>
      <c r="L192" s="271"/>
      <c r="M192" s="177"/>
      <c r="N192" s="178"/>
      <c r="O192" s="1316">
        <f t="shared" si="239"/>
        <v>0</v>
      </c>
      <c r="S192" s="95"/>
      <c r="W192" s="95">
        <f t="shared" ref="W192:AC192" si="288">V13</f>
        <v>3332</v>
      </c>
      <c r="X192" s="95">
        <f t="shared" si="288"/>
        <v>3049</v>
      </c>
      <c r="Y192" s="95">
        <f t="shared" si="288"/>
        <v>2901</v>
      </c>
      <c r="Z192" s="95">
        <f t="shared" si="288"/>
        <v>2784</v>
      </c>
      <c r="AA192" s="95">
        <f t="shared" si="288"/>
        <v>2685</v>
      </c>
      <c r="AB192" s="95">
        <f t="shared" si="288"/>
        <v>2603</v>
      </c>
      <c r="AC192" s="95">
        <f t="shared" si="288"/>
        <v>2536</v>
      </c>
      <c r="AD192" s="167">
        <f t="shared" ref="AD192" si="289">SUM(W192:Y192)</f>
        <v>9282</v>
      </c>
      <c r="AE192" s="94">
        <f t="shared" ref="AE192" si="290">SUM(W192:AA192)</f>
        <v>14751</v>
      </c>
      <c r="AF192" s="95">
        <f t="shared" si="269"/>
        <v>10608</v>
      </c>
    </row>
    <row r="193" spans="1:30">
      <c r="A193" s="162">
        <v>1</v>
      </c>
      <c r="B193" s="91" t="s">
        <v>291</v>
      </c>
      <c r="C193" s="154"/>
      <c r="D193" s="154"/>
      <c r="E193" s="89"/>
      <c r="F193" s="89"/>
      <c r="G193" s="89"/>
      <c r="H193" s="89"/>
      <c r="I193" s="89"/>
      <c r="J193" s="89"/>
      <c r="K193" s="89"/>
      <c r="L193" s="89"/>
      <c r="M193" s="167"/>
      <c r="N193" s="94"/>
      <c r="O193" s="1316">
        <f t="shared" si="239"/>
        <v>0</v>
      </c>
      <c r="S193" s="95"/>
      <c r="U193" s="325" t="s">
        <v>1767</v>
      </c>
      <c r="V193" s="324">
        <f t="shared" ref="V193:AD193" si="291">W189-W192</f>
        <v>0</v>
      </c>
      <c r="W193" s="324">
        <f t="shared" si="291"/>
        <v>0</v>
      </c>
      <c r="X193" s="324">
        <f t="shared" si="291"/>
        <v>0</v>
      </c>
      <c r="Y193" s="324">
        <f t="shared" si="291"/>
        <v>0</v>
      </c>
      <c r="Z193" s="324">
        <f t="shared" si="291"/>
        <v>0</v>
      </c>
      <c r="AA193" s="324">
        <f t="shared" si="291"/>
        <v>0</v>
      </c>
      <c r="AB193" s="324">
        <f t="shared" si="291"/>
        <v>0</v>
      </c>
      <c r="AC193" s="324">
        <f t="shared" si="291"/>
        <v>0</v>
      </c>
      <c r="AD193" s="324">
        <f t="shared" si="291"/>
        <v>0</v>
      </c>
    </row>
    <row r="194" spans="1:30">
      <c r="A194" s="160">
        <v>1.1000000000000001</v>
      </c>
      <c r="B194" s="164" t="s">
        <v>279</v>
      </c>
      <c r="C194" s="266"/>
      <c r="D194" s="266"/>
      <c r="E194" s="287">
        <v>12</v>
      </c>
      <c r="F194" s="287">
        <f>E194</f>
        <v>12</v>
      </c>
      <c r="G194" s="287">
        <f t="shared" ref="G194:J194" si="292">F194</f>
        <v>12</v>
      </c>
      <c r="H194" s="287">
        <f t="shared" si="292"/>
        <v>12</v>
      </c>
      <c r="I194" s="287">
        <f t="shared" si="292"/>
        <v>12</v>
      </c>
      <c r="J194" s="287">
        <f t="shared" si="292"/>
        <v>12</v>
      </c>
      <c r="K194" s="287">
        <f t="shared" ref="K194" si="293">J194</f>
        <v>12</v>
      </c>
      <c r="L194" s="287">
        <f t="shared" ref="L194" si="294">K194</f>
        <v>12</v>
      </c>
      <c r="M194" s="167"/>
      <c r="N194" s="94"/>
      <c r="O194" s="1316">
        <f t="shared" si="239"/>
        <v>48</v>
      </c>
      <c r="S194" s="95"/>
    </row>
    <row r="195" spans="1:30">
      <c r="A195" s="160">
        <v>1.2</v>
      </c>
      <c r="B195" s="164" t="s">
        <v>280</v>
      </c>
      <c r="C195" s="154"/>
      <c r="D195" s="154"/>
      <c r="E195" s="89">
        <f t="shared" ref="E195:J195" si="295">E13*E194</f>
        <v>43332</v>
      </c>
      <c r="F195" s="89">
        <f t="shared" si="295"/>
        <v>39984</v>
      </c>
      <c r="G195" s="89">
        <f t="shared" si="295"/>
        <v>36588</v>
      </c>
      <c r="H195" s="89">
        <f t="shared" si="295"/>
        <v>34812</v>
      </c>
      <c r="I195" s="89">
        <f t="shared" si="295"/>
        <v>33408</v>
      </c>
      <c r="J195" s="89">
        <f t="shared" si="295"/>
        <v>32220</v>
      </c>
      <c r="K195" s="89">
        <f t="shared" ref="K195:L195" si="296">K13*K194</f>
        <v>31236</v>
      </c>
      <c r="L195" s="89">
        <f t="shared" si="296"/>
        <v>30432</v>
      </c>
      <c r="M195" s="167">
        <f t="shared" ref="M195:M197" si="297">SUM(F195:H195)</f>
        <v>111384</v>
      </c>
      <c r="N195" s="94">
        <f t="shared" ref="N195:N197" si="298">SUM(F195:J195)</f>
        <v>177012</v>
      </c>
      <c r="O195" s="1316">
        <f t="shared" si="239"/>
        <v>127296</v>
      </c>
      <c r="S195" s="95"/>
    </row>
    <row r="196" spans="1:30">
      <c r="A196" s="160">
        <v>1.3</v>
      </c>
      <c r="B196" s="164" t="s">
        <v>282</v>
      </c>
      <c r="C196" s="154"/>
      <c r="D196" s="154"/>
      <c r="E196" s="272">
        <v>0.5</v>
      </c>
      <c r="F196" s="272">
        <v>0.55000000000000004</v>
      </c>
      <c r="G196" s="272">
        <v>0.6</v>
      </c>
      <c r="H196" s="272">
        <v>0.62</v>
      </c>
      <c r="I196" s="272">
        <v>0.64</v>
      </c>
      <c r="J196" s="272">
        <v>0.65</v>
      </c>
      <c r="K196" s="272">
        <v>0.65</v>
      </c>
      <c r="L196" s="272">
        <v>0.65</v>
      </c>
      <c r="M196" s="167"/>
      <c r="N196" s="94"/>
      <c r="O196" s="1316">
        <f t="shared" si="239"/>
        <v>2.59</v>
      </c>
      <c r="S196" s="95"/>
    </row>
    <row r="197" spans="1:30">
      <c r="A197" s="160">
        <v>1.4</v>
      </c>
      <c r="B197" s="164" t="s">
        <v>283</v>
      </c>
      <c r="C197" s="154"/>
      <c r="D197" s="154"/>
      <c r="E197" s="89">
        <f>E195*E196</f>
        <v>21666</v>
      </c>
      <c r="F197" s="89">
        <f t="shared" ref="F197:J197" si="299">F195*F196</f>
        <v>21991.200000000001</v>
      </c>
      <c r="G197" s="89">
        <f t="shared" si="299"/>
        <v>21952.799999999999</v>
      </c>
      <c r="H197" s="89">
        <f t="shared" si="299"/>
        <v>21583.439999999999</v>
      </c>
      <c r="I197" s="89">
        <f t="shared" si="299"/>
        <v>21381.119999999999</v>
      </c>
      <c r="J197" s="89">
        <f t="shared" si="299"/>
        <v>20943</v>
      </c>
      <c r="K197" s="89">
        <f t="shared" ref="K197:L197" si="300">K195*K196</f>
        <v>20303.400000000001</v>
      </c>
      <c r="L197" s="89">
        <f t="shared" si="300"/>
        <v>19780.8</v>
      </c>
      <c r="M197" s="167">
        <f t="shared" si="297"/>
        <v>65527.44</v>
      </c>
      <c r="N197" s="94">
        <f t="shared" si="298"/>
        <v>107851.56</v>
      </c>
      <c r="O197" s="1316">
        <f t="shared" si="239"/>
        <v>82408.319999999992</v>
      </c>
      <c r="S197" s="95"/>
    </row>
    <row r="198" spans="1:30" ht="13.5" thickBot="1">
      <c r="A198" s="160">
        <v>1.5</v>
      </c>
      <c r="B198" s="164" t="s">
        <v>301</v>
      </c>
      <c r="C198" s="154"/>
      <c r="D198" s="154"/>
      <c r="E198" s="287">
        <f t="shared" ref="E198:J198" si="301">E197/E13</f>
        <v>6</v>
      </c>
      <c r="F198" s="287">
        <f t="shared" si="301"/>
        <v>6.6000000000000005</v>
      </c>
      <c r="G198" s="287">
        <f t="shared" si="301"/>
        <v>7.2</v>
      </c>
      <c r="H198" s="287">
        <f t="shared" si="301"/>
        <v>7.4399999999999995</v>
      </c>
      <c r="I198" s="287">
        <f t="shared" si="301"/>
        <v>7.68</v>
      </c>
      <c r="J198" s="287">
        <f t="shared" si="301"/>
        <v>7.8</v>
      </c>
      <c r="K198" s="287">
        <f t="shared" ref="K198:L198" si="302">K197/K13</f>
        <v>7.8000000000000007</v>
      </c>
      <c r="L198" s="287">
        <f t="shared" si="302"/>
        <v>7.8</v>
      </c>
      <c r="M198" s="310"/>
      <c r="N198" s="94"/>
      <c r="O198" s="1316">
        <f t="shared" si="239"/>
        <v>31.080000000000002</v>
      </c>
      <c r="S198" s="95"/>
    </row>
    <row r="199" spans="1:30" ht="27.75" thickBot="1">
      <c r="A199" s="162">
        <v>2</v>
      </c>
      <c r="B199" s="91" t="s">
        <v>284</v>
      </c>
      <c r="C199" s="154"/>
      <c r="D199" s="154"/>
      <c r="E199" s="89"/>
      <c r="F199" s="89"/>
      <c r="G199" s="89"/>
      <c r="H199" s="89"/>
      <c r="I199" s="89"/>
      <c r="J199" s="89"/>
      <c r="K199" s="89"/>
      <c r="L199" s="89"/>
      <c r="M199" s="167"/>
      <c r="N199" s="94"/>
      <c r="O199" s="1316">
        <f t="shared" si="239"/>
        <v>0</v>
      </c>
      <c r="S199" s="95"/>
      <c r="V199" s="1626" t="s">
        <v>2137</v>
      </c>
      <c r="W199" s="1626" t="s">
        <v>2172</v>
      </c>
      <c r="X199" s="1626">
        <v>2016</v>
      </c>
      <c r="Y199" s="1626">
        <v>2019</v>
      </c>
      <c r="Z199" s="1626">
        <v>2020</v>
      </c>
      <c r="AA199" s="1626">
        <v>2021</v>
      </c>
      <c r="AB199" s="1626">
        <v>2022</v>
      </c>
      <c r="AC199" s="1626" t="s">
        <v>4</v>
      </c>
      <c r="AD199" s="1734" t="s">
        <v>4</v>
      </c>
    </row>
    <row r="200" spans="1:30" ht="13.5" thickBot="1">
      <c r="A200" s="160">
        <v>2.1</v>
      </c>
      <c r="B200" s="164" t="s">
        <v>293</v>
      </c>
      <c r="C200" s="154"/>
      <c r="D200" s="154"/>
      <c r="E200" s="272">
        <v>0.8</v>
      </c>
      <c r="F200" s="272">
        <v>0.75</v>
      </c>
      <c r="G200" s="272">
        <v>0.7</v>
      </c>
      <c r="H200" s="272">
        <v>0.65</v>
      </c>
      <c r="I200" s="272">
        <v>0.5</v>
      </c>
      <c r="J200" s="272">
        <v>0.35</v>
      </c>
      <c r="K200" s="272">
        <v>0.35</v>
      </c>
      <c r="L200" s="272">
        <v>0.35</v>
      </c>
      <c r="M200" s="167"/>
      <c r="N200" s="94"/>
      <c r="O200" s="1316">
        <f t="shared" si="239"/>
        <v>1.5499999999999998</v>
      </c>
      <c r="P200" s="65" t="s">
        <v>833</v>
      </c>
      <c r="S200" s="95"/>
      <c r="V200" s="1632" t="s">
        <v>274</v>
      </c>
      <c r="W200" s="1634">
        <v>3002</v>
      </c>
      <c r="X200" s="1634">
        <f>W183</f>
        <v>2770</v>
      </c>
      <c r="Y200" s="1634">
        <f>Z183</f>
        <v>2296</v>
      </c>
      <c r="Z200" s="1634">
        <f t="shared" ref="Z200:AB200" si="303">AA183</f>
        <v>2212</v>
      </c>
      <c r="AA200" s="1634">
        <f t="shared" si="303"/>
        <v>2142</v>
      </c>
      <c r="AB200" s="1634">
        <f t="shared" si="303"/>
        <v>2084</v>
      </c>
      <c r="AC200" s="1737">
        <f>Y200+Z200+AA200+AB200</f>
        <v>8734</v>
      </c>
      <c r="AD200" s="1735">
        <v>8734</v>
      </c>
    </row>
    <row r="201" spans="1:30" ht="13.5" thickBot="1">
      <c r="A201" s="160">
        <v>2.2000000000000002</v>
      </c>
      <c r="B201" s="164" t="s">
        <v>285</v>
      </c>
      <c r="C201" s="154"/>
      <c r="D201" s="154"/>
      <c r="E201" s="89">
        <f>E197*E200</f>
        <v>17332.8</v>
      </c>
      <c r="F201" s="89">
        <f t="shared" ref="F201:J201" si="304">F197*F200</f>
        <v>16493.400000000001</v>
      </c>
      <c r="G201" s="89">
        <f t="shared" si="304"/>
        <v>15366.96</v>
      </c>
      <c r="H201" s="89">
        <f t="shared" si="304"/>
        <v>14029.235999999999</v>
      </c>
      <c r="I201" s="89">
        <f t="shared" si="304"/>
        <v>10690.56</v>
      </c>
      <c r="J201" s="89">
        <f t="shared" si="304"/>
        <v>7330.0499999999993</v>
      </c>
      <c r="K201" s="89">
        <f t="shared" ref="K201:L201" si="305">K197*K200</f>
        <v>7106.1900000000005</v>
      </c>
      <c r="L201" s="89">
        <f t="shared" si="305"/>
        <v>6923.28</v>
      </c>
      <c r="M201" s="167">
        <f t="shared" ref="M201:M207" si="306">SUM(F201:H201)</f>
        <v>45889.595999999998</v>
      </c>
      <c r="N201" s="94">
        <f t="shared" ref="N201:N207" si="307">SUM(F201:J201)</f>
        <v>63910.205999999991</v>
      </c>
      <c r="O201" s="1316">
        <f t="shared" si="239"/>
        <v>32050.080000000002</v>
      </c>
      <c r="S201" s="95"/>
      <c r="V201" s="1632" t="s">
        <v>2139</v>
      </c>
      <c r="W201" s="1738">
        <v>147</v>
      </c>
      <c r="X201" s="1634">
        <f>W184</f>
        <v>131</v>
      </c>
      <c r="Y201" s="1738">
        <v>105</v>
      </c>
      <c r="Z201" s="1738">
        <v>97</v>
      </c>
      <c r="AA201" s="1738">
        <v>94</v>
      </c>
      <c r="AB201" s="1738">
        <v>91</v>
      </c>
      <c r="AC201" s="1737">
        <f t="shared" ref="AC201:AC205" si="308">Y201+Z201+AA201+AB201</f>
        <v>387</v>
      </c>
      <c r="AD201" s="1736">
        <v>335</v>
      </c>
    </row>
    <row r="202" spans="1:30" ht="25.5">
      <c r="A202" s="160">
        <v>2.2999999999999998</v>
      </c>
      <c r="B202" s="164" t="s">
        <v>286</v>
      </c>
      <c r="C202" s="266"/>
      <c r="D202" s="154"/>
      <c r="E202" s="272">
        <v>0.95</v>
      </c>
      <c r="F202" s="272">
        <v>0.95</v>
      </c>
      <c r="G202" s="272">
        <v>0.95</v>
      </c>
      <c r="H202" s="272">
        <v>0.95</v>
      </c>
      <c r="I202" s="272">
        <v>0.95</v>
      </c>
      <c r="J202" s="272">
        <v>0.95</v>
      </c>
      <c r="K202" s="272">
        <v>0.95</v>
      </c>
      <c r="L202" s="272">
        <v>0.95</v>
      </c>
      <c r="M202" s="167"/>
      <c r="N202" s="94"/>
      <c r="O202" s="1316">
        <f t="shared" si="239"/>
        <v>3.8</v>
      </c>
      <c r="S202" s="95"/>
      <c r="V202" s="1632" t="s">
        <v>2140</v>
      </c>
      <c r="W202" s="149">
        <f>W203+W204+W205</f>
        <v>454</v>
      </c>
      <c r="X202" s="149">
        <f>X203+X204+X205</f>
        <v>423</v>
      </c>
      <c r="Y202" s="149">
        <f t="shared" ref="Y202:AD202" si="309">Y203+Y204+Y205</f>
        <v>384</v>
      </c>
      <c r="Z202" s="149">
        <f t="shared" si="309"/>
        <v>379</v>
      </c>
      <c r="AA202" s="149">
        <f t="shared" si="309"/>
        <v>373</v>
      </c>
      <c r="AB202" s="149">
        <f t="shared" si="309"/>
        <v>367</v>
      </c>
      <c r="AC202" s="1737">
        <f t="shared" si="308"/>
        <v>1503</v>
      </c>
      <c r="AD202" s="149">
        <f t="shared" si="309"/>
        <v>499</v>
      </c>
    </row>
    <row r="203" spans="1:30" ht="51.75" thickBot="1">
      <c r="A203" s="160">
        <v>2.4</v>
      </c>
      <c r="B203" s="164" t="s">
        <v>287</v>
      </c>
      <c r="C203" s="266"/>
      <c r="D203" s="154"/>
      <c r="E203" s="89">
        <f>E201*E202</f>
        <v>16466.16</v>
      </c>
      <c r="F203" s="89">
        <f t="shared" ref="F203:J203" si="310">F201*F202</f>
        <v>15668.730000000001</v>
      </c>
      <c r="G203" s="89">
        <f t="shared" si="310"/>
        <v>14598.611999999999</v>
      </c>
      <c r="H203" s="89">
        <f t="shared" si="310"/>
        <v>13327.774199999998</v>
      </c>
      <c r="I203" s="89">
        <f t="shared" si="310"/>
        <v>10156.031999999999</v>
      </c>
      <c r="J203" s="89">
        <f t="shared" si="310"/>
        <v>6963.5474999999988</v>
      </c>
      <c r="K203" s="89">
        <f t="shared" ref="K203:L203" si="311">K201*K202</f>
        <v>6750.8805000000002</v>
      </c>
      <c r="L203" s="89">
        <f t="shared" si="311"/>
        <v>6577.1159999999991</v>
      </c>
      <c r="M203" s="167">
        <f t="shared" si="306"/>
        <v>43595.116199999997</v>
      </c>
      <c r="N203" s="94">
        <f t="shared" si="307"/>
        <v>60714.695699999997</v>
      </c>
      <c r="O203" s="1316">
        <f t="shared" si="239"/>
        <v>30447.575999999997</v>
      </c>
      <c r="S203" s="95"/>
      <c r="V203" s="1631" t="s">
        <v>2141</v>
      </c>
      <c r="W203" s="1739">
        <f>V185</f>
        <v>316</v>
      </c>
      <c r="X203" s="1739">
        <f>W185</f>
        <v>293</v>
      </c>
      <c r="Y203" s="1634">
        <f>Z185</f>
        <v>259</v>
      </c>
      <c r="Z203" s="1634">
        <f t="shared" ref="Z203:AB203" si="312">AA185</f>
        <v>253</v>
      </c>
      <c r="AA203" s="1634">
        <f t="shared" si="312"/>
        <v>249</v>
      </c>
      <c r="AB203" s="1634">
        <f t="shared" si="312"/>
        <v>245</v>
      </c>
      <c r="AC203" s="1737">
        <f t="shared" si="308"/>
        <v>1006</v>
      </c>
      <c r="AD203" s="1736">
        <v>388</v>
      </c>
    </row>
    <row r="204" spans="1:30" ht="26.25" thickBot="1">
      <c r="A204" s="160">
        <v>2.5</v>
      </c>
      <c r="B204" s="288" t="s">
        <v>288</v>
      </c>
      <c r="C204" s="154"/>
      <c r="D204" s="154"/>
      <c r="E204" s="152">
        <v>0.12</v>
      </c>
      <c r="F204" s="152">
        <v>0.11</v>
      </c>
      <c r="G204" s="152">
        <v>0.1</v>
      </c>
      <c r="H204" s="152">
        <v>0.1</v>
      </c>
      <c r="I204" s="152">
        <v>0.1</v>
      </c>
      <c r="J204" s="152">
        <v>0.1</v>
      </c>
      <c r="K204" s="152">
        <v>0.1</v>
      </c>
      <c r="L204" s="152">
        <v>0.1</v>
      </c>
      <c r="M204" s="167"/>
      <c r="N204" s="94"/>
      <c r="O204" s="1316">
        <f t="shared" si="239"/>
        <v>0.4</v>
      </c>
      <c r="S204" s="95"/>
      <c r="V204" s="1631" t="s">
        <v>2142</v>
      </c>
      <c r="W204" s="1738">
        <v>111</v>
      </c>
      <c r="X204" s="1634">
        <f>W186</f>
        <v>103</v>
      </c>
      <c r="Y204" s="1634">
        <f>Z186</f>
        <v>99</v>
      </c>
      <c r="Z204" s="1634">
        <f t="shared" ref="Z204:AB204" si="313">AA186</f>
        <v>99</v>
      </c>
      <c r="AA204" s="1634">
        <f t="shared" si="313"/>
        <v>96</v>
      </c>
      <c r="AB204" s="1634">
        <f t="shared" si="313"/>
        <v>94</v>
      </c>
      <c r="AC204" s="1737">
        <f t="shared" si="308"/>
        <v>388</v>
      </c>
      <c r="AD204" s="1736">
        <v>111</v>
      </c>
    </row>
    <row r="205" spans="1:30" ht="26.25" thickBot="1">
      <c r="A205" s="160">
        <v>2.6</v>
      </c>
      <c r="B205" s="164" t="s">
        <v>289</v>
      </c>
      <c r="C205" s="266"/>
      <c r="D205" s="266"/>
      <c r="E205" s="89">
        <f>E203+E203*E204</f>
        <v>18442.099200000001</v>
      </c>
      <c r="F205" s="89">
        <f t="shared" ref="F205:J205" si="314">F203+F203*F204</f>
        <v>17392.290300000001</v>
      </c>
      <c r="G205" s="89">
        <f t="shared" si="314"/>
        <v>16058.473199999999</v>
      </c>
      <c r="H205" s="89">
        <f t="shared" si="314"/>
        <v>14660.551619999998</v>
      </c>
      <c r="I205" s="89">
        <f t="shared" si="314"/>
        <v>11171.635199999999</v>
      </c>
      <c r="J205" s="89">
        <f t="shared" si="314"/>
        <v>7659.9022499999992</v>
      </c>
      <c r="K205" s="89">
        <f t="shared" ref="K205:L205" si="315">K203+K203*K204</f>
        <v>7425.9685500000005</v>
      </c>
      <c r="L205" s="89">
        <f t="shared" si="315"/>
        <v>7234.8275999999987</v>
      </c>
      <c r="M205" s="167">
        <f t="shared" si="306"/>
        <v>48111.315119999999</v>
      </c>
      <c r="N205" s="94">
        <f t="shared" si="307"/>
        <v>66942.852569999988</v>
      </c>
      <c r="O205" s="1316">
        <f t="shared" si="239"/>
        <v>33492.333599999998</v>
      </c>
      <c r="S205" s="95"/>
      <c r="V205" s="1631" t="s">
        <v>2143</v>
      </c>
      <c r="W205" s="1738">
        <v>27</v>
      </c>
      <c r="X205" s="1634">
        <f>W187</f>
        <v>27</v>
      </c>
      <c r="Y205" s="1634">
        <f>X187</f>
        <v>26</v>
      </c>
      <c r="Z205" s="1634">
        <f t="shared" ref="Z205:AB205" si="316">Y187</f>
        <v>27</v>
      </c>
      <c r="AA205" s="1634">
        <f t="shared" si="316"/>
        <v>28</v>
      </c>
      <c r="AB205" s="1634">
        <f t="shared" si="316"/>
        <v>28</v>
      </c>
      <c r="AC205" s="1737">
        <f t="shared" si="308"/>
        <v>109</v>
      </c>
      <c r="AD205" s="1736"/>
    </row>
    <row r="206" spans="1:30" ht="15.75" thickBot="1">
      <c r="A206" s="160">
        <v>2.7</v>
      </c>
      <c r="B206" s="164" t="s">
        <v>239</v>
      </c>
      <c r="C206" s="266"/>
      <c r="D206" s="266"/>
      <c r="E206" s="287">
        <v>1.9</v>
      </c>
      <c r="F206" s="287">
        <v>1.6</v>
      </c>
      <c r="G206" s="287">
        <v>1.2</v>
      </c>
      <c r="H206" s="287">
        <v>1</v>
      </c>
      <c r="I206" s="287">
        <f>H206</f>
        <v>1</v>
      </c>
      <c r="J206" s="287">
        <f t="shared" ref="J206" si="317">I206</f>
        <v>1</v>
      </c>
      <c r="K206" s="287">
        <f t="shared" ref="K206" si="318">J206</f>
        <v>1</v>
      </c>
      <c r="L206" s="287">
        <f t="shared" ref="L206" si="319">K206</f>
        <v>1</v>
      </c>
      <c r="M206" s="167"/>
      <c r="N206" s="94"/>
      <c r="O206" s="1316">
        <f t="shared" si="239"/>
        <v>4</v>
      </c>
      <c r="S206" s="95"/>
      <c r="V206" s="1627" t="s">
        <v>2144</v>
      </c>
      <c r="W206" s="1634">
        <v>3611</v>
      </c>
      <c r="X206" s="1634">
        <f>X200+X201+X202</f>
        <v>3324</v>
      </c>
      <c r="Y206" s="1633">
        <f>Y200+Y201+Y202</f>
        <v>2785</v>
      </c>
      <c r="Z206" s="1633">
        <f t="shared" ref="Z206:AB206" si="320">Z200+Z201+Z202</f>
        <v>2688</v>
      </c>
      <c r="AA206" s="1633">
        <f t="shared" si="320"/>
        <v>2609</v>
      </c>
      <c r="AB206" s="1633">
        <f t="shared" si="320"/>
        <v>2542</v>
      </c>
      <c r="AC206" s="1737">
        <v>10608</v>
      </c>
      <c r="AD206" s="1735">
        <v>10608</v>
      </c>
    </row>
    <row r="207" spans="1:30">
      <c r="A207" s="160">
        <v>2.8</v>
      </c>
      <c r="B207" s="164" t="s">
        <v>290</v>
      </c>
      <c r="C207" s="154"/>
      <c r="D207" s="154"/>
      <c r="E207" s="89">
        <f>E205*E206</f>
        <v>35039.98848</v>
      </c>
      <c r="F207" s="89">
        <f t="shared" ref="F207:J207" si="321">F205*F206</f>
        <v>27827.664480000003</v>
      </c>
      <c r="G207" s="89">
        <f t="shared" si="321"/>
        <v>19270.167839999998</v>
      </c>
      <c r="H207" s="89">
        <f t="shared" si="321"/>
        <v>14660.551619999998</v>
      </c>
      <c r="I207" s="89">
        <f t="shared" si="321"/>
        <v>11171.635199999999</v>
      </c>
      <c r="J207" s="89">
        <f t="shared" si="321"/>
        <v>7659.9022499999992</v>
      </c>
      <c r="K207" s="89">
        <f t="shared" ref="K207:L207" si="322">K205*K206</f>
        <v>7425.9685500000005</v>
      </c>
      <c r="L207" s="89">
        <f t="shared" si="322"/>
        <v>7234.8275999999987</v>
      </c>
      <c r="M207" s="167">
        <f t="shared" si="306"/>
        <v>61758.38394</v>
      </c>
      <c r="N207" s="94">
        <f t="shared" si="307"/>
        <v>80589.921390000003</v>
      </c>
      <c r="O207" s="1316">
        <f t="shared" si="239"/>
        <v>33492.333599999998</v>
      </c>
      <c r="S207" s="95"/>
    </row>
    <row r="208" spans="1:30">
      <c r="A208" s="162">
        <v>3</v>
      </c>
      <c r="B208" s="91" t="s">
        <v>292</v>
      </c>
      <c r="C208" s="154"/>
      <c r="D208" s="154"/>
      <c r="E208" s="89"/>
      <c r="F208" s="89"/>
      <c r="G208" s="89"/>
      <c r="H208" s="89"/>
      <c r="I208" s="89"/>
      <c r="J208" s="89"/>
      <c r="K208" s="89"/>
      <c r="L208" s="89"/>
      <c r="M208" s="167"/>
      <c r="N208" s="94"/>
      <c r="O208" s="1316">
        <f t="shared" si="239"/>
        <v>0</v>
      </c>
      <c r="S208" s="95"/>
    </row>
    <row r="209" spans="1:21">
      <c r="A209" s="160">
        <v>3.1</v>
      </c>
      <c r="B209" s="164" t="s">
        <v>294</v>
      </c>
      <c r="C209" s="154"/>
      <c r="D209" s="154"/>
      <c r="E209" s="272">
        <v>1</v>
      </c>
      <c r="F209" s="272">
        <f>E209</f>
        <v>1</v>
      </c>
      <c r="G209" s="272">
        <f t="shared" ref="G209:J209" si="323">F209</f>
        <v>1</v>
      </c>
      <c r="H209" s="272">
        <f t="shared" si="323"/>
        <v>1</v>
      </c>
      <c r="I209" s="272">
        <f t="shared" si="323"/>
        <v>1</v>
      </c>
      <c r="J209" s="272">
        <f t="shared" si="323"/>
        <v>1</v>
      </c>
      <c r="K209" s="272">
        <f t="shared" ref="K209" si="324">J209</f>
        <v>1</v>
      </c>
      <c r="L209" s="272">
        <f t="shared" ref="L209" si="325">K209</f>
        <v>1</v>
      </c>
      <c r="M209" s="310"/>
      <c r="N209" s="94"/>
      <c r="O209" s="1316">
        <f t="shared" si="239"/>
        <v>4</v>
      </c>
      <c r="S209" s="95"/>
    </row>
    <row r="210" spans="1:21">
      <c r="A210" s="160">
        <v>3.2</v>
      </c>
      <c r="B210" s="164" t="s">
        <v>295</v>
      </c>
      <c r="C210" s="154"/>
      <c r="D210" s="154"/>
      <c r="E210" s="89">
        <f>E197*E209</f>
        <v>21666</v>
      </c>
      <c r="F210" s="89">
        <f t="shared" ref="F210:J210" si="326">F197*F209</f>
        <v>21991.200000000001</v>
      </c>
      <c r="G210" s="89">
        <f t="shared" si="326"/>
        <v>21952.799999999999</v>
      </c>
      <c r="H210" s="89">
        <f t="shared" si="326"/>
        <v>21583.439999999999</v>
      </c>
      <c r="I210" s="89">
        <f t="shared" si="326"/>
        <v>21381.119999999999</v>
      </c>
      <c r="J210" s="89">
        <f t="shared" si="326"/>
        <v>20943</v>
      </c>
      <c r="K210" s="89">
        <f t="shared" ref="K210:L210" si="327">K197*K209</f>
        <v>20303.400000000001</v>
      </c>
      <c r="L210" s="89">
        <f t="shared" si="327"/>
        <v>19780.8</v>
      </c>
      <c r="M210" s="167">
        <f t="shared" ref="M210:M216" si="328">SUM(F210:H210)</f>
        <v>65527.44</v>
      </c>
      <c r="N210" s="94">
        <f t="shared" ref="N210:N216" si="329">SUM(F210:J210)</f>
        <v>107851.56</v>
      </c>
      <c r="O210" s="1316">
        <f t="shared" si="239"/>
        <v>82408.319999999992</v>
      </c>
      <c r="P210" s="151"/>
      <c r="Q210" s="151"/>
      <c r="R210" s="151"/>
      <c r="S210" s="95"/>
      <c r="T210" s="151"/>
      <c r="U210" s="151"/>
    </row>
    <row r="211" spans="1:21">
      <c r="A211" s="160">
        <v>3.3</v>
      </c>
      <c r="B211" s="164" t="s">
        <v>296</v>
      </c>
      <c r="C211" s="266"/>
      <c r="D211" s="154"/>
      <c r="E211" s="272">
        <v>0.5</v>
      </c>
      <c r="F211" s="272">
        <v>0.7</v>
      </c>
      <c r="G211" s="272">
        <v>0.8</v>
      </c>
      <c r="H211" s="272">
        <v>0.85</v>
      </c>
      <c r="I211" s="272">
        <v>0.9</v>
      </c>
      <c r="J211" s="272">
        <v>0.95</v>
      </c>
      <c r="K211" s="272">
        <v>0.95</v>
      </c>
      <c r="L211" s="272">
        <v>0.95</v>
      </c>
      <c r="M211" s="167"/>
      <c r="N211" s="94"/>
      <c r="O211" s="1316">
        <f>I211+J211+K211+L211</f>
        <v>3.75</v>
      </c>
      <c r="S211" s="95"/>
    </row>
    <row r="212" spans="1:21">
      <c r="A212" s="160">
        <v>3.4</v>
      </c>
      <c r="B212" s="164" t="s">
        <v>297</v>
      </c>
      <c r="C212" s="266"/>
      <c r="D212" s="154"/>
      <c r="E212" s="89">
        <f>E210*E211</f>
        <v>10833</v>
      </c>
      <c r="F212" s="89">
        <f t="shared" ref="F212" si="330">F210*F211</f>
        <v>15393.84</v>
      </c>
      <c r="G212" s="89">
        <f t="shared" ref="G212" si="331">G210*G211</f>
        <v>17562.240000000002</v>
      </c>
      <c r="H212" s="89">
        <f t="shared" ref="H212" si="332">H210*H211</f>
        <v>18345.923999999999</v>
      </c>
      <c r="I212" s="89">
        <f t="shared" ref="I212" si="333">I210*I211</f>
        <v>19243.007999999998</v>
      </c>
      <c r="J212" s="89">
        <f t="shared" ref="J212" si="334">J210*J211</f>
        <v>19895.849999999999</v>
      </c>
      <c r="K212" s="89">
        <f>K210*K211</f>
        <v>19288.23</v>
      </c>
      <c r="L212" s="89">
        <f>L210*L211</f>
        <v>18791.759999999998</v>
      </c>
      <c r="M212" s="167">
        <f t="shared" si="328"/>
        <v>51302.004000000001</v>
      </c>
      <c r="N212" s="94">
        <f t="shared" si="329"/>
        <v>90440.861999999994</v>
      </c>
      <c r="O212" s="1316">
        <f t="shared" si="239"/>
        <v>77218.847999999984</v>
      </c>
      <c r="S212" s="95"/>
    </row>
    <row r="213" spans="1:21">
      <c r="A213" s="160">
        <v>3.5</v>
      </c>
      <c r="B213" s="288" t="s">
        <v>298</v>
      </c>
      <c r="C213" s="154"/>
      <c r="D213" s="154"/>
      <c r="E213" s="152">
        <v>0.12</v>
      </c>
      <c r="F213" s="152">
        <v>0.11</v>
      </c>
      <c r="G213" s="152">
        <v>0.1</v>
      </c>
      <c r="H213" s="152">
        <v>0.09</v>
      </c>
      <c r="I213" s="152">
        <v>8.5000000000000006E-2</v>
      </c>
      <c r="J213" s="152">
        <v>0.08</v>
      </c>
      <c r="K213" s="152">
        <v>0.08</v>
      </c>
      <c r="L213" s="152">
        <v>0.08</v>
      </c>
      <c r="M213" s="167"/>
      <c r="N213" s="94"/>
      <c r="O213" s="1316">
        <f t="shared" si="239"/>
        <v>0.32500000000000001</v>
      </c>
      <c r="S213" s="95"/>
    </row>
    <row r="214" spans="1:21">
      <c r="A214" s="160">
        <v>3.6</v>
      </c>
      <c r="B214" s="164" t="s">
        <v>299</v>
      </c>
      <c r="C214" s="266"/>
      <c r="D214" s="266"/>
      <c r="E214" s="89">
        <f>E212+E212*E213</f>
        <v>12132.96</v>
      </c>
      <c r="F214" s="89">
        <f t="shared" ref="F214" si="335">F212+F212*F213</f>
        <v>17087.162400000001</v>
      </c>
      <c r="G214" s="89">
        <f t="shared" ref="G214" si="336">G212+G212*G213</f>
        <v>19318.464</v>
      </c>
      <c r="H214" s="89">
        <f t="shared" ref="H214" si="337">H212+H212*H213</f>
        <v>19997.05716</v>
      </c>
      <c r="I214" s="89">
        <f t="shared" ref="I214" si="338">I212+I212*I213</f>
        <v>20878.663679999998</v>
      </c>
      <c r="J214" s="89">
        <f t="shared" ref="J214:L214" si="339">J212+J212*J213</f>
        <v>21487.518</v>
      </c>
      <c r="K214" s="89">
        <f t="shared" si="339"/>
        <v>20831.288399999998</v>
      </c>
      <c r="L214" s="89">
        <f t="shared" si="339"/>
        <v>20295.1008</v>
      </c>
      <c r="M214" s="167">
        <f t="shared" si="328"/>
        <v>56402.683560000005</v>
      </c>
      <c r="N214" s="94">
        <f t="shared" si="329"/>
        <v>98768.865239999999</v>
      </c>
      <c r="O214" s="1316">
        <f t="shared" si="239"/>
        <v>83492.570879999985</v>
      </c>
      <c r="S214" s="95"/>
    </row>
    <row r="215" spans="1:21">
      <c r="A215" s="160">
        <v>3.7</v>
      </c>
      <c r="B215" s="164" t="s">
        <v>240</v>
      </c>
      <c r="C215" s="266"/>
      <c r="D215" s="266"/>
      <c r="E215" s="292">
        <v>1.08</v>
      </c>
      <c r="F215" s="292">
        <v>1.07</v>
      </c>
      <c r="G215" s="292">
        <v>1.06</v>
      </c>
      <c r="H215" s="292">
        <v>1.05</v>
      </c>
      <c r="I215" s="292">
        <v>1.04</v>
      </c>
      <c r="J215" s="292">
        <v>1.03</v>
      </c>
      <c r="K215" s="292">
        <f>J215</f>
        <v>1.03</v>
      </c>
      <c r="L215" s="292">
        <f>K215</f>
        <v>1.03</v>
      </c>
      <c r="M215" s="167"/>
      <c r="N215" s="94"/>
      <c r="O215" s="1316">
        <f t="shared" si="239"/>
        <v>4.1300000000000008</v>
      </c>
      <c r="P215" s="65" t="s">
        <v>819</v>
      </c>
      <c r="S215" s="95"/>
    </row>
    <row r="216" spans="1:21">
      <c r="A216" s="160">
        <v>3.8</v>
      </c>
      <c r="B216" s="164" t="s">
        <v>300</v>
      </c>
      <c r="C216" s="154"/>
      <c r="D216" s="154"/>
      <c r="E216" s="89">
        <f>E214*E215</f>
        <v>13103.596799999999</v>
      </c>
      <c r="F216" s="89">
        <f t="shared" ref="F216" si="340">F214*F215</f>
        <v>18283.263768000001</v>
      </c>
      <c r="G216" s="89">
        <f t="shared" ref="G216" si="341">G214*G215</f>
        <v>20477.571840000001</v>
      </c>
      <c r="H216" s="89">
        <f t="shared" ref="H216" si="342">H214*H215</f>
        <v>20996.910018000002</v>
      </c>
      <c r="I216" s="89">
        <f t="shared" ref="I216" si="343">I214*I215</f>
        <v>21713.8102272</v>
      </c>
      <c r="J216" s="89">
        <f t="shared" ref="J216:L216" si="344">J214*J215</f>
        <v>22132.143540000001</v>
      </c>
      <c r="K216" s="89">
        <f t="shared" si="344"/>
        <v>21456.227051999998</v>
      </c>
      <c r="L216" s="89">
        <f t="shared" si="344"/>
        <v>20903.953824</v>
      </c>
      <c r="M216" s="167">
        <f t="shared" si="328"/>
        <v>59757.745626000004</v>
      </c>
      <c r="N216" s="94">
        <f t="shared" si="329"/>
        <v>103603.6993932</v>
      </c>
      <c r="O216" s="1316">
        <f t="shared" si="239"/>
        <v>86206.134643199999</v>
      </c>
      <c r="S216" s="95"/>
    </row>
    <row r="217" spans="1:21">
      <c r="A217" s="162">
        <v>4</v>
      </c>
      <c r="B217" s="91" t="s">
        <v>303</v>
      </c>
      <c r="C217" s="154"/>
      <c r="D217" s="154"/>
      <c r="E217" s="89"/>
      <c r="F217" s="89"/>
      <c r="G217" s="89"/>
      <c r="H217" s="89"/>
      <c r="I217" s="89"/>
      <c r="J217" s="89"/>
      <c r="K217" s="89"/>
      <c r="L217" s="89"/>
      <c r="M217" s="167"/>
      <c r="N217" s="94"/>
      <c r="O217" s="1316">
        <f t="shared" si="239"/>
        <v>0</v>
      </c>
      <c r="S217" s="95"/>
    </row>
    <row r="218" spans="1:21">
      <c r="A218" s="160">
        <v>4.0999999999999996</v>
      </c>
      <c r="B218" s="164" t="s">
        <v>304</v>
      </c>
      <c r="C218" s="154"/>
      <c r="D218" s="154"/>
      <c r="E218" s="272">
        <v>0.4</v>
      </c>
      <c r="F218" s="272">
        <v>0.38</v>
      </c>
      <c r="G218" s="272">
        <v>0.36</v>
      </c>
      <c r="H218" s="272">
        <v>0.34</v>
      </c>
      <c r="I218" s="272">
        <v>0.32</v>
      </c>
      <c r="J218" s="272">
        <v>0.32</v>
      </c>
      <c r="K218" s="272">
        <v>0.32</v>
      </c>
      <c r="L218" s="272">
        <v>0.32</v>
      </c>
      <c r="M218" s="167"/>
      <c r="N218" s="94"/>
      <c r="O218" s="1316"/>
      <c r="S218" s="95"/>
    </row>
    <row r="219" spans="1:21">
      <c r="A219" s="160">
        <v>4.2</v>
      </c>
      <c r="B219" s="164" t="s">
        <v>302</v>
      </c>
      <c r="C219" s="154"/>
      <c r="D219" s="154"/>
      <c r="E219" s="89">
        <f>E197*E218</f>
        <v>8666.4</v>
      </c>
      <c r="F219" s="89">
        <f t="shared" ref="F219:J219" si="345">F197*F218</f>
        <v>8356.6560000000009</v>
      </c>
      <c r="G219" s="89">
        <f t="shared" si="345"/>
        <v>7903.0079999999998</v>
      </c>
      <c r="H219" s="89">
        <f t="shared" si="345"/>
        <v>7338.3696</v>
      </c>
      <c r="I219" s="89">
        <f t="shared" si="345"/>
        <v>6841.9583999999995</v>
      </c>
      <c r="J219" s="89">
        <f t="shared" si="345"/>
        <v>6701.76</v>
      </c>
      <c r="K219" s="89">
        <f t="shared" ref="K219:L219" si="346">K197*K218</f>
        <v>6497.0880000000006</v>
      </c>
      <c r="L219" s="89">
        <f t="shared" si="346"/>
        <v>6329.8559999999998</v>
      </c>
      <c r="M219" s="167">
        <f t="shared" ref="M219:M225" si="347">SUM(F219:H219)</f>
        <v>23598.033600000002</v>
      </c>
      <c r="N219" s="94">
        <f t="shared" ref="N219:N225" si="348">SUM(F219:J219)</f>
        <v>37141.752</v>
      </c>
      <c r="O219" s="1316">
        <f t="shared" si="239"/>
        <v>26370.662400000001</v>
      </c>
      <c r="S219" s="95"/>
    </row>
    <row r="220" spans="1:21">
      <c r="A220" s="160">
        <v>4.3</v>
      </c>
      <c r="B220" s="164" t="s">
        <v>305</v>
      </c>
      <c r="C220" s="266"/>
      <c r="D220" s="154"/>
      <c r="E220" s="152">
        <v>0.75</v>
      </c>
      <c r="F220" s="152">
        <v>0.8</v>
      </c>
      <c r="G220" s="152">
        <v>0.85</v>
      </c>
      <c r="H220" s="152">
        <v>0.9</v>
      </c>
      <c r="I220" s="152">
        <f>I46</f>
        <v>0.89999999999999991</v>
      </c>
      <c r="J220" s="152">
        <f>J46</f>
        <v>0.9</v>
      </c>
      <c r="K220" s="152">
        <f t="shared" ref="K220:L220" si="349">K46</f>
        <v>0.9</v>
      </c>
      <c r="L220" s="152">
        <f t="shared" si="349"/>
        <v>0.89999999999999991</v>
      </c>
      <c r="M220" s="167"/>
      <c r="N220" s="94"/>
      <c r="O220" s="1316"/>
      <c r="P220" s="65" t="s">
        <v>1769</v>
      </c>
      <c r="S220" s="95"/>
    </row>
    <row r="221" spans="1:21">
      <c r="A221" s="160">
        <v>4.4000000000000004</v>
      </c>
      <c r="B221" s="164" t="s">
        <v>306</v>
      </c>
      <c r="C221" s="266"/>
      <c r="D221" s="154"/>
      <c r="E221" s="89">
        <f>E219*E220</f>
        <v>6499.7999999999993</v>
      </c>
      <c r="F221" s="89">
        <f t="shared" ref="F221" si="350">F219*F220</f>
        <v>6685.3248000000012</v>
      </c>
      <c r="G221" s="89">
        <f t="shared" ref="G221" si="351">G219*G220</f>
        <v>6717.5567999999994</v>
      </c>
      <c r="H221" s="89">
        <f t="shared" ref="H221" si="352">H219*H220</f>
        <v>6604.5326400000004</v>
      </c>
      <c r="I221" s="89">
        <f t="shared" ref="I221" si="353">I219*I220</f>
        <v>6157.7625599999992</v>
      </c>
      <c r="J221" s="89">
        <f t="shared" ref="J221:L221" si="354">J219*J220</f>
        <v>6031.5840000000007</v>
      </c>
      <c r="K221" s="89">
        <f t="shared" si="354"/>
        <v>5847.3792000000003</v>
      </c>
      <c r="L221" s="89">
        <f t="shared" si="354"/>
        <v>5696.8703999999989</v>
      </c>
      <c r="M221" s="167">
        <f t="shared" si="347"/>
        <v>20007.414240000002</v>
      </c>
      <c r="N221" s="94">
        <f t="shared" si="348"/>
        <v>32196.760800000004</v>
      </c>
      <c r="O221" s="1316">
        <f t="shared" ref="O221:O283" si="355">I221+J221+K221+L221</f>
        <v>23733.596160000001</v>
      </c>
      <c r="S221" s="95"/>
    </row>
    <row r="222" spans="1:21">
      <c r="A222" s="160">
        <v>4.5</v>
      </c>
      <c r="B222" s="288" t="s">
        <v>307</v>
      </c>
      <c r="C222" s="154"/>
      <c r="D222" s="154"/>
      <c r="E222" s="152">
        <v>0.1</v>
      </c>
      <c r="F222" s="152">
        <v>0.1</v>
      </c>
      <c r="G222" s="152">
        <v>0.1</v>
      </c>
      <c r="H222" s="152">
        <v>0.1</v>
      </c>
      <c r="I222" s="152">
        <v>0.1</v>
      </c>
      <c r="J222" s="152">
        <v>0.1</v>
      </c>
      <c r="K222" s="152">
        <v>0.1</v>
      </c>
      <c r="L222" s="152">
        <v>0.1</v>
      </c>
      <c r="M222" s="167"/>
      <c r="N222" s="94"/>
      <c r="O222" s="1316"/>
      <c r="S222" s="95"/>
    </row>
    <row r="223" spans="1:21">
      <c r="A223" s="160">
        <v>4.5999999999999996</v>
      </c>
      <c r="B223" s="164" t="s">
        <v>308</v>
      </c>
      <c r="C223" s="266"/>
      <c r="D223" s="266"/>
      <c r="E223" s="89">
        <f>E221+E221*E222</f>
        <v>7149.7799999999988</v>
      </c>
      <c r="F223" s="89">
        <f t="shared" ref="F223" si="356">F221+F221*F222</f>
        <v>7353.8572800000011</v>
      </c>
      <c r="G223" s="89">
        <f t="shared" ref="G223" si="357">G221+G221*G222</f>
        <v>7389.3124799999996</v>
      </c>
      <c r="H223" s="89">
        <f t="shared" ref="H223" si="358">H221+H221*H222</f>
        <v>7264.9859040000001</v>
      </c>
      <c r="I223" s="89">
        <f t="shared" ref="I223" si="359">I221+I221*I222</f>
        <v>6773.5388159999993</v>
      </c>
      <c r="J223" s="89">
        <f t="shared" ref="J223:L223" si="360">J221+J221*J222</f>
        <v>6634.742400000001</v>
      </c>
      <c r="K223" s="89">
        <f t="shared" si="360"/>
        <v>6432.1171200000008</v>
      </c>
      <c r="L223" s="89">
        <f t="shared" si="360"/>
        <v>6266.5574399999987</v>
      </c>
      <c r="M223" s="167">
        <f t="shared" si="347"/>
        <v>22008.155664000002</v>
      </c>
      <c r="N223" s="94">
        <f t="shared" si="348"/>
        <v>35416.436880000001</v>
      </c>
      <c r="O223" s="1316">
        <f t="shared" si="355"/>
        <v>26106.955775999995</v>
      </c>
      <c r="S223" s="95"/>
    </row>
    <row r="224" spans="1:21">
      <c r="A224" s="160">
        <v>4.7</v>
      </c>
      <c r="B224" s="164" t="s">
        <v>310</v>
      </c>
      <c r="C224" s="266"/>
      <c r="D224" s="266"/>
      <c r="E224" s="287">
        <v>1</v>
      </c>
      <c r="F224" s="287">
        <f>E224</f>
        <v>1</v>
      </c>
      <c r="G224" s="287">
        <f t="shared" ref="G224:J224" si="361">F224</f>
        <v>1</v>
      </c>
      <c r="H224" s="287">
        <f t="shared" si="361"/>
        <v>1</v>
      </c>
      <c r="I224" s="287">
        <f t="shared" si="361"/>
        <v>1</v>
      </c>
      <c r="J224" s="287">
        <f t="shared" si="361"/>
        <v>1</v>
      </c>
      <c r="K224" s="287">
        <f t="shared" ref="K224" si="362">J224</f>
        <v>1</v>
      </c>
      <c r="L224" s="287">
        <f t="shared" ref="L224" si="363">K224</f>
        <v>1</v>
      </c>
      <c r="M224" s="167"/>
      <c r="N224" s="94"/>
      <c r="O224" s="1316"/>
      <c r="S224" s="95"/>
    </row>
    <row r="225" spans="1:19">
      <c r="A225" s="160">
        <v>4.8</v>
      </c>
      <c r="B225" s="164" t="s">
        <v>309</v>
      </c>
      <c r="C225" s="154"/>
      <c r="D225" s="154"/>
      <c r="E225" s="89">
        <f>E223*E224</f>
        <v>7149.7799999999988</v>
      </c>
      <c r="F225" s="89">
        <f t="shared" ref="F225" si="364">F223*F224</f>
        <v>7353.8572800000011</v>
      </c>
      <c r="G225" s="89">
        <f t="shared" ref="G225" si="365">G223*G224</f>
        <v>7389.3124799999996</v>
      </c>
      <c r="H225" s="89">
        <f t="shared" ref="H225" si="366">H223*H224</f>
        <v>7264.9859040000001</v>
      </c>
      <c r="I225" s="89">
        <f t="shared" ref="I225" si="367">I223*I224</f>
        <v>6773.5388159999993</v>
      </c>
      <c r="J225" s="89">
        <f t="shared" ref="J225:L225" si="368">J223*J224</f>
        <v>6634.742400000001</v>
      </c>
      <c r="K225" s="89">
        <f t="shared" si="368"/>
        <v>6432.1171200000008</v>
      </c>
      <c r="L225" s="89">
        <f t="shared" si="368"/>
        <v>6266.5574399999987</v>
      </c>
      <c r="M225" s="167">
        <f t="shared" si="347"/>
        <v>22008.155664000002</v>
      </c>
      <c r="N225" s="94">
        <f t="shared" si="348"/>
        <v>35416.436880000001</v>
      </c>
      <c r="O225" s="1316">
        <f t="shared" si="355"/>
        <v>26106.955775999995</v>
      </c>
      <c r="S225" s="95"/>
    </row>
    <row r="226" spans="1:19">
      <c r="A226" s="162">
        <v>5</v>
      </c>
      <c r="B226" s="161" t="s">
        <v>460</v>
      </c>
      <c r="C226" s="154"/>
      <c r="D226" s="154"/>
      <c r="E226" s="89"/>
      <c r="F226" s="89"/>
      <c r="G226" s="89"/>
      <c r="H226" s="89"/>
      <c r="I226" s="89"/>
      <c r="J226" s="89"/>
      <c r="K226" s="89"/>
      <c r="L226" s="89"/>
      <c r="M226" s="167"/>
      <c r="N226" s="94"/>
      <c r="O226" s="1316">
        <f t="shared" si="355"/>
        <v>0</v>
      </c>
      <c r="S226" s="95"/>
    </row>
    <row r="227" spans="1:19">
      <c r="A227" s="160">
        <v>5.0999999999999996</v>
      </c>
      <c r="B227" s="164" t="s">
        <v>461</v>
      </c>
      <c r="C227" s="154"/>
      <c r="D227" s="289"/>
      <c r="E227" s="152">
        <f t="shared" ref="E227:J227" si="369">E35/E197</f>
        <v>8.6922366842056675E-2</v>
      </c>
      <c r="F227" s="152">
        <f t="shared" si="369"/>
        <v>7.931354359925788E-2</v>
      </c>
      <c r="G227" s="152">
        <f t="shared" si="369"/>
        <v>7.2429940599832363E-2</v>
      </c>
      <c r="H227" s="152">
        <f t="shared" si="369"/>
        <v>7.0248301475575717E-2</v>
      </c>
      <c r="I227" s="152">
        <f t="shared" si="369"/>
        <v>6.7783633411159006E-2</v>
      </c>
      <c r="J227" s="152">
        <f t="shared" si="369"/>
        <v>6.6063123716755004E-2</v>
      </c>
      <c r="K227" s="152">
        <f t="shared" ref="K227:L227" si="370">K35/K197</f>
        <v>6.6095826314804401E-2</v>
      </c>
      <c r="L227" s="152">
        <f t="shared" si="370"/>
        <v>6.6224318531100876E-2</v>
      </c>
      <c r="M227" s="167"/>
      <c r="N227" s="94"/>
      <c r="O227" s="1316"/>
      <c r="S227" s="95"/>
    </row>
    <row r="228" spans="1:19">
      <c r="A228" s="160">
        <v>5.2</v>
      </c>
      <c r="B228" s="164" t="s">
        <v>468</v>
      </c>
      <c r="C228" s="154"/>
      <c r="D228" s="154"/>
      <c r="E228" s="89">
        <f>E197*E227</f>
        <v>1883.26</v>
      </c>
      <c r="F228" s="89">
        <f t="shared" ref="F228:J228" si="371">F197*F227</f>
        <v>1744.2</v>
      </c>
      <c r="G228" s="89">
        <f t="shared" si="371"/>
        <v>1590.0399999999997</v>
      </c>
      <c r="H228" s="89">
        <f t="shared" si="371"/>
        <v>1516.1999999999998</v>
      </c>
      <c r="I228" s="89">
        <f t="shared" si="371"/>
        <v>1449.29</v>
      </c>
      <c r="J228" s="89">
        <f t="shared" si="371"/>
        <v>1383.56</v>
      </c>
      <c r="K228" s="89">
        <f t="shared" ref="K228:L228" si="372">K197*K227</f>
        <v>1341.9699999999998</v>
      </c>
      <c r="L228" s="89">
        <f t="shared" si="372"/>
        <v>1309.9700000000003</v>
      </c>
      <c r="M228" s="167">
        <f t="shared" ref="M228" si="373">SUM(F228:H228)</f>
        <v>4850.4399999999996</v>
      </c>
      <c r="N228" s="94">
        <f t="shared" ref="N228" si="374">SUM(F228:J228)</f>
        <v>7683.2899999999991</v>
      </c>
      <c r="O228" s="1316">
        <f t="shared" si="355"/>
        <v>5484.79</v>
      </c>
      <c r="S228" s="95"/>
    </row>
    <row r="229" spans="1:19">
      <c r="A229" s="160">
        <v>5.3</v>
      </c>
      <c r="B229" s="164" t="s">
        <v>462</v>
      </c>
      <c r="C229" s="266"/>
      <c r="D229" s="154"/>
      <c r="E229" s="152">
        <f>E220</f>
        <v>0.75</v>
      </c>
      <c r="F229" s="152">
        <f t="shared" ref="F229:J229" si="375">F220</f>
        <v>0.8</v>
      </c>
      <c r="G229" s="152">
        <f t="shared" si="375"/>
        <v>0.85</v>
      </c>
      <c r="H229" s="152">
        <f t="shared" si="375"/>
        <v>0.9</v>
      </c>
      <c r="I229" s="152">
        <f t="shared" si="375"/>
        <v>0.89999999999999991</v>
      </c>
      <c r="J229" s="152">
        <f t="shared" si="375"/>
        <v>0.9</v>
      </c>
      <c r="K229" s="152">
        <f t="shared" ref="K229:L229" si="376">K220</f>
        <v>0.9</v>
      </c>
      <c r="L229" s="152">
        <f t="shared" si="376"/>
        <v>0.89999999999999991</v>
      </c>
      <c r="M229" s="167"/>
      <c r="N229" s="94"/>
      <c r="O229" s="1316"/>
      <c r="S229" s="95"/>
    </row>
    <row r="230" spans="1:19">
      <c r="A230" s="160">
        <v>5.4</v>
      </c>
      <c r="B230" s="164" t="s">
        <v>463</v>
      </c>
      <c r="C230" s="266"/>
      <c r="D230" s="154"/>
      <c r="E230" s="89">
        <f>E228*E229</f>
        <v>1412.4449999999999</v>
      </c>
      <c r="F230" s="89">
        <f t="shared" ref="F230:J230" si="377">F228*F229</f>
        <v>1395.3600000000001</v>
      </c>
      <c r="G230" s="89">
        <f t="shared" si="377"/>
        <v>1351.5339999999997</v>
      </c>
      <c r="H230" s="89">
        <f t="shared" si="377"/>
        <v>1364.58</v>
      </c>
      <c r="I230" s="89">
        <f t="shared" si="377"/>
        <v>1304.3609999999999</v>
      </c>
      <c r="J230" s="89">
        <f t="shared" si="377"/>
        <v>1245.204</v>
      </c>
      <c r="K230" s="89">
        <f t="shared" ref="K230:L230" si="378">K228*K229</f>
        <v>1207.7729999999999</v>
      </c>
      <c r="L230" s="89">
        <f t="shared" si="378"/>
        <v>1178.9730000000002</v>
      </c>
      <c r="M230" s="167">
        <f t="shared" ref="M230" si="379">SUM(F230:H230)</f>
        <v>4111.4740000000002</v>
      </c>
      <c r="N230" s="94">
        <f t="shared" ref="N230" si="380">SUM(F230:J230)</f>
        <v>6661.0389999999998</v>
      </c>
      <c r="O230" s="1316">
        <f t="shared" si="355"/>
        <v>4936.3109999999997</v>
      </c>
      <c r="S230" s="95"/>
    </row>
    <row r="231" spans="1:19">
      <c r="A231" s="160">
        <v>5.5</v>
      </c>
      <c r="B231" s="288" t="s">
        <v>464</v>
      </c>
      <c r="C231" s="154"/>
      <c r="D231" s="154"/>
      <c r="E231" s="152">
        <v>0.02</v>
      </c>
      <c r="F231" s="152">
        <f>E231</f>
        <v>0.02</v>
      </c>
      <c r="G231" s="152">
        <f>F231</f>
        <v>0.02</v>
      </c>
      <c r="H231" s="152">
        <f t="shared" ref="H231:J231" si="381">G231</f>
        <v>0.02</v>
      </c>
      <c r="I231" s="152">
        <f t="shared" si="381"/>
        <v>0.02</v>
      </c>
      <c r="J231" s="152">
        <f t="shared" si="381"/>
        <v>0.02</v>
      </c>
      <c r="K231" s="152">
        <f t="shared" ref="K231" si="382">J231</f>
        <v>0.02</v>
      </c>
      <c r="L231" s="152">
        <f t="shared" ref="L231" si="383">K231</f>
        <v>0.02</v>
      </c>
      <c r="M231" s="167"/>
      <c r="N231" s="94"/>
      <c r="O231" s="1316"/>
      <c r="S231" s="95"/>
    </row>
    <row r="232" spans="1:19">
      <c r="A232" s="160">
        <v>5.6</v>
      </c>
      <c r="B232" s="164" t="s">
        <v>465</v>
      </c>
      <c r="C232" s="266"/>
      <c r="D232" s="266"/>
      <c r="E232" s="89">
        <f>E230+E230*E231</f>
        <v>1440.6939</v>
      </c>
      <c r="F232" s="89">
        <f t="shared" ref="F232:J232" si="384">F230+F230*F231</f>
        <v>1423.2672000000002</v>
      </c>
      <c r="G232" s="89">
        <f t="shared" si="384"/>
        <v>1378.5646799999997</v>
      </c>
      <c r="H232" s="89">
        <f t="shared" si="384"/>
        <v>1391.8715999999999</v>
      </c>
      <c r="I232" s="89">
        <f t="shared" si="384"/>
        <v>1330.4482199999998</v>
      </c>
      <c r="J232" s="89">
        <f t="shared" si="384"/>
        <v>1270.10808</v>
      </c>
      <c r="K232" s="89">
        <f t="shared" ref="K232:L232" si="385">K230+K230*K231</f>
        <v>1231.9284599999999</v>
      </c>
      <c r="L232" s="89">
        <f t="shared" si="385"/>
        <v>1202.5524600000001</v>
      </c>
      <c r="M232" s="167">
        <f t="shared" ref="M232" si="386">SUM(F232:H232)</f>
        <v>4193.7034800000001</v>
      </c>
      <c r="N232" s="94">
        <f t="shared" ref="N232" si="387">SUM(F232:J232)</f>
        <v>6794.2597800000003</v>
      </c>
      <c r="O232" s="1316">
        <f t="shared" si="355"/>
        <v>5035.0372199999993</v>
      </c>
      <c r="S232" s="95"/>
    </row>
    <row r="233" spans="1:19">
      <c r="A233" s="160">
        <v>5.7</v>
      </c>
      <c r="B233" s="164" t="s">
        <v>820</v>
      </c>
      <c r="C233" s="266"/>
      <c r="D233" s="266"/>
      <c r="E233" s="287">
        <v>1</v>
      </c>
      <c r="F233" s="287">
        <f>E233</f>
        <v>1</v>
      </c>
      <c r="G233" s="287">
        <f>F233</f>
        <v>1</v>
      </c>
      <c r="H233" s="287">
        <f t="shared" ref="H233:J233" si="388">G233</f>
        <v>1</v>
      </c>
      <c r="I233" s="287">
        <f t="shared" si="388"/>
        <v>1</v>
      </c>
      <c r="J233" s="287">
        <f t="shared" si="388"/>
        <v>1</v>
      </c>
      <c r="K233" s="287">
        <f t="shared" ref="K233" si="389">J233</f>
        <v>1</v>
      </c>
      <c r="L233" s="287">
        <f t="shared" ref="L233" si="390">K233</f>
        <v>1</v>
      </c>
      <c r="M233" s="167"/>
      <c r="N233" s="94"/>
      <c r="O233" s="1316"/>
      <c r="S233" s="95"/>
    </row>
    <row r="234" spans="1:19">
      <c r="A234" s="160">
        <v>5.8</v>
      </c>
      <c r="B234" s="164" t="s">
        <v>821</v>
      </c>
      <c r="C234" s="154"/>
      <c r="D234" s="154"/>
      <c r="E234" s="89">
        <f>E232*E233</f>
        <v>1440.6939</v>
      </c>
      <c r="F234" s="89">
        <f t="shared" ref="F234:J234" si="391">F232*F233</f>
        <v>1423.2672000000002</v>
      </c>
      <c r="G234" s="89">
        <f t="shared" si="391"/>
        <v>1378.5646799999997</v>
      </c>
      <c r="H234" s="89">
        <f t="shared" si="391"/>
        <v>1391.8715999999999</v>
      </c>
      <c r="I234" s="89">
        <f t="shared" si="391"/>
        <v>1330.4482199999998</v>
      </c>
      <c r="J234" s="89">
        <f t="shared" si="391"/>
        <v>1270.10808</v>
      </c>
      <c r="K234" s="89">
        <f t="shared" ref="K234:L234" si="392">K232*K233</f>
        <v>1231.9284599999999</v>
      </c>
      <c r="L234" s="89">
        <f t="shared" si="392"/>
        <v>1202.5524600000001</v>
      </c>
      <c r="M234" s="167">
        <f t="shared" ref="M234" si="393">SUM(F234:H234)</f>
        <v>4193.7034800000001</v>
      </c>
      <c r="N234" s="94">
        <f t="shared" ref="N234" si="394">SUM(F234:J234)</f>
        <v>6794.2597800000003</v>
      </c>
      <c r="O234" s="1316">
        <f t="shared" si="355"/>
        <v>5035.0372199999993</v>
      </c>
      <c r="S234" s="95"/>
    </row>
    <row r="235" spans="1:19">
      <c r="A235" s="162">
        <v>6</v>
      </c>
      <c r="B235" s="161" t="s">
        <v>459</v>
      </c>
      <c r="C235" s="154"/>
      <c r="D235" s="154"/>
      <c r="E235" s="89"/>
      <c r="F235" s="89"/>
      <c r="G235" s="89"/>
      <c r="H235" s="89"/>
      <c r="I235" s="89"/>
      <c r="J235" s="89"/>
      <c r="K235" s="89"/>
      <c r="L235" s="89"/>
      <c r="M235" s="167"/>
      <c r="N235" s="94"/>
      <c r="O235" s="1316">
        <f t="shared" si="355"/>
        <v>0</v>
      </c>
      <c r="S235" s="95"/>
    </row>
    <row r="236" spans="1:19">
      <c r="A236" s="160">
        <v>6.1</v>
      </c>
      <c r="B236" s="164" t="s">
        <v>454</v>
      </c>
      <c r="C236" s="154"/>
      <c r="D236" s="289"/>
      <c r="E236" s="152">
        <f t="shared" ref="E236:J236" si="395">(E5+E9)/E197*(E35/(E5+E9))</f>
        <v>8.6922366842056675E-2</v>
      </c>
      <c r="F236" s="152">
        <f t="shared" si="395"/>
        <v>7.9313543599257866E-2</v>
      </c>
      <c r="G236" s="152">
        <f t="shared" si="395"/>
        <v>7.2429940599832363E-2</v>
      </c>
      <c r="H236" s="152">
        <f t="shared" si="395"/>
        <v>7.0248301475575717E-2</v>
      </c>
      <c r="I236" s="152">
        <f t="shared" si="395"/>
        <v>6.7783633411159006E-2</v>
      </c>
      <c r="J236" s="152">
        <f t="shared" si="395"/>
        <v>6.6063123716755004E-2</v>
      </c>
      <c r="K236" s="152">
        <f t="shared" ref="K236:L236" si="396">(K5+K9)/K197*(K35/(K5+K9))</f>
        <v>6.6095826314804401E-2</v>
      </c>
      <c r="L236" s="152">
        <f t="shared" si="396"/>
        <v>6.6224318531100862E-2</v>
      </c>
      <c r="M236" s="167"/>
      <c r="N236" s="94"/>
      <c r="O236" s="1316"/>
      <c r="S236" s="95"/>
    </row>
    <row r="237" spans="1:19">
      <c r="A237" s="160">
        <v>6.2</v>
      </c>
      <c r="B237" s="164" t="s">
        <v>453</v>
      </c>
      <c r="C237" s="154"/>
      <c r="D237" s="154"/>
      <c r="E237" s="89">
        <f>E197*E236</f>
        <v>1883.26</v>
      </c>
      <c r="F237" s="89">
        <f t="shared" ref="F237:J237" si="397">F197*F236</f>
        <v>1744.1999999999996</v>
      </c>
      <c r="G237" s="89">
        <f t="shared" si="397"/>
        <v>1590.0399999999997</v>
      </c>
      <c r="H237" s="89">
        <f t="shared" si="397"/>
        <v>1516.1999999999998</v>
      </c>
      <c r="I237" s="89">
        <f t="shared" si="397"/>
        <v>1449.29</v>
      </c>
      <c r="J237" s="89">
        <f t="shared" si="397"/>
        <v>1383.56</v>
      </c>
      <c r="K237" s="89">
        <f t="shared" ref="K237:L237" si="398">K197*K236</f>
        <v>1341.9699999999998</v>
      </c>
      <c r="L237" s="89">
        <f t="shared" si="398"/>
        <v>1309.9699999999998</v>
      </c>
      <c r="M237" s="167">
        <f t="shared" ref="M237" si="399">SUM(F237:H237)</f>
        <v>4850.4399999999987</v>
      </c>
      <c r="N237" s="94">
        <f t="shared" ref="N237" si="400">SUM(F237:J237)</f>
        <v>7683.2899999999991</v>
      </c>
      <c r="O237" s="1316">
        <f t="shared" si="355"/>
        <v>5484.7899999999991</v>
      </c>
      <c r="S237" s="95"/>
    </row>
    <row r="238" spans="1:19">
      <c r="A238" s="160">
        <v>6.3</v>
      </c>
      <c r="B238" s="164" t="s">
        <v>455</v>
      </c>
      <c r="C238" s="266"/>
      <c r="D238" s="154"/>
      <c r="E238" s="152">
        <v>0.7</v>
      </c>
      <c r="F238" s="152">
        <v>0.8</v>
      </c>
      <c r="G238" s="152">
        <v>0.85</v>
      </c>
      <c r="H238" s="152">
        <v>0.95</v>
      </c>
      <c r="I238" s="152">
        <f>H238</f>
        <v>0.95</v>
      </c>
      <c r="J238" s="152">
        <f>I238</f>
        <v>0.95</v>
      </c>
      <c r="K238" s="152">
        <f t="shared" ref="K238:L238" si="401">J238</f>
        <v>0.95</v>
      </c>
      <c r="L238" s="152">
        <f t="shared" si="401"/>
        <v>0.95</v>
      </c>
      <c r="M238" s="167"/>
      <c r="N238" s="94"/>
      <c r="O238" s="1316"/>
      <c r="S238" s="95"/>
    </row>
    <row r="239" spans="1:19">
      <c r="A239" s="160">
        <v>6.4</v>
      </c>
      <c r="B239" s="164" t="s">
        <v>456</v>
      </c>
      <c r="C239" s="266"/>
      <c r="D239" s="154"/>
      <c r="E239" s="89">
        <f>E237*E238</f>
        <v>1318.2819999999999</v>
      </c>
      <c r="F239" s="89">
        <f t="shared" ref="F239:J239" si="402">F237*F238</f>
        <v>1395.3599999999997</v>
      </c>
      <c r="G239" s="89">
        <f t="shared" si="402"/>
        <v>1351.5339999999997</v>
      </c>
      <c r="H239" s="89">
        <f t="shared" si="402"/>
        <v>1440.3899999999999</v>
      </c>
      <c r="I239" s="89">
        <f t="shared" si="402"/>
        <v>1376.8254999999999</v>
      </c>
      <c r="J239" s="89">
        <f t="shared" si="402"/>
        <v>1314.3819999999998</v>
      </c>
      <c r="K239" s="89">
        <f t="shared" ref="K239:L239" si="403">K237*K238</f>
        <v>1274.8714999999997</v>
      </c>
      <c r="L239" s="89">
        <f t="shared" si="403"/>
        <v>1244.4714999999997</v>
      </c>
      <c r="M239" s="167">
        <f t="shared" ref="M239" si="404">SUM(F239:H239)</f>
        <v>4187.2839999999997</v>
      </c>
      <c r="N239" s="94">
        <f t="shared" ref="N239" si="405">SUM(F239:J239)</f>
        <v>6878.4914999999992</v>
      </c>
      <c r="O239" s="1316">
        <f t="shared" si="355"/>
        <v>5210.5504999999994</v>
      </c>
      <c r="S239" s="95"/>
    </row>
    <row r="240" spans="1:19">
      <c r="A240" s="160">
        <v>6.5</v>
      </c>
      <c r="B240" s="288" t="s">
        <v>457</v>
      </c>
      <c r="C240" s="154"/>
      <c r="D240" s="154"/>
      <c r="E240" s="152">
        <v>0.1</v>
      </c>
      <c r="F240" s="152">
        <f>E240</f>
        <v>0.1</v>
      </c>
      <c r="G240" s="152">
        <f t="shared" ref="G240:J240" si="406">F240</f>
        <v>0.1</v>
      </c>
      <c r="H240" s="152">
        <f t="shared" si="406"/>
        <v>0.1</v>
      </c>
      <c r="I240" s="152">
        <f t="shared" si="406"/>
        <v>0.1</v>
      </c>
      <c r="J240" s="152">
        <f t="shared" si="406"/>
        <v>0.1</v>
      </c>
      <c r="K240" s="152">
        <f t="shared" ref="K240" si="407">J240</f>
        <v>0.1</v>
      </c>
      <c r="L240" s="152">
        <f t="shared" ref="L240" si="408">K240</f>
        <v>0.1</v>
      </c>
      <c r="M240" s="167"/>
      <c r="N240" s="94"/>
      <c r="O240" s="1316"/>
      <c r="S240" s="95"/>
    </row>
    <row r="241" spans="1:19">
      <c r="A241" s="160">
        <v>6.6</v>
      </c>
      <c r="B241" s="164" t="s">
        <v>458</v>
      </c>
      <c r="C241" s="266"/>
      <c r="D241" s="266"/>
      <c r="E241" s="89">
        <f>E239+E239*E240</f>
        <v>1450.1101999999998</v>
      </c>
      <c r="F241" s="89">
        <f t="shared" ref="F241:J241" si="409">F239+F239*F240</f>
        <v>1534.8959999999997</v>
      </c>
      <c r="G241" s="89">
        <f t="shared" si="409"/>
        <v>1486.6873999999996</v>
      </c>
      <c r="H241" s="89">
        <f t="shared" si="409"/>
        <v>1584.4289999999999</v>
      </c>
      <c r="I241" s="89">
        <f t="shared" si="409"/>
        <v>1514.5080499999999</v>
      </c>
      <c r="J241" s="89">
        <f t="shared" si="409"/>
        <v>1445.8201999999999</v>
      </c>
      <c r="K241" s="89">
        <f t="shared" ref="K241:L241" si="410">K239+K239*K240</f>
        <v>1402.3586499999997</v>
      </c>
      <c r="L241" s="89">
        <f t="shared" si="410"/>
        <v>1368.9186499999996</v>
      </c>
      <c r="M241" s="167">
        <f t="shared" ref="M241" si="411">SUM(F241:H241)</f>
        <v>4606.0123999999996</v>
      </c>
      <c r="N241" s="94">
        <f t="shared" ref="N241" si="412">SUM(F241:J241)</f>
        <v>7566.3406500000001</v>
      </c>
      <c r="O241" s="1316">
        <f t="shared" si="355"/>
        <v>5731.6055499999984</v>
      </c>
      <c r="S241" s="95"/>
    </row>
    <row r="242" spans="1:19">
      <c r="A242" s="160">
        <v>6.7</v>
      </c>
      <c r="B242" s="164" t="s">
        <v>822</v>
      </c>
      <c r="C242" s="266"/>
      <c r="D242" s="266"/>
      <c r="E242" s="287">
        <v>1</v>
      </c>
      <c r="F242" s="287">
        <f>E242</f>
        <v>1</v>
      </c>
      <c r="G242" s="287">
        <f>F242</f>
        <v>1</v>
      </c>
      <c r="H242" s="287">
        <f t="shared" ref="H242:J242" si="413">G242</f>
        <v>1</v>
      </c>
      <c r="I242" s="287">
        <f t="shared" si="413"/>
        <v>1</v>
      </c>
      <c r="J242" s="287">
        <f t="shared" si="413"/>
        <v>1</v>
      </c>
      <c r="K242" s="287">
        <f t="shared" ref="K242" si="414">J242</f>
        <v>1</v>
      </c>
      <c r="L242" s="287">
        <f t="shared" ref="L242" si="415">K242</f>
        <v>1</v>
      </c>
      <c r="M242" s="167"/>
      <c r="N242" s="94"/>
      <c r="O242" s="1316"/>
      <c r="S242" s="95"/>
    </row>
    <row r="243" spans="1:19">
      <c r="A243" s="160">
        <v>6.8</v>
      </c>
      <c r="B243" s="164" t="s">
        <v>823</v>
      </c>
      <c r="C243" s="154"/>
      <c r="D243" s="154"/>
      <c r="E243" s="89">
        <f>E241*E242</f>
        <v>1450.1101999999998</v>
      </c>
      <c r="F243" s="89">
        <f t="shared" ref="F243:J243" si="416">F241*F242</f>
        <v>1534.8959999999997</v>
      </c>
      <c r="G243" s="89">
        <f t="shared" si="416"/>
        <v>1486.6873999999996</v>
      </c>
      <c r="H243" s="89">
        <f t="shared" si="416"/>
        <v>1584.4289999999999</v>
      </c>
      <c r="I243" s="89">
        <f t="shared" si="416"/>
        <v>1514.5080499999999</v>
      </c>
      <c r="J243" s="89">
        <f t="shared" si="416"/>
        <v>1445.8201999999999</v>
      </c>
      <c r="K243" s="89">
        <f t="shared" ref="K243:L243" si="417">K241*K242</f>
        <v>1402.3586499999997</v>
      </c>
      <c r="L243" s="89">
        <f t="shared" si="417"/>
        <v>1368.9186499999996</v>
      </c>
      <c r="M243" s="167">
        <f t="shared" ref="M243" si="418">SUM(F243:H243)</f>
        <v>4606.0123999999996</v>
      </c>
      <c r="N243" s="94">
        <f t="shared" ref="N243" si="419">SUM(F243:J243)</f>
        <v>7566.3406500000001</v>
      </c>
      <c r="O243" s="1316">
        <f t="shared" si="355"/>
        <v>5731.6055499999984</v>
      </c>
      <c r="S243" s="95"/>
    </row>
    <row r="244" spans="1:19">
      <c r="A244" s="162">
        <v>7</v>
      </c>
      <c r="B244" s="161" t="s">
        <v>466</v>
      </c>
      <c r="C244" s="154"/>
      <c r="D244" s="154"/>
      <c r="E244" s="89"/>
      <c r="F244" s="89"/>
      <c r="G244" s="89"/>
      <c r="H244" s="89"/>
      <c r="I244" s="89"/>
      <c r="J244" s="89"/>
      <c r="K244" s="89"/>
      <c r="L244" s="89"/>
      <c r="M244" s="167"/>
      <c r="N244" s="94"/>
      <c r="O244" s="1316">
        <f t="shared" si="355"/>
        <v>0</v>
      </c>
      <c r="S244" s="95"/>
    </row>
    <row r="245" spans="1:19">
      <c r="A245" s="160">
        <v>7.1</v>
      </c>
      <c r="B245" s="164" t="s">
        <v>467</v>
      </c>
      <c r="C245" s="154"/>
      <c r="D245" s="289"/>
      <c r="E245" s="152">
        <f>(E184+E185+E186+E187+E188)/E197</f>
        <v>2.8108557186374967E-2</v>
      </c>
      <c r="F245" s="152">
        <f t="shared" ref="F245:J245" si="420">(F184+F185+F186+F187+F188)/F197</f>
        <v>2.5555676816180997E-2</v>
      </c>
      <c r="G245" s="152">
        <f t="shared" si="420"/>
        <v>2.3687183411683226E-2</v>
      </c>
      <c r="H245" s="152">
        <f t="shared" si="420"/>
        <v>2.3304904130203526E-2</v>
      </c>
      <c r="I245" s="152">
        <f t="shared" si="420"/>
        <v>2.2823874521072818E-2</v>
      </c>
      <c r="J245" s="152">
        <f t="shared" si="420"/>
        <v>2.2585111970586831E-2</v>
      </c>
      <c r="K245" s="152">
        <f t="shared" ref="K245:L245" si="421">(K184+K185+K186+K187+K188)/K197</f>
        <v>2.2705556704788358E-2</v>
      </c>
      <c r="L245" s="152">
        <f t="shared" si="421"/>
        <v>2.2850440831513389E-2</v>
      </c>
      <c r="M245" s="167"/>
      <c r="N245" s="94"/>
      <c r="O245" s="1316">
        <f t="shared" si="355"/>
        <v>9.0964984027961396E-2</v>
      </c>
      <c r="S245" s="95"/>
    </row>
    <row r="246" spans="1:19">
      <c r="A246" s="160">
        <v>7.2</v>
      </c>
      <c r="B246" s="164" t="s">
        <v>469</v>
      </c>
      <c r="C246" s="154"/>
      <c r="D246" s="154"/>
      <c r="E246" s="89">
        <f>E197*E245</f>
        <v>609</v>
      </c>
      <c r="F246" s="89">
        <f t="shared" ref="F246:J246" si="422">F197*F245</f>
        <v>561.99999999999955</v>
      </c>
      <c r="G246" s="89">
        <f t="shared" si="422"/>
        <v>519.99999999999955</v>
      </c>
      <c r="H246" s="89">
        <f t="shared" si="422"/>
        <v>502.99999999999994</v>
      </c>
      <c r="I246" s="89">
        <f t="shared" si="422"/>
        <v>488.0000000000004</v>
      </c>
      <c r="J246" s="89">
        <f t="shared" si="422"/>
        <v>473</v>
      </c>
      <c r="K246" s="89">
        <f t="shared" ref="K246:L246" si="423">K197*K245</f>
        <v>461</v>
      </c>
      <c r="L246" s="89">
        <f t="shared" si="423"/>
        <v>452.00000000000006</v>
      </c>
      <c r="M246" s="167">
        <f t="shared" ref="M246" si="424">SUM(F246:H246)</f>
        <v>1584.9999999999991</v>
      </c>
      <c r="N246" s="94">
        <f t="shared" ref="N246" si="425">SUM(F246:J246)</f>
        <v>2545.9999999999995</v>
      </c>
      <c r="O246" s="1316">
        <f t="shared" si="355"/>
        <v>1874.0000000000005</v>
      </c>
      <c r="S246" s="95"/>
    </row>
    <row r="247" spans="1:19">
      <c r="A247" s="160">
        <v>7.3</v>
      </c>
      <c r="B247" s="164" t="s">
        <v>470</v>
      </c>
      <c r="C247" s="266"/>
      <c r="D247" s="154"/>
      <c r="E247" s="152">
        <v>0.8</v>
      </c>
      <c r="F247" s="152">
        <v>0.85</v>
      </c>
      <c r="G247" s="152">
        <v>0.9</v>
      </c>
      <c r="H247" s="152">
        <v>0.95</v>
      </c>
      <c r="I247" s="152">
        <v>0.95</v>
      </c>
      <c r="J247" s="152">
        <v>0.95</v>
      </c>
      <c r="K247" s="152">
        <v>0.95</v>
      </c>
      <c r="L247" s="152">
        <v>0.95</v>
      </c>
      <c r="M247" s="167"/>
      <c r="N247" s="94"/>
      <c r="O247" s="1316"/>
      <c r="S247" s="95"/>
    </row>
    <row r="248" spans="1:19">
      <c r="A248" s="160">
        <v>7.4</v>
      </c>
      <c r="B248" s="164" t="s">
        <v>471</v>
      </c>
      <c r="C248" s="266"/>
      <c r="D248" s="154"/>
      <c r="E248" s="89">
        <f>E246*E247</f>
        <v>487.20000000000005</v>
      </c>
      <c r="F248" s="89">
        <f t="shared" ref="F248:J248" si="426">F246*F247</f>
        <v>477.69999999999959</v>
      </c>
      <c r="G248" s="89">
        <f t="shared" si="426"/>
        <v>467.9999999999996</v>
      </c>
      <c r="H248" s="89">
        <f t="shared" si="426"/>
        <v>477.84999999999991</v>
      </c>
      <c r="I248" s="89">
        <f t="shared" si="426"/>
        <v>463.60000000000036</v>
      </c>
      <c r="J248" s="89">
        <f t="shared" si="426"/>
        <v>449.34999999999997</v>
      </c>
      <c r="K248" s="89">
        <f t="shared" ref="K248:L248" si="427">K246*K247</f>
        <v>437.95</v>
      </c>
      <c r="L248" s="89">
        <f t="shared" si="427"/>
        <v>429.40000000000003</v>
      </c>
      <c r="M248" s="167">
        <f t="shared" ref="M248" si="428">SUM(F248:H248)</f>
        <v>1423.549999999999</v>
      </c>
      <c r="N248" s="94">
        <f t="shared" ref="N248" si="429">SUM(F248:J248)</f>
        <v>2336.4999999999995</v>
      </c>
      <c r="O248" s="1316">
        <f t="shared" si="355"/>
        <v>1780.3000000000004</v>
      </c>
      <c r="S248" s="95"/>
    </row>
    <row r="249" spans="1:19">
      <c r="A249" s="160">
        <v>7.5</v>
      </c>
      <c r="B249" s="288" t="s">
        <v>472</v>
      </c>
      <c r="C249" s="154"/>
      <c r="D249" s="154"/>
      <c r="E249" s="152">
        <f>E231</f>
        <v>0.02</v>
      </c>
      <c r="F249" s="152">
        <f>E249</f>
        <v>0.02</v>
      </c>
      <c r="G249" s="152">
        <f>F249</f>
        <v>0.02</v>
      </c>
      <c r="H249" s="152">
        <f t="shared" ref="H249:J249" si="430">G249</f>
        <v>0.02</v>
      </c>
      <c r="I249" s="152">
        <f t="shared" si="430"/>
        <v>0.02</v>
      </c>
      <c r="J249" s="152">
        <f t="shared" si="430"/>
        <v>0.02</v>
      </c>
      <c r="K249" s="152">
        <f t="shared" ref="K249" si="431">J249</f>
        <v>0.02</v>
      </c>
      <c r="L249" s="152">
        <f t="shared" ref="L249" si="432">K249</f>
        <v>0.02</v>
      </c>
      <c r="M249" s="167"/>
      <c r="N249" s="94"/>
      <c r="O249" s="1316"/>
      <c r="S249" s="95"/>
    </row>
    <row r="250" spans="1:19">
      <c r="A250" s="160">
        <v>7.6</v>
      </c>
      <c r="B250" s="164" t="s">
        <v>473</v>
      </c>
      <c r="C250" s="266"/>
      <c r="D250" s="266"/>
      <c r="E250" s="89">
        <f>E248+E248*E249</f>
        <v>496.94400000000007</v>
      </c>
      <c r="F250" s="89">
        <f t="shared" ref="F250:J250" si="433">F248+F248*F249</f>
        <v>487.25399999999956</v>
      </c>
      <c r="G250" s="89">
        <f t="shared" si="433"/>
        <v>477.35999999999962</v>
      </c>
      <c r="H250" s="89">
        <f t="shared" si="433"/>
        <v>487.40699999999993</v>
      </c>
      <c r="I250" s="89">
        <f t="shared" si="433"/>
        <v>472.87200000000036</v>
      </c>
      <c r="J250" s="89">
        <f t="shared" si="433"/>
        <v>458.33699999999999</v>
      </c>
      <c r="K250" s="89">
        <f t="shared" ref="K250:L250" si="434">K248+K248*K249</f>
        <v>446.709</v>
      </c>
      <c r="L250" s="89">
        <f t="shared" si="434"/>
        <v>437.98800000000006</v>
      </c>
      <c r="M250" s="167">
        <f t="shared" ref="M250" si="435">SUM(F250:H250)</f>
        <v>1452.020999999999</v>
      </c>
      <c r="N250" s="94">
        <f t="shared" ref="N250" si="436">SUM(F250:J250)</f>
        <v>2383.2299999999996</v>
      </c>
      <c r="O250" s="1316">
        <f t="shared" si="355"/>
        <v>1815.9060000000004</v>
      </c>
      <c r="S250" s="95"/>
    </row>
    <row r="251" spans="1:19">
      <c r="A251" s="160">
        <v>7.7</v>
      </c>
      <c r="B251" s="164" t="s">
        <v>824</v>
      </c>
      <c r="C251" s="266"/>
      <c r="D251" s="266"/>
      <c r="E251" s="287">
        <v>1</v>
      </c>
      <c r="F251" s="287">
        <f>E251</f>
        <v>1</v>
      </c>
      <c r="G251" s="287">
        <f>F251</f>
        <v>1</v>
      </c>
      <c r="H251" s="287">
        <f t="shared" ref="H251:J251" si="437">G251</f>
        <v>1</v>
      </c>
      <c r="I251" s="287">
        <f t="shared" si="437"/>
        <v>1</v>
      </c>
      <c r="J251" s="287">
        <f t="shared" si="437"/>
        <v>1</v>
      </c>
      <c r="K251" s="287">
        <f t="shared" ref="K251" si="438">J251</f>
        <v>1</v>
      </c>
      <c r="L251" s="287">
        <f t="shared" ref="L251" si="439">K251</f>
        <v>1</v>
      </c>
      <c r="M251" s="167"/>
      <c r="N251" s="94"/>
      <c r="O251" s="1316"/>
      <c r="S251" s="95"/>
    </row>
    <row r="252" spans="1:19">
      <c r="A252" s="160">
        <v>7.8</v>
      </c>
      <c r="B252" s="164" t="s">
        <v>825</v>
      </c>
      <c r="C252" s="154"/>
      <c r="D252" s="154"/>
      <c r="E252" s="89">
        <f>E250*E251</f>
        <v>496.94400000000007</v>
      </c>
      <c r="F252" s="89">
        <f t="shared" ref="F252:J252" si="440">F250*F251</f>
        <v>487.25399999999956</v>
      </c>
      <c r="G252" s="89">
        <f t="shared" si="440"/>
        <v>477.35999999999962</v>
      </c>
      <c r="H252" s="89">
        <f t="shared" si="440"/>
        <v>487.40699999999993</v>
      </c>
      <c r="I252" s="89">
        <f t="shared" si="440"/>
        <v>472.87200000000036</v>
      </c>
      <c r="J252" s="89">
        <f t="shared" si="440"/>
        <v>458.33699999999999</v>
      </c>
      <c r="K252" s="89">
        <f t="shared" ref="K252:L252" si="441">K250*K251</f>
        <v>446.709</v>
      </c>
      <c r="L252" s="89">
        <f t="shared" si="441"/>
        <v>437.98800000000006</v>
      </c>
      <c r="M252" s="167">
        <f t="shared" ref="M252" si="442">SUM(F252:H252)</f>
        <v>1452.020999999999</v>
      </c>
      <c r="N252" s="94">
        <f t="shared" ref="N252" si="443">SUM(F252:J252)</f>
        <v>2383.2299999999996</v>
      </c>
      <c r="O252" s="1316">
        <f t="shared" si="355"/>
        <v>1815.9060000000004</v>
      </c>
      <c r="S252" s="95"/>
    </row>
    <row r="253" spans="1:19">
      <c r="A253" s="162">
        <v>8</v>
      </c>
      <c r="B253" s="161" t="s">
        <v>474</v>
      </c>
      <c r="C253" s="154"/>
      <c r="D253" s="154"/>
      <c r="E253" s="89"/>
      <c r="F253" s="89"/>
      <c r="G253" s="89"/>
      <c r="H253" s="89"/>
      <c r="I253" s="89"/>
      <c r="J253" s="89"/>
      <c r="K253" s="89"/>
      <c r="L253" s="89"/>
      <c r="M253" s="167"/>
      <c r="N253" s="94"/>
      <c r="O253" s="1316">
        <f t="shared" si="355"/>
        <v>0</v>
      </c>
      <c r="S253" s="95"/>
    </row>
    <row r="254" spans="1:19">
      <c r="A254" s="160">
        <v>8.1</v>
      </c>
      <c r="B254" s="164" t="s">
        <v>475</v>
      </c>
      <c r="C254" s="154"/>
      <c r="D254" s="289"/>
      <c r="E254" s="152">
        <f>(E184+E185+E186+E187+E188)/E197</f>
        <v>2.8108557186374967E-2</v>
      </c>
      <c r="F254" s="152">
        <f t="shared" ref="F254:J254" si="444">(F184+F185+F186+F187+F188)/F197</f>
        <v>2.5555676816180997E-2</v>
      </c>
      <c r="G254" s="152">
        <f t="shared" si="444"/>
        <v>2.3687183411683226E-2</v>
      </c>
      <c r="H254" s="152">
        <f t="shared" si="444"/>
        <v>2.3304904130203526E-2</v>
      </c>
      <c r="I254" s="152">
        <f t="shared" si="444"/>
        <v>2.2823874521072818E-2</v>
      </c>
      <c r="J254" s="152">
        <f t="shared" si="444"/>
        <v>2.2585111970586831E-2</v>
      </c>
      <c r="K254" s="152">
        <f t="shared" ref="K254:L254" si="445">(K184+K185+K186+K187+K188)/K197</f>
        <v>2.2705556704788358E-2</v>
      </c>
      <c r="L254" s="152">
        <f t="shared" si="445"/>
        <v>2.2850440831513389E-2</v>
      </c>
      <c r="M254" s="167"/>
      <c r="N254" s="94"/>
      <c r="O254" s="1316"/>
      <c r="S254" s="95"/>
    </row>
    <row r="255" spans="1:19">
      <c r="A255" s="160">
        <v>8.1999999999999993</v>
      </c>
      <c r="B255" s="164" t="s">
        <v>476</v>
      </c>
      <c r="C255" s="154"/>
      <c r="D255" s="154"/>
      <c r="E255" s="89">
        <f>E197*E254</f>
        <v>609</v>
      </c>
      <c r="F255" s="89">
        <f t="shared" ref="F255:J255" si="446">F197*F254</f>
        <v>561.99999999999955</v>
      </c>
      <c r="G255" s="89">
        <f t="shared" si="446"/>
        <v>519.99999999999955</v>
      </c>
      <c r="H255" s="89">
        <f t="shared" si="446"/>
        <v>502.99999999999994</v>
      </c>
      <c r="I255" s="89">
        <f t="shared" si="446"/>
        <v>488.0000000000004</v>
      </c>
      <c r="J255" s="89">
        <f t="shared" si="446"/>
        <v>473</v>
      </c>
      <c r="K255" s="89">
        <f t="shared" ref="K255:L255" si="447">K197*K254</f>
        <v>461</v>
      </c>
      <c r="L255" s="89">
        <f t="shared" si="447"/>
        <v>452.00000000000006</v>
      </c>
      <c r="M255" s="167">
        <f t="shared" ref="M255" si="448">SUM(F255:H255)</f>
        <v>1584.9999999999991</v>
      </c>
      <c r="N255" s="94">
        <f t="shared" ref="N255" si="449">SUM(F255:J255)</f>
        <v>2545.9999999999995</v>
      </c>
      <c r="O255" s="1316">
        <f t="shared" si="355"/>
        <v>1874.0000000000005</v>
      </c>
      <c r="S255" s="95"/>
    </row>
    <row r="256" spans="1:19">
      <c r="A256" s="160">
        <v>8.3000000000000007</v>
      </c>
      <c r="B256" s="164" t="s">
        <v>455</v>
      </c>
      <c r="C256" s="266"/>
      <c r="D256" s="154"/>
      <c r="E256" s="152">
        <f>E238</f>
        <v>0.7</v>
      </c>
      <c r="F256" s="152">
        <f t="shared" ref="F256:J256" si="450">F238</f>
        <v>0.8</v>
      </c>
      <c r="G256" s="152">
        <f t="shared" si="450"/>
        <v>0.85</v>
      </c>
      <c r="H256" s="152">
        <f t="shared" si="450"/>
        <v>0.95</v>
      </c>
      <c r="I256" s="152">
        <f t="shared" si="450"/>
        <v>0.95</v>
      </c>
      <c r="J256" s="152">
        <f t="shared" si="450"/>
        <v>0.95</v>
      </c>
      <c r="K256" s="152">
        <f t="shared" ref="K256:L256" si="451">K238</f>
        <v>0.95</v>
      </c>
      <c r="L256" s="152">
        <f t="shared" si="451"/>
        <v>0.95</v>
      </c>
      <c r="M256" s="167"/>
      <c r="N256" s="94"/>
      <c r="O256" s="1316"/>
      <c r="S256" s="95"/>
    </row>
    <row r="257" spans="1:19">
      <c r="A257" s="160">
        <v>8.4</v>
      </c>
      <c r="B257" s="164" t="s">
        <v>477</v>
      </c>
      <c r="C257" s="266"/>
      <c r="D257" s="154"/>
      <c r="E257" s="89">
        <f>E255*E256</f>
        <v>426.29999999999995</v>
      </c>
      <c r="F257" s="89">
        <f t="shared" ref="F257:J257" si="452">F255*F256</f>
        <v>449.59999999999968</v>
      </c>
      <c r="G257" s="89">
        <f t="shared" si="452"/>
        <v>441.9999999999996</v>
      </c>
      <c r="H257" s="89">
        <f t="shared" si="452"/>
        <v>477.84999999999991</v>
      </c>
      <c r="I257" s="89">
        <f t="shared" si="452"/>
        <v>463.60000000000036</v>
      </c>
      <c r="J257" s="89">
        <f t="shared" si="452"/>
        <v>449.34999999999997</v>
      </c>
      <c r="K257" s="89">
        <f t="shared" ref="K257:L257" si="453">K255*K256</f>
        <v>437.95</v>
      </c>
      <c r="L257" s="89">
        <f t="shared" si="453"/>
        <v>429.40000000000003</v>
      </c>
      <c r="M257" s="167">
        <f t="shared" ref="M257" si="454">SUM(F257:H257)</f>
        <v>1369.4499999999991</v>
      </c>
      <c r="N257" s="94">
        <f t="shared" ref="N257" si="455">SUM(F257:J257)</f>
        <v>2282.3999999999996</v>
      </c>
      <c r="O257" s="1316">
        <f t="shared" si="355"/>
        <v>1780.3000000000004</v>
      </c>
      <c r="S257" s="95"/>
    </row>
    <row r="258" spans="1:19">
      <c r="A258" s="160">
        <v>8.5</v>
      </c>
      <c r="B258" s="288" t="s">
        <v>478</v>
      </c>
      <c r="C258" s="154"/>
      <c r="D258" s="154"/>
      <c r="E258" s="152">
        <v>0.1</v>
      </c>
      <c r="F258" s="152">
        <f>E258</f>
        <v>0.1</v>
      </c>
      <c r="G258" s="152">
        <f t="shared" ref="G258:J258" si="456">F258</f>
        <v>0.1</v>
      </c>
      <c r="H258" s="152">
        <f t="shared" si="456"/>
        <v>0.1</v>
      </c>
      <c r="I258" s="152">
        <f t="shared" si="456"/>
        <v>0.1</v>
      </c>
      <c r="J258" s="152">
        <f t="shared" si="456"/>
        <v>0.1</v>
      </c>
      <c r="K258" s="152">
        <f t="shared" ref="K258" si="457">J258</f>
        <v>0.1</v>
      </c>
      <c r="L258" s="152">
        <f t="shared" ref="L258" si="458">K258</f>
        <v>0.1</v>
      </c>
      <c r="M258" s="167"/>
      <c r="N258" s="94"/>
      <c r="O258" s="1316"/>
      <c r="S258" s="95"/>
    </row>
    <row r="259" spans="1:19">
      <c r="A259" s="160">
        <v>8.6</v>
      </c>
      <c r="B259" s="164" t="s">
        <v>479</v>
      </c>
      <c r="C259" s="266"/>
      <c r="D259" s="266"/>
      <c r="E259" s="89">
        <f>E257+E257*E258</f>
        <v>468.92999999999995</v>
      </c>
      <c r="F259" s="89">
        <f t="shared" ref="F259:J259" si="459">F257+F257*F258</f>
        <v>494.55999999999966</v>
      </c>
      <c r="G259" s="89">
        <f t="shared" si="459"/>
        <v>486.19999999999959</v>
      </c>
      <c r="H259" s="89">
        <f t="shared" si="459"/>
        <v>525.63499999999988</v>
      </c>
      <c r="I259" s="89">
        <f t="shared" si="459"/>
        <v>509.96000000000038</v>
      </c>
      <c r="J259" s="89">
        <f t="shared" si="459"/>
        <v>494.28499999999997</v>
      </c>
      <c r="K259" s="89">
        <f t="shared" ref="K259:L259" si="460">K257+K257*K258</f>
        <v>481.745</v>
      </c>
      <c r="L259" s="89">
        <f t="shared" si="460"/>
        <v>472.34000000000003</v>
      </c>
      <c r="M259" s="167">
        <f t="shared" ref="M259" si="461">SUM(F259:H259)</f>
        <v>1506.3949999999991</v>
      </c>
      <c r="N259" s="94">
        <f t="shared" ref="N259" si="462">SUM(F259:J259)</f>
        <v>2510.6399999999994</v>
      </c>
      <c r="O259" s="1316">
        <f t="shared" si="355"/>
        <v>1958.3300000000004</v>
      </c>
      <c r="S259" s="95"/>
    </row>
    <row r="260" spans="1:19">
      <c r="A260" s="160">
        <v>8.6999999999999993</v>
      </c>
      <c r="B260" s="164" t="s">
        <v>826</v>
      </c>
      <c r="C260" s="266"/>
      <c r="D260" s="266"/>
      <c r="E260" s="287">
        <v>1</v>
      </c>
      <c r="F260" s="287">
        <f>E260</f>
        <v>1</v>
      </c>
      <c r="G260" s="287">
        <f>F260</f>
        <v>1</v>
      </c>
      <c r="H260" s="287">
        <f t="shared" ref="H260:J260" si="463">G260</f>
        <v>1</v>
      </c>
      <c r="I260" s="287">
        <f t="shared" si="463"/>
        <v>1</v>
      </c>
      <c r="J260" s="287">
        <f t="shared" si="463"/>
        <v>1</v>
      </c>
      <c r="K260" s="287">
        <f t="shared" ref="K260" si="464">J260</f>
        <v>1</v>
      </c>
      <c r="L260" s="287">
        <f t="shared" ref="L260" si="465">K260</f>
        <v>1</v>
      </c>
      <c r="M260" s="167"/>
      <c r="N260" s="94"/>
      <c r="O260" s="1316"/>
      <c r="S260" s="95"/>
    </row>
    <row r="261" spans="1:19">
      <c r="A261" s="160">
        <v>8.8000000000000007</v>
      </c>
      <c r="B261" s="164" t="s">
        <v>827</v>
      </c>
      <c r="C261" s="154"/>
      <c r="D261" s="154"/>
      <c r="E261" s="89">
        <f>E259*E260</f>
        <v>468.92999999999995</v>
      </c>
      <c r="F261" s="89">
        <f t="shared" ref="F261:J261" si="466">F259*F260</f>
        <v>494.55999999999966</v>
      </c>
      <c r="G261" s="89">
        <f t="shared" si="466"/>
        <v>486.19999999999959</v>
      </c>
      <c r="H261" s="89">
        <f t="shared" si="466"/>
        <v>525.63499999999988</v>
      </c>
      <c r="I261" s="89">
        <f t="shared" si="466"/>
        <v>509.96000000000038</v>
      </c>
      <c r="J261" s="89">
        <f t="shared" si="466"/>
        <v>494.28499999999997</v>
      </c>
      <c r="K261" s="89">
        <f t="shared" ref="K261:L261" si="467">K259*K260</f>
        <v>481.745</v>
      </c>
      <c r="L261" s="89">
        <f t="shared" si="467"/>
        <v>472.34000000000003</v>
      </c>
      <c r="M261" s="167">
        <f t="shared" ref="M261" si="468">SUM(F261:H261)</f>
        <v>1506.3949999999991</v>
      </c>
      <c r="N261" s="94">
        <f t="shared" ref="N261" si="469">SUM(F261:J261)</f>
        <v>2510.6399999999994</v>
      </c>
      <c r="O261" s="1316">
        <f t="shared" si="355"/>
        <v>1958.3300000000004</v>
      </c>
      <c r="S261" s="95"/>
    </row>
    <row r="262" spans="1:19">
      <c r="A262" s="162"/>
      <c r="B262" s="154"/>
      <c r="C262" s="154"/>
      <c r="D262" s="154"/>
      <c r="E262" s="266"/>
      <c r="F262" s="266"/>
      <c r="G262" s="266"/>
      <c r="H262" s="267"/>
      <c r="I262" s="267"/>
      <c r="J262" s="267"/>
      <c r="K262" s="267"/>
      <c r="L262" s="267"/>
      <c r="M262" s="168"/>
      <c r="N262" s="173"/>
      <c r="O262" s="1316">
        <f t="shared" si="355"/>
        <v>0</v>
      </c>
      <c r="S262" s="95"/>
    </row>
    <row r="263" spans="1:19" ht="15.75">
      <c r="A263" s="260" t="s">
        <v>756</v>
      </c>
      <c r="B263" s="268" t="s">
        <v>311</v>
      </c>
      <c r="C263" s="269"/>
      <c r="D263" s="269"/>
      <c r="E263" s="270"/>
      <c r="F263" s="270"/>
      <c r="G263" s="270"/>
      <c r="H263" s="271"/>
      <c r="I263" s="271"/>
      <c r="J263" s="271"/>
      <c r="K263" s="271"/>
      <c r="L263" s="271"/>
      <c r="M263" s="177"/>
      <c r="N263" s="178"/>
      <c r="O263" s="1316">
        <f t="shared" si="355"/>
        <v>0</v>
      </c>
      <c r="S263" s="95"/>
    </row>
    <row r="264" spans="1:19">
      <c r="A264" s="183">
        <v>1</v>
      </c>
      <c r="B264" s="179" t="str">
        <f>B183</f>
        <v>First-line treatment</v>
      </c>
      <c r="C264" s="290"/>
      <c r="D264" s="290"/>
      <c r="E264" s="184"/>
      <c r="F264" s="184"/>
      <c r="G264" s="184"/>
      <c r="H264" s="184"/>
      <c r="I264" s="184"/>
      <c r="J264" s="184"/>
      <c r="K264" s="184"/>
      <c r="L264" s="184"/>
      <c r="M264" s="180"/>
      <c r="N264" s="181"/>
      <c r="O264" s="1316">
        <f t="shared" si="355"/>
        <v>0</v>
      </c>
      <c r="S264" s="95"/>
    </row>
    <row r="265" spans="1:19">
      <c r="A265" s="162">
        <v>1.1000000000000001</v>
      </c>
      <c r="B265" s="159" t="s">
        <v>284</v>
      </c>
      <c r="C265" s="154"/>
      <c r="D265" s="154"/>
      <c r="E265" s="89"/>
      <c r="F265" s="89"/>
      <c r="G265" s="89"/>
      <c r="H265" s="89"/>
      <c r="I265" s="89"/>
      <c r="J265" s="89"/>
      <c r="K265" s="89"/>
      <c r="L265" s="89"/>
      <c r="M265" s="167"/>
      <c r="N265" s="94"/>
      <c r="O265" s="1316">
        <f t="shared" si="355"/>
        <v>0</v>
      </c>
      <c r="S265" s="95"/>
    </row>
    <row r="266" spans="1:19">
      <c r="A266" s="160" t="s">
        <v>315</v>
      </c>
      <c r="B266" s="291" t="s">
        <v>312</v>
      </c>
      <c r="C266" s="266"/>
      <c r="D266" s="266"/>
      <c r="E266" s="89">
        <f t="shared" ref="E266:J266" si="470">E183</f>
        <v>3002</v>
      </c>
      <c r="F266" s="89">
        <f t="shared" si="470"/>
        <v>2770</v>
      </c>
      <c r="G266" s="89">
        <f t="shared" si="470"/>
        <v>2529</v>
      </c>
      <c r="H266" s="89">
        <f t="shared" si="470"/>
        <v>2398</v>
      </c>
      <c r="I266" s="89">
        <f t="shared" si="470"/>
        <v>2296</v>
      </c>
      <c r="J266" s="89">
        <f t="shared" si="470"/>
        <v>2212</v>
      </c>
      <c r="K266" s="89">
        <f t="shared" ref="K266:L266" si="471">K183</f>
        <v>2142</v>
      </c>
      <c r="L266" s="89">
        <f t="shared" si="471"/>
        <v>2084</v>
      </c>
      <c r="M266" s="167">
        <f t="shared" ref="M266" si="472">SUM(F266:H266)</f>
        <v>7697</v>
      </c>
      <c r="N266" s="94">
        <f t="shared" ref="N266" si="473">SUM(F266:J266)</f>
        <v>12205</v>
      </c>
      <c r="O266" s="1316">
        <f t="shared" si="355"/>
        <v>8734</v>
      </c>
      <c r="S266" s="95"/>
    </row>
    <row r="267" spans="1:19">
      <c r="A267" s="160" t="s">
        <v>316</v>
      </c>
      <c r="B267" s="291" t="s">
        <v>313</v>
      </c>
      <c r="C267" s="154"/>
      <c r="D267" s="154"/>
      <c r="E267" s="89">
        <v>3</v>
      </c>
      <c r="F267" s="89">
        <f>E267</f>
        <v>3</v>
      </c>
      <c r="G267" s="89">
        <f t="shared" ref="G267:J267" si="474">F267</f>
        <v>3</v>
      </c>
      <c r="H267" s="89">
        <f t="shared" si="474"/>
        <v>3</v>
      </c>
      <c r="I267" s="89">
        <f t="shared" si="474"/>
        <v>3</v>
      </c>
      <c r="J267" s="89">
        <f t="shared" si="474"/>
        <v>3</v>
      </c>
      <c r="K267" s="89">
        <f t="shared" ref="K267:K268" si="475">J267</f>
        <v>3</v>
      </c>
      <c r="L267" s="89">
        <f t="shared" ref="L267:L270" si="476">K267</f>
        <v>3</v>
      </c>
      <c r="M267" s="167"/>
      <c r="N267" s="94"/>
      <c r="O267" s="1316"/>
      <c r="S267" s="95"/>
    </row>
    <row r="268" spans="1:19">
      <c r="A268" s="160" t="s">
        <v>317</v>
      </c>
      <c r="B268" s="291" t="s">
        <v>418</v>
      </c>
      <c r="C268" s="154"/>
      <c r="D268" s="154"/>
      <c r="E268" s="272">
        <v>0.9</v>
      </c>
      <c r="F268" s="272">
        <f>E268</f>
        <v>0.9</v>
      </c>
      <c r="G268" s="272">
        <f t="shared" ref="G268:J268" si="477">F268</f>
        <v>0.9</v>
      </c>
      <c r="H268" s="272">
        <f t="shared" si="477"/>
        <v>0.9</v>
      </c>
      <c r="I268" s="272">
        <f t="shared" si="477"/>
        <v>0.9</v>
      </c>
      <c r="J268" s="272">
        <f t="shared" si="477"/>
        <v>0.9</v>
      </c>
      <c r="K268" s="272">
        <f t="shared" si="475"/>
        <v>0.9</v>
      </c>
      <c r="L268" s="272">
        <f t="shared" si="476"/>
        <v>0.9</v>
      </c>
      <c r="M268" s="167"/>
      <c r="N268" s="94"/>
      <c r="O268" s="1316"/>
      <c r="S268" s="95"/>
    </row>
    <row r="269" spans="1:19">
      <c r="A269" s="160" t="s">
        <v>318</v>
      </c>
      <c r="B269" s="291" t="s">
        <v>288</v>
      </c>
      <c r="C269" s="154"/>
      <c r="D269" s="154"/>
      <c r="E269" s="152">
        <f t="shared" ref="E269:K269" si="478">E204/2</f>
        <v>0.06</v>
      </c>
      <c r="F269" s="152">
        <f t="shared" si="478"/>
        <v>5.5E-2</v>
      </c>
      <c r="G269" s="152">
        <f t="shared" si="478"/>
        <v>0.05</v>
      </c>
      <c r="H269" s="152">
        <f t="shared" si="478"/>
        <v>0.05</v>
      </c>
      <c r="I269" s="152">
        <f t="shared" si="478"/>
        <v>0.05</v>
      </c>
      <c r="J269" s="152">
        <f t="shared" si="478"/>
        <v>0.05</v>
      </c>
      <c r="K269" s="152">
        <f t="shared" si="478"/>
        <v>0.05</v>
      </c>
      <c r="L269" s="272">
        <f t="shared" si="476"/>
        <v>0.05</v>
      </c>
      <c r="M269" s="167"/>
      <c r="N269" s="94"/>
      <c r="O269" s="1316"/>
      <c r="S269" s="95"/>
    </row>
    <row r="270" spans="1:19">
      <c r="A270" s="160" t="s">
        <v>319</v>
      </c>
      <c r="B270" s="291" t="s">
        <v>286</v>
      </c>
      <c r="C270" s="154"/>
      <c r="D270" s="154"/>
      <c r="E270" s="272">
        <f t="shared" ref="E270:J270" si="479">E202</f>
        <v>0.95</v>
      </c>
      <c r="F270" s="272">
        <f t="shared" si="479"/>
        <v>0.95</v>
      </c>
      <c r="G270" s="272">
        <f t="shared" si="479"/>
        <v>0.95</v>
      </c>
      <c r="H270" s="272">
        <f t="shared" si="479"/>
        <v>0.95</v>
      </c>
      <c r="I270" s="272">
        <f t="shared" si="479"/>
        <v>0.95</v>
      </c>
      <c r="J270" s="272">
        <f t="shared" si="479"/>
        <v>0.95</v>
      </c>
      <c r="K270" s="272">
        <f t="shared" ref="K270" si="480">K202</f>
        <v>0.95</v>
      </c>
      <c r="L270" s="272">
        <f t="shared" si="476"/>
        <v>0.95</v>
      </c>
      <c r="M270" s="167"/>
      <c r="N270" s="94"/>
      <c r="O270" s="1316"/>
      <c r="S270" s="95"/>
    </row>
    <row r="271" spans="1:19">
      <c r="A271" s="160" t="s">
        <v>320</v>
      </c>
      <c r="B271" s="291" t="s">
        <v>289</v>
      </c>
      <c r="C271" s="266"/>
      <c r="D271" s="266"/>
      <c r="E271" s="89">
        <f>E266*E267*E268*(1+E269)*E270</f>
        <v>8162.1377999999995</v>
      </c>
      <c r="F271" s="89">
        <f t="shared" ref="F271:J271" si="481">F266*F267*F268*(1+F269)*F270</f>
        <v>7495.8277499999995</v>
      </c>
      <c r="G271" s="89">
        <f t="shared" si="481"/>
        <v>6811.2292499999994</v>
      </c>
      <c r="H271" s="89">
        <f t="shared" si="481"/>
        <v>6458.4135000000006</v>
      </c>
      <c r="I271" s="89">
        <f t="shared" si="481"/>
        <v>6183.7019999999993</v>
      </c>
      <c r="J271" s="89">
        <f t="shared" si="481"/>
        <v>5957.4690000000001</v>
      </c>
      <c r="K271" s="89">
        <f t="shared" ref="K271:L271" si="482">K266*K267*K268*(1+K269)*K270</f>
        <v>5768.9414999999999</v>
      </c>
      <c r="L271" s="89">
        <f t="shared" si="482"/>
        <v>5612.7330000000002</v>
      </c>
      <c r="M271" s="167">
        <f t="shared" ref="M271" si="483">SUM(F271:H271)</f>
        <v>20765.470499999999</v>
      </c>
      <c r="N271" s="94">
        <f t="shared" ref="N271" si="484">SUM(F271:J271)</f>
        <v>32906.641499999998</v>
      </c>
      <c r="O271" s="1316">
        <f t="shared" si="355"/>
        <v>23522.845499999999</v>
      </c>
      <c r="S271" s="95"/>
    </row>
    <row r="272" spans="1:19">
      <c r="A272" s="160" t="s">
        <v>321</v>
      </c>
      <c r="B272" s="291" t="s">
        <v>239</v>
      </c>
      <c r="C272" s="266"/>
      <c r="D272" s="266"/>
      <c r="E272" s="287">
        <f t="shared" ref="E272:J272" si="485">E206</f>
        <v>1.9</v>
      </c>
      <c r="F272" s="287">
        <f t="shared" si="485"/>
        <v>1.6</v>
      </c>
      <c r="G272" s="287">
        <f t="shared" si="485"/>
        <v>1.2</v>
      </c>
      <c r="H272" s="287">
        <f t="shared" si="485"/>
        <v>1</v>
      </c>
      <c r="I272" s="287">
        <f t="shared" si="485"/>
        <v>1</v>
      </c>
      <c r="J272" s="287">
        <f t="shared" si="485"/>
        <v>1</v>
      </c>
      <c r="K272" s="287">
        <f t="shared" ref="K272:L272" si="486">K206</f>
        <v>1</v>
      </c>
      <c r="L272" s="287">
        <f t="shared" si="486"/>
        <v>1</v>
      </c>
      <c r="M272" s="167"/>
      <c r="N272" s="94"/>
      <c r="O272" s="1316"/>
      <c r="S272" s="95"/>
    </row>
    <row r="273" spans="1:19">
      <c r="A273" s="160" t="s">
        <v>322</v>
      </c>
      <c r="B273" s="291" t="s">
        <v>290</v>
      </c>
      <c r="C273" s="154"/>
      <c r="D273" s="154"/>
      <c r="E273" s="89">
        <f>E271*E272</f>
        <v>15508.061819999999</v>
      </c>
      <c r="F273" s="89">
        <f t="shared" ref="F273:J273" si="487">F271*F272</f>
        <v>11993.3244</v>
      </c>
      <c r="G273" s="89">
        <f t="shared" si="487"/>
        <v>8173.4750999999987</v>
      </c>
      <c r="H273" s="89">
        <f t="shared" si="487"/>
        <v>6458.4135000000006</v>
      </c>
      <c r="I273" s="89">
        <f t="shared" si="487"/>
        <v>6183.7019999999993</v>
      </c>
      <c r="J273" s="89">
        <f t="shared" si="487"/>
        <v>5957.4690000000001</v>
      </c>
      <c r="K273" s="89">
        <f t="shared" ref="K273:L273" si="488">K271*K272</f>
        <v>5768.9414999999999</v>
      </c>
      <c r="L273" s="89">
        <f t="shared" si="488"/>
        <v>5612.7330000000002</v>
      </c>
      <c r="M273" s="167">
        <f t="shared" ref="M273" si="489">SUM(F273:H273)</f>
        <v>26625.212999999996</v>
      </c>
      <c r="N273" s="94">
        <f t="shared" ref="N273" si="490">SUM(F273:J273)</f>
        <v>38766.383999999991</v>
      </c>
      <c r="O273" s="1316">
        <f t="shared" si="355"/>
        <v>23522.845499999999</v>
      </c>
      <c r="S273" s="95"/>
    </row>
    <row r="274" spans="1:19">
      <c r="A274" s="162">
        <v>1.2</v>
      </c>
      <c r="B274" s="159" t="s">
        <v>292</v>
      </c>
      <c r="C274" s="154"/>
      <c r="D274" s="154"/>
      <c r="E274" s="89"/>
      <c r="F274" s="89"/>
      <c r="G274" s="89"/>
      <c r="H274" s="89"/>
      <c r="I274" s="89"/>
      <c r="J274" s="89"/>
      <c r="K274" s="89"/>
      <c r="L274" s="89"/>
      <c r="M274" s="167"/>
      <c r="N274" s="94"/>
      <c r="O274" s="1316">
        <f t="shared" si="355"/>
        <v>0</v>
      </c>
      <c r="S274" s="95"/>
    </row>
    <row r="275" spans="1:19">
      <c r="A275" s="160" t="s">
        <v>241</v>
      </c>
      <c r="B275" s="291" t="s">
        <v>312</v>
      </c>
      <c r="C275" s="266"/>
      <c r="D275" s="266"/>
      <c r="E275" s="89">
        <f t="shared" ref="E275:J275" si="491">E183</f>
        <v>3002</v>
      </c>
      <c r="F275" s="89">
        <f t="shared" si="491"/>
        <v>2770</v>
      </c>
      <c r="G275" s="89">
        <f t="shared" si="491"/>
        <v>2529</v>
      </c>
      <c r="H275" s="89">
        <f t="shared" si="491"/>
        <v>2398</v>
      </c>
      <c r="I275" s="89">
        <f t="shared" si="491"/>
        <v>2296</v>
      </c>
      <c r="J275" s="89">
        <f t="shared" si="491"/>
        <v>2212</v>
      </c>
      <c r="K275" s="89">
        <f t="shared" ref="K275:L275" si="492">K183</f>
        <v>2142</v>
      </c>
      <c r="L275" s="89">
        <f t="shared" si="492"/>
        <v>2084</v>
      </c>
      <c r="M275" s="167">
        <f t="shared" ref="M275" si="493">SUM(F275:H275)</f>
        <v>7697</v>
      </c>
      <c r="N275" s="94">
        <f t="shared" ref="N275" si="494">SUM(F275:J275)</f>
        <v>12205</v>
      </c>
      <c r="O275" s="1316">
        <f t="shared" si="355"/>
        <v>8734</v>
      </c>
      <c r="S275" s="95"/>
    </row>
    <row r="276" spans="1:19">
      <c r="A276" s="160" t="s">
        <v>242</v>
      </c>
      <c r="B276" s="291" t="s">
        <v>324</v>
      </c>
      <c r="C276" s="266"/>
      <c r="D276" s="266"/>
      <c r="E276" s="272">
        <v>0.1</v>
      </c>
      <c r="F276" s="272">
        <f>E276</f>
        <v>0.1</v>
      </c>
      <c r="G276" s="272">
        <f t="shared" ref="G276:J276" si="495">F276</f>
        <v>0.1</v>
      </c>
      <c r="H276" s="272">
        <f t="shared" si="495"/>
        <v>0.1</v>
      </c>
      <c r="I276" s="272">
        <f t="shared" si="495"/>
        <v>0.1</v>
      </c>
      <c r="J276" s="272">
        <f t="shared" si="495"/>
        <v>0.1</v>
      </c>
      <c r="K276" s="272">
        <f t="shared" ref="K276" si="496">J276</f>
        <v>0.1</v>
      </c>
      <c r="L276" s="272">
        <f t="shared" ref="L276" si="497">K276</f>
        <v>0.1</v>
      </c>
      <c r="M276" s="167"/>
      <c r="N276" s="94"/>
      <c r="O276" s="1316"/>
      <c r="S276" s="95"/>
    </row>
    <row r="277" spans="1:19">
      <c r="A277" s="160" t="s">
        <v>327</v>
      </c>
      <c r="B277" s="291" t="s">
        <v>314</v>
      </c>
      <c r="C277" s="154"/>
      <c r="D277" s="154"/>
      <c r="E277" s="89">
        <f>E275*E276</f>
        <v>300.2</v>
      </c>
      <c r="F277" s="89">
        <f t="shared" ref="F277:J277" si="498">F275*F276</f>
        <v>277</v>
      </c>
      <c r="G277" s="89">
        <f t="shared" si="498"/>
        <v>252.9</v>
      </c>
      <c r="H277" s="89">
        <f t="shared" si="498"/>
        <v>239.8</v>
      </c>
      <c r="I277" s="89">
        <f t="shared" si="498"/>
        <v>229.60000000000002</v>
      </c>
      <c r="J277" s="89">
        <f t="shared" si="498"/>
        <v>221.20000000000002</v>
      </c>
      <c r="K277" s="89">
        <f t="shared" ref="K277:L277" si="499">K275*K276</f>
        <v>214.20000000000002</v>
      </c>
      <c r="L277" s="89">
        <f t="shared" si="499"/>
        <v>208.4</v>
      </c>
      <c r="M277" s="167">
        <f t="shared" ref="M277" si="500">SUM(F277:H277)</f>
        <v>769.7</v>
      </c>
      <c r="N277" s="94">
        <f t="shared" ref="N277" si="501">SUM(F277:J277)</f>
        <v>1220.5</v>
      </c>
      <c r="O277" s="1316">
        <f t="shared" si="355"/>
        <v>873.40000000000009</v>
      </c>
      <c r="S277" s="95"/>
    </row>
    <row r="278" spans="1:19">
      <c r="A278" s="160" t="s">
        <v>328</v>
      </c>
      <c r="B278" s="291" t="s">
        <v>298</v>
      </c>
      <c r="C278" s="154"/>
      <c r="D278" s="154"/>
      <c r="E278" s="152">
        <f t="shared" ref="E278:J278" si="502">E213/2</f>
        <v>0.06</v>
      </c>
      <c r="F278" s="152">
        <f t="shared" si="502"/>
        <v>5.5E-2</v>
      </c>
      <c r="G278" s="152">
        <f t="shared" si="502"/>
        <v>0.05</v>
      </c>
      <c r="H278" s="152">
        <f t="shared" si="502"/>
        <v>4.4999999999999998E-2</v>
      </c>
      <c r="I278" s="152">
        <f t="shared" si="502"/>
        <v>4.2500000000000003E-2</v>
      </c>
      <c r="J278" s="152">
        <f t="shared" si="502"/>
        <v>0.04</v>
      </c>
      <c r="K278" s="152">
        <f t="shared" ref="K278" si="503">K213/2</f>
        <v>0.04</v>
      </c>
      <c r="L278" s="152">
        <v>0.04</v>
      </c>
      <c r="M278" s="167"/>
      <c r="N278" s="94"/>
      <c r="O278" s="1316"/>
      <c r="S278" s="95"/>
    </row>
    <row r="279" spans="1:19">
      <c r="A279" s="160" t="s">
        <v>329</v>
      </c>
      <c r="B279" s="291" t="s">
        <v>296</v>
      </c>
      <c r="C279" s="154"/>
      <c r="D279" s="154"/>
      <c r="E279" s="272">
        <f t="shared" ref="E279:J279" si="504">E211</f>
        <v>0.5</v>
      </c>
      <c r="F279" s="272">
        <f t="shared" si="504"/>
        <v>0.7</v>
      </c>
      <c r="G279" s="272">
        <f t="shared" si="504"/>
        <v>0.8</v>
      </c>
      <c r="H279" s="272">
        <f t="shared" si="504"/>
        <v>0.85</v>
      </c>
      <c r="I279" s="272">
        <f t="shared" si="504"/>
        <v>0.9</v>
      </c>
      <c r="J279" s="272">
        <f t="shared" si="504"/>
        <v>0.95</v>
      </c>
      <c r="K279" s="272">
        <f>K211</f>
        <v>0.95</v>
      </c>
      <c r="L279" s="272">
        <v>0.95</v>
      </c>
      <c r="M279" s="167"/>
      <c r="N279" s="94"/>
      <c r="O279" s="1316"/>
      <c r="S279" s="95"/>
    </row>
    <row r="280" spans="1:19">
      <c r="A280" s="160" t="s">
        <v>330</v>
      </c>
      <c r="B280" s="291" t="s">
        <v>299</v>
      </c>
      <c r="C280" s="266"/>
      <c r="D280" s="266"/>
      <c r="E280" s="89">
        <f>E277*(1+E278)*E279</f>
        <v>159.10599999999999</v>
      </c>
      <c r="F280" s="89">
        <f t="shared" ref="F280:J280" si="505">F277*(1+F278)*F279</f>
        <v>204.56449999999995</v>
      </c>
      <c r="G280" s="89">
        <f t="shared" si="505"/>
        <v>212.43600000000004</v>
      </c>
      <c r="H280" s="89">
        <f t="shared" si="505"/>
        <v>213.00235000000001</v>
      </c>
      <c r="I280" s="89">
        <f t="shared" si="505"/>
        <v>215.42220000000003</v>
      </c>
      <c r="J280" s="89">
        <f t="shared" si="505"/>
        <v>218.54560000000001</v>
      </c>
      <c r="K280" s="89">
        <f t="shared" ref="K280:L280" si="506">K277*(1+K278)*K279</f>
        <v>211.62960000000001</v>
      </c>
      <c r="L280" s="89">
        <f t="shared" si="506"/>
        <v>205.89920000000001</v>
      </c>
      <c r="M280" s="167">
        <f t="shared" ref="M280" si="507">SUM(F280:H280)</f>
        <v>630.00284999999997</v>
      </c>
      <c r="N280" s="94">
        <f t="shared" ref="N280" si="508">SUM(F280:J280)</f>
        <v>1063.97065</v>
      </c>
      <c r="O280" s="1316">
        <f t="shared" si="355"/>
        <v>851.49659999999994</v>
      </c>
      <c r="S280" s="95"/>
    </row>
    <row r="281" spans="1:19">
      <c r="A281" s="160" t="s">
        <v>331</v>
      </c>
      <c r="B281" s="291" t="s">
        <v>240</v>
      </c>
      <c r="C281" s="266"/>
      <c r="D281" s="266"/>
      <c r="E281" s="292">
        <f t="shared" ref="E281:J281" si="509">E215</f>
        <v>1.08</v>
      </c>
      <c r="F281" s="292">
        <f t="shared" si="509"/>
        <v>1.07</v>
      </c>
      <c r="G281" s="292">
        <f t="shared" si="509"/>
        <v>1.06</v>
      </c>
      <c r="H281" s="292">
        <f t="shared" si="509"/>
        <v>1.05</v>
      </c>
      <c r="I281" s="292">
        <f t="shared" si="509"/>
        <v>1.04</v>
      </c>
      <c r="J281" s="292">
        <f t="shared" si="509"/>
        <v>1.03</v>
      </c>
      <c r="K281" s="292">
        <f t="shared" ref="K281:L281" si="510">K215</f>
        <v>1.03</v>
      </c>
      <c r="L281" s="292">
        <f t="shared" si="510"/>
        <v>1.03</v>
      </c>
      <c r="M281" s="167"/>
      <c r="N281" s="94"/>
      <c r="O281" s="1316"/>
      <c r="S281" s="95"/>
    </row>
    <row r="282" spans="1:19">
      <c r="A282" s="160" t="s">
        <v>332</v>
      </c>
      <c r="B282" s="291" t="s">
        <v>300</v>
      </c>
      <c r="C282" s="154"/>
      <c r="D282" s="154"/>
      <c r="E282" s="89">
        <f>E280*E281</f>
        <v>171.83448000000001</v>
      </c>
      <c r="F282" s="89">
        <f t="shared" ref="F282:J282" si="511">F280*F281</f>
        <v>218.88401499999995</v>
      </c>
      <c r="G282" s="89">
        <f t="shared" si="511"/>
        <v>225.18216000000004</v>
      </c>
      <c r="H282" s="89">
        <f t="shared" si="511"/>
        <v>223.65246750000003</v>
      </c>
      <c r="I282" s="89">
        <f t="shared" si="511"/>
        <v>224.03908800000005</v>
      </c>
      <c r="J282" s="89">
        <f t="shared" si="511"/>
        <v>225.101968</v>
      </c>
      <c r="K282" s="89">
        <f t="shared" ref="K282:L282" si="512">K280*K281</f>
        <v>217.97848800000003</v>
      </c>
      <c r="L282" s="89">
        <f t="shared" si="512"/>
        <v>212.076176</v>
      </c>
      <c r="M282" s="167">
        <f t="shared" ref="M282" si="513">SUM(F282:H282)</f>
        <v>667.71864249999999</v>
      </c>
      <c r="N282" s="94">
        <f t="shared" ref="N282" si="514">SUM(F282:J282)</f>
        <v>1116.8596984999999</v>
      </c>
      <c r="O282" s="1316">
        <f t="shared" si="355"/>
        <v>879.19572000000016</v>
      </c>
      <c r="S282" s="95"/>
    </row>
    <row r="283" spans="1:19">
      <c r="A283" s="162">
        <v>1.3</v>
      </c>
      <c r="B283" s="159" t="s">
        <v>303</v>
      </c>
      <c r="C283" s="154"/>
      <c r="D283" s="154"/>
      <c r="E283" s="89"/>
      <c r="F283" s="89"/>
      <c r="G283" s="89"/>
      <c r="H283" s="89"/>
      <c r="I283" s="89"/>
      <c r="J283" s="89"/>
      <c r="K283" s="89"/>
      <c r="L283" s="89"/>
      <c r="M283" s="167"/>
      <c r="N283" s="94"/>
      <c r="O283" s="1316">
        <f t="shared" si="355"/>
        <v>0</v>
      </c>
      <c r="S283" s="95"/>
    </row>
    <row r="284" spans="1:19">
      <c r="A284" s="160" t="s">
        <v>333</v>
      </c>
      <c r="B284" s="291" t="s">
        <v>312</v>
      </c>
      <c r="C284" s="266"/>
      <c r="D284" s="266"/>
      <c r="E284" s="89">
        <f t="shared" ref="E284:J284" si="515">E183</f>
        <v>3002</v>
      </c>
      <c r="F284" s="89">
        <f t="shared" si="515"/>
        <v>2770</v>
      </c>
      <c r="G284" s="89">
        <f t="shared" si="515"/>
        <v>2529</v>
      </c>
      <c r="H284" s="89">
        <f t="shared" si="515"/>
        <v>2398</v>
      </c>
      <c r="I284" s="89">
        <f t="shared" si="515"/>
        <v>2296</v>
      </c>
      <c r="J284" s="89">
        <f t="shared" si="515"/>
        <v>2212</v>
      </c>
      <c r="K284" s="89">
        <f t="shared" ref="K284:L284" si="516">K183</f>
        <v>2142</v>
      </c>
      <c r="L284" s="89">
        <f t="shared" si="516"/>
        <v>2084</v>
      </c>
      <c r="M284" s="167">
        <f t="shared" ref="M284" si="517">SUM(F284:H284)</f>
        <v>7697</v>
      </c>
      <c r="N284" s="94">
        <f t="shared" ref="N284" si="518">SUM(F284:J284)</f>
        <v>12205</v>
      </c>
      <c r="O284" s="1316">
        <f t="shared" ref="O284:O346" si="519">I284+J284+K284+L284</f>
        <v>8734</v>
      </c>
      <c r="S284" s="95"/>
    </row>
    <row r="285" spans="1:19">
      <c r="A285" s="160" t="s">
        <v>334</v>
      </c>
      <c r="B285" s="291" t="s">
        <v>323</v>
      </c>
      <c r="C285" s="266"/>
      <c r="D285" s="266"/>
      <c r="E285" s="152">
        <f t="shared" ref="E285:J285" si="520">E24*(E183/E189)</f>
        <v>0.4335767575627596</v>
      </c>
      <c r="F285" s="152">
        <f t="shared" si="520"/>
        <v>0.43517713207732073</v>
      </c>
      <c r="G285" s="152">
        <f t="shared" si="520"/>
        <v>0.4325556911755421</v>
      </c>
      <c r="H285" s="152">
        <f t="shared" si="520"/>
        <v>0.43202632761872573</v>
      </c>
      <c r="I285" s="152">
        <f t="shared" si="520"/>
        <v>0.42932750982626494</v>
      </c>
      <c r="J285" s="152">
        <f t="shared" si="520"/>
        <v>0.42451646605564397</v>
      </c>
      <c r="K285" s="152">
        <f t="shared" ref="K285:L285" si="521">K24*(K183/K189)</f>
        <v>0.42424226958787015</v>
      </c>
      <c r="L285" s="152">
        <f t="shared" si="521"/>
        <v>0.42448325811780396</v>
      </c>
      <c r="M285" s="167"/>
      <c r="N285" s="94"/>
      <c r="O285" s="1316"/>
      <c r="S285" s="95"/>
    </row>
    <row r="286" spans="1:19">
      <c r="A286" s="160" t="s">
        <v>335</v>
      </c>
      <c r="B286" s="291" t="s">
        <v>325</v>
      </c>
      <c r="C286" s="154"/>
      <c r="D286" s="154"/>
      <c r="E286" s="89">
        <f>E284*E285</f>
        <v>1301.5974262034042</v>
      </c>
      <c r="F286" s="89">
        <f t="shared" ref="F286" si="522">F284*F285</f>
        <v>1205.4406558541784</v>
      </c>
      <c r="G286" s="89">
        <f t="shared" ref="G286" si="523">G284*G285</f>
        <v>1093.933342982946</v>
      </c>
      <c r="H286" s="89">
        <f t="shared" ref="H286" si="524">H284*H285</f>
        <v>1035.9991336297044</v>
      </c>
      <c r="I286" s="89">
        <f t="shared" ref="I286" si="525">I284*I285</f>
        <v>985.73596256110432</v>
      </c>
      <c r="J286" s="89">
        <f t="shared" ref="J286:L286" si="526">J284*J285</f>
        <v>939.0304229150845</v>
      </c>
      <c r="K286" s="89">
        <f t="shared" si="526"/>
        <v>908.72694145721789</v>
      </c>
      <c r="L286" s="89">
        <f t="shared" si="526"/>
        <v>884.62310991750348</v>
      </c>
      <c r="M286" s="167">
        <f t="shared" ref="M286" si="527">SUM(F286:H286)</f>
        <v>3335.3731324668288</v>
      </c>
      <c r="N286" s="94">
        <f t="shared" ref="N286" si="528">SUM(F286:J286)</f>
        <v>5260.1395179430174</v>
      </c>
      <c r="O286" s="1316">
        <f t="shared" si="519"/>
        <v>3718.1164368509103</v>
      </c>
      <c r="S286" s="95"/>
    </row>
    <row r="287" spans="1:19">
      <c r="A287" s="160" t="s">
        <v>336</v>
      </c>
      <c r="B287" s="291" t="s">
        <v>305</v>
      </c>
      <c r="C287" s="266"/>
      <c r="D287" s="154"/>
      <c r="E287" s="152">
        <f>E220</f>
        <v>0.75</v>
      </c>
      <c r="F287" s="152">
        <f t="shared" ref="F287:J287" si="529">F220</f>
        <v>0.8</v>
      </c>
      <c r="G287" s="152">
        <f t="shared" si="529"/>
        <v>0.85</v>
      </c>
      <c r="H287" s="152">
        <f t="shared" si="529"/>
        <v>0.9</v>
      </c>
      <c r="I287" s="152">
        <f t="shared" si="529"/>
        <v>0.89999999999999991</v>
      </c>
      <c r="J287" s="152">
        <f t="shared" si="529"/>
        <v>0.9</v>
      </c>
      <c r="K287" s="152">
        <f t="shared" ref="K287:L287" si="530">K220</f>
        <v>0.9</v>
      </c>
      <c r="L287" s="152">
        <f t="shared" si="530"/>
        <v>0.89999999999999991</v>
      </c>
      <c r="M287" s="167"/>
      <c r="N287" s="94"/>
      <c r="O287" s="1316"/>
      <c r="P287" s="65" t="s">
        <v>1770</v>
      </c>
      <c r="S287" s="95"/>
    </row>
    <row r="288" spans="1:19">
      <c r="A288" s="160" t="s">
        <v>337</v>
      </c>
      <c r="B288" s="291" t="s">
        <v>326</v>
      </c>
      <c r="C288" s="266"/>
      <c r="D288" s="154"/>
      <c r="E288" s="89">
        <f>E286*E287</f>
        <v>976.19806965255316</v>
      </c>
      <c r="F288" s="89">
        <f t="shared" ref="F288:J288" si="531">F286*F287</f>
        <v>964.35252468334284</v>
      </c>
      <c r="G288" s="89">
        <f t="shared" si="531"/>
        <v>929.84334153550401</v>
      </c>
      <c r="H288" s="89">
        <f t="shared" si="531"/>
        <v>932.39922026673401</v>
      </c>
      <c r="I288" s="89">
        <f t="shared" si="531"/>
        <v>887.16236630499384</v>
      </c>
      <c r="J288" s="89">
        <f t="shared" si="531"/>
        <v>845.12738062357607</v>
      </c>
      <c r="K288" s="89">
        <f t="shared" ref="K288:L288" si="532">K286*K287</f>
        <v>817.85424731149612</v>
      </c>
      <c r="L288" s="89">
        <f t="shared" si="532"/>
        <v>796.16079892575306</v>
      </c>
      <c r="M288" s="167">
        <f t="shared" ref="M288" si="533">SUM(F288:H288)</f>
        <v>2826.5950864855809</v>
      </c>
      <c r="N288" s="94">
        <f t="shared" ref="N288" si="534">SUM(F288:J288)</f>
        <v>4558.8848334141503</v>
      </c>
      <c r="O288" s="1316">
        <f t="shared" si="519"/>
        <v>3346.3047931658193</v>
      </c>
      <c r="S288" s="95"/>
    </row>
    <row r="289" spans="1:19">
      <c r="A289" s="160" t="s">
        <v>338</v>
      </c>
      <c r="B289" s="293" t="s">
        <v>367</v>
      </c>
      <c r="C289" s="154"/>
      <c r="D289" s="154"/>
      <c r="E289" s="294">
        <v>1.2</v>
      </c>
      <c r="F289" s="294">
        <f>E289</f>
        <v>1.2</v>
      </c>
      <c r="G289" s="294">
        <f t="shared" ref="G289:J289" si="535">F289</f>
        <v>1.2</v>
      </c>
      <c r="H289" s="294">
        <f t="shared" si="535"/>
        <v>1.2</v>
      </c>
      <c r="I289" s="1317">
        <f>H289*2</f>
        <v>2.4</v>
      </c>
      <c r="J289" s="1317">
        <f t="shared" si="535"/>
        <v>2.4</v>
      </c>
      <c r="K289" s="1317">
        <f t="shared" ref="K289" si="536">J289</f>
        <v>2.4</v>
      </c>
      <c r="L289" s="1317">
        <f t="shared" ref="L289" si="537">K289</f>
        <v>2.4</v>
      </c>
      <c r="M289" s="167"/>
      <c r="N289" s="94"/>
      <c r="O289" s="1316"/>
      <c r="S289" s="95"/>
    </row>
    <row r="290" spans="1:19">
      <c r="A290" s="160" t="s">
        <v>339</v>
      </c>
      <c r="B290" s="291" t="s">
        <v>308</v>
      </c>
      <c r="C290" s="266"/>
      <c r="D290" s="266"/>
      <c r="E290" s="89">
        <f>E288*E289</f>
        <v>1171.4376835830637</v>
      </c>
      <c r="F290" s="89">
        <f t="shared" ref="F290:J290" si="538">F288*F289</f>
        <v>1157.2230296200114</v>
      </c>
      <c r="G290" s="89">
        <f t="shared" si="538"/>
        <v>1115.8120098426048</v>
      </c>
      <c r="H290" s="89">
        <f t="shared" si="538"/>
        <v>1118.8790643200807</v>
      </c>
      <c r="I290" s="89">
        <f t="shared" si="538"/>
        <v>2129.189679131985</v>
      </c>
      <c r="J290" s="89">
        <f t="shared" si="538"/>
        <v>2028.3057134965825</v>
      </c>
      <c r="K290" s="89">
        <f t="shared" ref="K290:L290" si="539">K288*K289</f>
        <v>1962.8501935475906</v>
      </c>
      <c r="L290" s="89">
        <f t="shared" si="539"/>
        <v>1910.7859174218072</v>
      </c>
      <c r="M290" s="167">
        <f t="shared" ref="M290" si="540">SUM(F290:H290)</f>
        <v>3391.9141037826967</v>
      </c>
      <c r="N290" s="94">
        <f t="shared" ref="N290" si="541">SUM(F290:J290)</f>
        <v>7549.4094964112646</v>
      </c>
      <c r="O290" s="1316">
        <f t="shared" si="519"/>
        <v>8031.1315035979651</v>
      </c>
      <c r="S290" s="95"/>
    </row>
    <row r="291" spans="1:19">
      <c r="A291" s="160" t="s">
        <v>340</v>
      </c>
      <c r="B291" s="291" t="s">
        <v>828</v>
      </c>
      <c r="C291" s="266"/>
      <c r="D291" s="266"/>
      <c r="E291" s="287">
        <f>E224</f>
        <v>1</v>
      </c>
      <c r="F291" s="287">
        <f>E291</f>
        <v>1</v>
      </c>
      <c r="G291" s="287">
        <f t="shared" ref="G291:J291" si="542">F291</f>
        <v>1</v>
      </c>
      <c r="H291" s="287">
        <f t="shared" si="542"/>
        <v>1</v>
      </c>
      <c r="I291" s="287">
        <f t="shared" si="542"/>
        <v>1</v>
      </c>
      <c r="J291" s="287">
        <f t="shared" si="542"/>
        <v>1</v>
      </c>
      <c r="K291" s="287">
        <f t="shared" ref="K291" si="543">J291</f>
        <v>1</v>
      </c>
      <c r="L291" s="287">
        <f t="shared" ref="L291" si="544">K291</f>
        <v>1</v>
      </c>
      <c r="M291" s="167"/>
      <c r="N291" s="94"/>
      <c r="O291" s="1316"/>
      <c r="S291" s="95"/>
    </row>
    <row r="292" spans="1:19">
      <c r="A292" s="160" t="s">
        <v>341</v>
      </c>
      <c r="B292" s="291" t="s">
        <v>309</v>
      </c>
      <c r="C292" s="154"/>
      <c r="D292" s="154"/>
      <c r="E292" s="89">
        <f>E290*E291</f>
        <v>1171.4376835830637</v>
      </c>
      <c r="F292" s="89">
        <f t="shared" ref="F292:J292" si="545">F290*F291</f>
        <v>1157.2230296200114</v>
      </c>
      <c r="G292" s="89">
        <f t="shared" si="545"/>
        <v>1115.8120098426048</v>
      </c>
      <c r="H292" s="89">
        <f t="shared" si="545"/>
        <v>1118.8790643200807</v>
      </c>
      <c r="I292" s="89">
        <f t="shared" si="545"/>
        <v>2129.189679131985</v>
      </c>
      <c r="J292" s="89">
        <f t="shared" si="545"/>
        <v>2028.3057134965825</v>
      </c>
      <c r="K292" s="89">
        <f t="shared" ref="K292:L292" si="546">K290*K291</f>
        <v>1962.8501935475906</v>
      </c>
      <c r="L292" s="89">
        <f t="shared" si="546"/>
        <v>1910.7859174218072</v>
      </c>
      <c r="M292" s="167">
        <f t="shared" ref="M292" si="547">SUM(F292:H292)</f>
        <v>3391.9141037826967</v>
      </c>
      <c r="N292" s="94">
        <f t="shared" ref="N292" si="548">SUM(F292:J292)</f>
        <v>7549.4094964112646</v>
      </c>
      <c r="O292" s="1316">
        <f t="shared" si="519"/>
        <v>8031.1315035979651</v>
      </c>
      <c r="S292" s="95"/>
    </row>
    <row r="293" spans="1:19">
      <c r="A293" s="162">
        <v>1.4</v>
      </c>
      <c r="B293" s="159" t="s">
        <v>460</v>
      </c>
      <c r="C293" s="154"/>
      <c r="D293" s="154"/>
      <c r="E293" s="89"/>
      <c r="F293" s="89"/>
      <c r="G293" s="89"/>
      <c r="H293" s="89"/>
      <c r="I293" s="89"/>
      <c r="J293" s="89"/>
      <c r="K293" s="89"/>
      <c r="L293" s="89"/>
      <c r="M293" s="167"/>
      <c r="N293" s="94"/>
      <c r="O293" s="1316">
        <f t="shared" si="519"/>
        <v>0</v>
      </c>
      <c r="S293" s="95"/>
    </row>
    <row r="294" spans="1:19">
      <c r="A294" s="160" t="s">
        <v>444</v>
      </c>
      <c r="B294" s="291" t="s">
        <v>312</v>
      </c>
      <c r="C294" s="266"/>
      <c r="D294" s="266"/>
      <c r="E294" s="89">
        <f t="shared" ref="E294:J294" si="549">E183</f>
        <v>3002</v>
      </c>
      <c r="F294" s="89">
        <f t="shared" si="549"/>
        <v>2770</v>
      </c>
      <c r="G294" s="89">
        <f t="shared" si="549"/>
        <v>2529</v>
      </c>
      <c r="H294" s="89">
        <f t="shared" si="549"/>
        <v>2398</v>
      </c>
      <c r="I294" s="89">
        <f t="shared" si="549"/>
        <v>2296</v>
      </c>
      <c r="J294" s="89">
        <f t="shared" si="549"/>
        <v>2212</v>
      </c>
      <c r="K294" s="89">
        <f t="shared" ref="K294:L294" si="550">K183</f>
        <v>2142</v>
      </c>
      <c r="L294" s="89">
        <f t="shared" si="550"/>
        <v>2084</v>
      </c>
      <c r="M294" s="167">
        <f t="shared" ref="M294" si="551">SUM(F294:H294)</f>
        <v>7697</v>
      </c>
      <c r="N294" s="94">
        <f t="shared" ref="N294" si="552">SUM(F294:J294)</f>
        <v>12205</v>
      </c>
      <c r="O294" s="1316">
        <f t="shared" si="519"/>
        <v>8734</v>
      </c>
      <c r="S294" s="95"/>
    </row>
    <row r="295" spans="1:19">
      <c r="A295" s="160" t="s">
        <v>445</v>
      </c>
      <c r="B295" s="291" t="s">
        <v>481</v>
      </c>
      <c r="C295" s="266"/>
      <c r="D295" s="266"/>
      <c r="E295" s="152">
        <v>0.15</v>
      </c>
      <c r="F295" s="152">
        <f>E295</f>
        <v>0.15</v>
      </c>
      <c r="G295" s="152">
        <f t="shared" ref="G295:J295" si="553">F295</f>
        <v>0.15</v>
      </c>
      <c r="H295" s="152">
        <f t="shared" si="553"/>
        <v>0.15</v>
      </c>
      <c r="I295" s="152">
        <f t="shared" si="553"/>
        <v>0.15</v>
      </c>
      <c r="J295" s="152">
        <f t="shared" si="553"/>
        <v>0.15</v>
      </c>
      <c r="K295" s="152">
        <f t="shared" ref="K295" si="554">J295</f>
        <v>0.15</v>
      </c>
      <c r="L295" s="152">
        <f t="shared" ref="L295" si="555">K295</f>
        <v>0.15</v>
      </c>
      <c r="M295" s="167"/>
      <c r="N295" s="94"/>
      <c r="O295" s="1316"/>
      <c r="S295" s="95"/>
    </row>
    <row r="296" spans="1:19">
      <c r="A296" s="160" t="s">
        <v>446</v>
      </c>
      <c r="B296" s="291" t="s">
        <v>482</v>
      </c>
      <c r="C296" s="154"/>
      <c r="D296" s="154"/>
      <c r="E296" s="89">
        <f>E294*E295</f>
        <v>450.3</v>
      </c>
      <c r="F296" s="89">
        <f t="shared" ref="F296:J296" si="556">F294*F295</f>
        <v>415.5</v>
      </c>
      <c r="G296" s="89">
        <f t="shared" si="556"/>
        <v>379.34999999999997</v>
      </c>
      <c r="H296" s="89">
        <f t="shared" si="556"/>
        <v>359.7</v>
      </c>
      <c r="I296" s="89">
        <f t="shared" si="556"/>
        <v>344.4</v>
      </c>
      <c r="J296" s="89">
        <f t="shared" si="556"/>
        <v>331.8</v>
      </c>
      <c r="K296" s="89">
        <f t="shared" ref="K296:L296" si="557">K294*K295</f>
        <v>321.3</v>
      </c>
      <c r="L296" s="89">
        <f t="shared" si="557"/>
        <v>312.59999999999997</v>
      </c>
      <c r="M296" s="167">
        <f t="shared" ref="M296" si="558">SUM(F296:H296)</f>
        <v>1154.55</v>
      </c>
      <c r="N296" s="94">
        <f t="shared" ref="N296" si="559">SUM(F296:J296)</f>
        <v>1830.7499999999998</v>
      </c>
      <c r="O296" s="1316">
        <f t="shared" si="519"/>
        <v>1310.0999999999999</v>
      </c>
      <c r="S296" s="95"/>
    </row>
    <row r="297" spans="1:19">
      <c r="A297" s="160" t="s">
        <v>447</v>
      </c>
      <c r="B297" s="291" t="s">
        <v>462</v>
      </c>
      <c r="C297" s="266"/>
      <c r="D297" s="154"/>
      <c r="E297" s="152">
        <f t="shared" ref="E297:J297" si="560">E229</f>
        <v>0.75</v>
      </c>
      <c r="F297" s="152">
        <f t="shared" si="560"/>
        <v>0.8</v>
      </c>
      <c r="G297" s="152">
        <f t="shared" si="560"/>
        <v>0.85</v>
      </c>
      <c r="H297" s="152">
        <f t="shared" si="560"/>
        <v>0.9</v>
      </c>
      <c r="I297" s="152">
        <f t="shared" si="560"/>
        <v>0.89999999999999991</v>
      </c>
      <c r="J297" s="152">
        <f t="shared" si="560"/>
        <v>0.9</v>
      </c>
      <c r="K297" s="152">
        <f t="shared" ref="K297:L297" si="561">K229</f>
        <v>0.9</v>
      </c>
      <c r="L297" s="152">
        <f t="shared" si="561"/>
        <v>0.89999999999999991</v>
      </c>
      <c r="M297" s="167"/>
      <c r="N297" s="94"/>
      <c r="O297" s="1316"/>
      <c r="S297" s="95"/>
    </row>
    <row r="298" spans="1:19">
      <c r="A298" s="160" t="s">
        <v>448</v>
      </c>
      <c r="B298" s="291" t="s">
        <v>480</v>
      </c>
      <c r="C298" s="266"/>
      <c r="D298" s="154"/>
      <c r="E298" s="89">
        <f>E296*E297</f>
        <v>337.72500000000002</v>
      </c>
      <c r="F298" s="89">
        <f t="shared" ref="F298:J298" si="562">F296*F297</f>
        <v>332.40000000000003</v>
      </c>
      <c r="G298" s="89">
        <f t="shared" si="562"/>
        <v>322.44749999999999</v>
      </c>
      <c r="H298" s="89">
        <f t="shared" si="562"/>
        <v>323.73</v>
      </c>
      <c r="I298" s="89">
        <f t="shared" si="562"/>
        <v>309.95999999999992</v>
      </c>
      <c r="J298" s="89">
        <f t="shared" si="562"/>
        <v>298.62</v>
      </c>
      <c r="K298" s="89">
        <f t="shared" ref="K298:L298" si="563">K296*K297</f>
        <v>289.17</v>
      </c>
      <c r="L298" s="89">
        <f t="shared" si="563"/>
        <v>281.33999999999992</v>
      </c>
      <c r="M298" s="167">
        <f t="shared" ref="M298" si="564">SUM(F298:H298)</f>
        <v>978.5775000000001</v>
      </c>
      <c r="N298" s="94">
        <f t="shared" ref="N298" si="565">SUM(F298:J298)</f>
        <v>1587.1574999999998</v>
      </c>
      <c r="O298" s="1316">
        <f t="shared" si="519"/>
        <v>1179.0899999999999</v>
      </c>
      <c r="S298" s="95"/>
    </row>
    <row r="299" spans="1:19">
      <c r="A299" s="160" t="s">
        <v>449</v>
      </c>
      <c r="B299" s="293" t="s">
        <v>464</v>
      </c>
      <c r="C299" s="154"/>
      <c r="D299" s="154"/>
      <c r="E299" s="152">
        <f t="shared" ref="E299:J299" si="566">E231</f>
        <v>0.02</v>
      </c>
      <c r="F299" s="152">
        <f t="shared" si="566"/>
        <v>0.02</v>
      </c>
      <c r="G299" s="152">
        <f t="shared" si="566"/>
        <v>0.02</v>
      </c>
      <c r="H299" s="152">
        <f t="shared" si="566"/>
        <v>0.02</v>
      </c>
      <c r="I299" s="152">
        <f t="shared" si="566"/>
        <v>0.02</v>
      </c>
      <c r="J299" s="152">
        <f t="shared" si="566"/>
        <v>0.02</v>
      </c>
      <c r="K299" s="152">
        <f t="shared" ref="K299:L299" si="567">K231</f>
        <v>0.02</v>
      </c>
      <c r="L299" s="152">
        <f t="shared" si="567"/>
        <v>0.02</v>
      </c>
      <c r="M299" s="167"/>
      <c r="N299" s="94"/>
      <c r="O299" s="1316"/>
      <c r="S299" s="95"/>
    </row>
    <row r="300" spans="1:19">
      <c r="A300" s="160" t="s">
        <v>450</v>
      </c>
      <c r="B300" s="291" t="s">
        <v>465</v>
      </c>
      <c r="C300" s="266"/>
      <c r="D300" s="266"/>
      <c r="E300" s="89">
        <f>E298+E298*E299</f>
        <v>344.47950000000003</v>
      </c>
      <c r="F300" s="89">
        <f t="shared" ref="F300:J300" si="568">F298+F298*F299</f>
        <v>339.04800000000006</v>
      </c>
      <c r="G300" s="89">
        <f t="shared" si="568"/>
        <v>328.89645000000002</v>
      </c>
      <c r="H300" s="89">
        <f t="shared" si="568"/>
        <v>330.20460000000003</v>
      </c>
      <c r="I300" s="89">
        <f t="shared" si="568"/>
        <v>316.15919999999994</v>
      </c>
      <c r="J300" s="89">
        <f t="shared" si="568"/>
        <v>304.5924</v>
      </c>
      <c r="K300" s="89">
        <f t="shared" ref="K300:L300" si="569">K298+K298*K299</f>
        <v>294.95339999999999</v>
      </c>
      <c r="L300" s="89">
        <f t="shared" si="569"/>
        <v>286.96679999999992</v>
      </c>
      <c r="M300" s="167">
        <f t="shared" ref="M300" si="570">SUM(F300:H300)</f>
        <v>998.1490500000001</v>
      </c>
      <c r="N300" s="94">
        <f t="shared" ref="N300" si="571">SUM(F300:J300)</f>
        <v>1618.90065</v>
      </c>
      <c r="O300" s="1316">
        <f t="shared" si="519"/>
        <v>1202.6717999999998</v>
      </c>
      <c r="S300" s="95"/>
    </row>
    <row r="301" spans="1:19">
      <c r="A301" s="160" t="s">
        <v>451</v>
      </c>
      <c r="B301" s="291" t="s">
        <v>820</v>
      </c>
      <c r="C301" s="266"/>
      <c r="D301" s="266"/>
      <c r="E301" s="287">
        <f>E233</f>
        <v>1</v>
      </c>
      <c r="F301" s="287">
        <f>E301</f>
        <v>1</v>
      </c>
      <c r="G301" s="287">
        <f>F301</f>
        <v>1</v>
      </c>
      <c r="H301" s="287">
        <f t="shared" ref="H301:J301" si="572">G301</f>
        <v>1</v>
      </c>
      <c r="I301" s="287">
        <f t="shared" si="572"/>
        <v>1</v>
      </c>
      <c r="J301" s="287">
        <f t="shared" si="572"/>
        <v>1</v>
      </c>
      <c r="K301" s="287">
        <f t="shared" ref="K301" si="573">J301</f>
        <v>1</v>
      </c>
      <c r="L301" s="287">
        <f t="shared" ref="L301" si="574">K301</f>
        <v>1</v>
      </c>
      <c r="M301" s="167"/>
      <c r="N301" s="94"/>
      <c r="O301" s="1316"/>
      <c r="S301" s="95"/>
    </row>
    <row r="302" spans="1:19">
      <c r="A302" s="160" t="s">
        <v>452</v>
      </c>
      <c r="B302" s="291" t="s">
        <v>821</v>
      </c>
      <c r="C302" s="154"/>
      <c r="D302" s="154"/>
      <c r="E302" s="89">
        <f>E300*E301</f>
        <v>344.47950000000003</v>
      </c>
      <c r="F302" s="89">
        <f t="shared" ref="F302:J302" si="575">F300*F301</f>
        <v>339.04800000000006</v>
      </c>
      <c r="G302" s="89">
        <f t="shared" si="575"/>
        <v>328.89645000000002</v>
      </c>
      <c r="H302" s="89">
        <f t="shared" si="575"/>
        <v>330.20460000000003</v>
      </c>
      <c r="I302" s="89">
        <f t="shared" si="575"/>
        <v>316.15919999999994</v>
      </c>
      <c r="J302" s="89">
        <f t="shared" si="575"/>
        <v>304.5924</v>
      </c>
      <c r="K302" s="89">
        <f t="shared" ref="K302:L302" si="576">K300*K301</f>
        <v>294.95339999999999</v>
      </c>
      <c r="L302" s="89">
        <f t="shared" si="576"/>
        <v>286.96679999999992</v>
      </c>
      <c r="M302" s="167">
        <f t="shared" ref="M302" si="577">SUM(F302:H302)</f>
        <v>998.1490500000001</v>
      </c>
      <c r="N302" s="94">
        <f t="shared" ref="N302" si="578">SUM(F302:J302)</f>
        <v>1618.90065</v>
      </c>
      <c r="O302" s="1316">
        <f t="shared" si="519"/>
        <v>1202.6717999999998</v>
      </c>
      <c r="S302" s="95"/>
    </row>
    <row r="303" spans="1:19">
      <c r="A303" s="162">
        <v>1.5</v>
      </c>
      <c r="B303" s="161" t="s">
        <v>459</v>
      </c>
      <c r="C303" s="154"/>
      <c r="D303" s="154"/>
      <c r="E303" s="89"/>
      <c r="F303" s="89"/>
      <c r="G303" s="89"/>
      <c r="H303" s="89"/>
      <c r="I303" s="89"/>
      <c r="J303" s="89"/>
      <c r="K303" s="89"/>
      <c r="L303" s="89"/>
      <c r="M303" s="167"/>
      <c r="N303" s="94"/>
      <c r="O303" s="1316">
        <f t="shared" si="519"/>
        <v>0</v>
      </c>
      <c r="S303" s="95"/>
    </row>
    <row r="304" spans="1:19">
      <c r="A304" s="160" t="s">
        <v>486</v>
      </c>
      <c r="B304" s="291" t="s">
        <v>312</v>
      </c>
      <c r="C304" s="266"/>
      <c r="D304" s="266"/>
      <c r="E304" s="89">
        <f t="shared" ref="E304:J304" si="579">E183</f>
        <v>3002</v>
      </c>
      <c r="F304" s="89">
        <f t="shared" si="579"/>
        <v>2770</v>
      </c>
      <c r="G304" s="89">
        <f t="shared" si="579"/>
        <v>2529</v>
      </c>
      <c r="H304" s="89">
        <f t="shared" si="579"/>
        <v>2398</v>
      </c>
      <c r="I304" s="89">
        <f t="shared" si="579"/>
        <v>2296</v>
      </c>
      <c r="J304" s="89">
        <f t="shared" si="579"/>
        <v>2212</v>
      </c>
      <c r="K304" s="89">
        <f t="shared" ref="K304:L304" si="580">K183</f>
        <v>2142</v>
      </c>
      <c r="L304" s="89">
        <f t="shared" si="580"/>
        <v>2084</v>
      </c>
      <c r="M304" s="167">
        <f t="shared" ref="M304" si="581">SUM(F304:H304)</f>
        <v>7697</v>
      </c>
      <c r="N304" s="94">
        <f t="shared" ref="N304" si="582">SUM(F304:J304)</f>
        <v>12205</v>
      </c>
      <c r="O304" s="1316">
        <f t="shared" si="519"/>
        <v>8734</v>
      </c>
      <c r="S304" s="95"/>
    </row>
    <row r="305" spans="1:19">
      <c r="A305" s="160" t="s">
        <v>487</v>
      </c>
      <c r="B305" s="291" t="s">
        <v>483</v>
      </c>
      <c r="C305" s="266"/>
      <c r="D305" s="266"/>
      <c r="E305" s="152">
        <v>0.1</v>
      </c>
      <c r="F305" s="152">
        <f>E305</f>
        <v>0.1</v>
      </c>
      <c r="G305" s="152">
        <f t="shared" ref="G305:J305" si="583">F305</f>
        <v>0.1</v>
      </c>
      <c r="H305" s="152">
        <f t="shared" si="583"/>
        <v>0.1</v>
      </c>
      <c r="I305" s="152">
        <f t="shared" si="583"/>
        <v>0.1</v>
      </c>
      <c r="J305" s="152">
        <f t="shared" si="583"/>
        <v>0.1</v>
      </c>
      <c r="K305" s="152">
        <f t="shared" ref="K305" si="584">J305</f>
        <v>0.1</v>
      </c>
      <c r="L305" s="152">
        <f t="shared" ref="L305" si="585">K305</f>
        <v>0.1</v>
      </c>
      <c r="M305" s="167"/>
      <c r="N305" s="94"/>
      <c r="O305" s="1316"/>
      <c r="S305" s="95"/>
    </row>
    <row r="306" spans="1:19">
      <c r="A306" s="160" t="s">
        <v>488</v>
      </c>
      <c r="B306" s="291" t="s">
        <v>484</v>
      </c>
      <c r="C306" s="154"/>
      <c r="D306" s="154"/>
      <c r="E306" s="89">
        <f>E304*E305</f>
        <v>300.2</v>
      </c>
      <c r="F306" s="89">
        <f t="shared" ref="F306:J306" si="586">F304*F305</f>
        <v>277</v>
      </c>
      <c r="G306" s="89">
        <f t="shared" si="586"/>
        <v>252.9</v>
      </c>
      <c r="H306" s="89">
        <f t="shared" si="586"/>
        <v>239.8</v>
      </c>
      <c r="I306" s="89">
        <f t="shared" si="586"/>
        <v>229.60000000000002</v>
      </c>
      <c r="J306" s="89">
        <f t="shared" si="586"/>
        <v>221.20000000000002</v>
      </c>
      <c r="K306" s="89">
        <f t="shared" ref="K306:L306" si="587">K304*K305</f>
        <v>214.20000000000002</v>
      </c>
      <c r="L306" s="89">
        <f t="shared" si="587"/>
        <v>208.4</v>
      </c>
      <c r="M306" s="167">
        <f t="shared" ref="M306" si="588">SUM(F306:H306)</f>
        <v>769.7</v>
      </c>
      <c r="N306" s="94">
        <f t="shared" ref="N306" si="589">SUM(F306:J306)</f>
        <v>1220.5</v>
      </c>
      <c r="O306" s="1316">
        <f t="shared" si="519"/>
        <v>873.40000000000009</v>
      </c>
      <c r="S306" s="95"/>
    </row>
    <row r="307" spans="1:19">
      <c r="A307" s="160" t="s">
        <v>489</v>
      </c>
      <c r="B307" s="291" t="s">
        <v>455</v>
      </c>
      <c r="C307" s="266"/>
      <c r="D307" s="154"/>
      <c r="E307" s="152">
        <f t="shared" ref="E307:J307" si="590">E238</f>
        <v>0.7</v>
      </c>
      <c r="F307" s="152">
        <f t="shared" si="590"/>
        <v>0.8</v>
      </c>
      <c r="G307" s="152">
        <f t="shared" si="590"/>
        <v>0.85</v>
      </c>
      <c r="H307" s="152">
        <f t="shared" si="590"/>
        <v>0.95</v>
      </c>
      <c r="I307" s="152">
        <f t="shared" si="590"/>
        <v>0.95</v>
      </c>
      <c r="J307" s="152">
        <f t="shared" si="590"/>
        <v>0.95</v>
      </c>
      <c r="K307" s="152">
        <f t="shared" ref="K307:L307" si="591">K238</f>
        <v>0.95</v>
      </c>
      <c r="L307" s="152">
        <f t="shared" si="591"/>
        <v>0.95</v>
      </c>
      <c r="M307" s="167"/>
      <c r="N307" s="94"/>
      <c r="O307" s="1316"/>
      <c r="S307" s="95"/>
    </row>
    <row r="308" spans="1:19">
      <c r="A308" s="160" t="s">
        <v>490</v>
      </c>
      <c r="B308" s="291" t="s">
        <v>485</v>
      </c>
      <c r="C308" s="266"/>
      <c r="D308" s="154"/>
      <c r="E308" s="89">
        <f>E306*E307</f>
        <v>210.14</v>
      </c>
      <c r="F308" s="89">
        <f t="shared" ref="F308:J308" si="592">F306*F307</f>
        <v>221.60000000000002</v>
      </c>
      <c r="G308" s="89">
        <f t="shared" si="592"/>
        <v>214.965</v>
      </c>
      <c r="H308" s="89">
        <f t="shared" si="592"/>
        <v>227.81</v>
      </c>
      <c r="I308" s="89">
        <f t="shared" si="592"/>
        <v>218.12</v>
      </c>
      <c r="J308" s="89">
        <f t="shared" si="592"/>
        <v>210.14000000000001</v>
      </c>
      <c r="K308" s="89">
        <f t="shared" ref="K308:L308" si="593">K306*K307</f>
        <v>203.49</v>
      </c>
      <c r="L308" s="89">
        <f t="shared" si="593"/>
        <v>197.98</v>
      </c>
      <c r="M308" s="167">
        <f t="shared" ref="M308" si="594">SUM(F308:H308)</f>
        <v>664.375</v>
      </c>
      <c r="N308" s="94">
        <f t="shared" ref="N308" si="595">SUM(F308:J308)</f>
        <v>1092.635</v>
      </c>
      <c r="O308" s="1316">
        <f t="shared" si="519"/>
        <v>829.73</v>
      </c>
      <c r="S308" s="95"/>
    </row>
    <row r="309" spans="1:19">
      <c r="A309" s="160" t="s">
        <v>491</v>
      </c>
      <c r="B309" s="293" t="s">
        <v>457</v>
      </c>
      <c r="C309" s="154"/>
      <c r="D309" s="154"/>
      <c r="E309" s="152">
        <f t="shared" ref="E309:J309" si="596">E240</f>
        <v>0.1</v>
      </c>
      <c r="F309" s="152">
        <f t="shared" si="596"/>
        <v>0.1</v>
      </c>
      <c r="G309" s="152">
        <f t="shared" si="596"/>
        <v>0.1</v>
      </c>
      <c r="H309" s="152">
        <f t="shared" si="596"/>
        <v>0.1</v>
      </c>
      <c r="I309" s="152">
        <f t="shared" si="596"/>
        <v>0.1</v>
      </c>
      <c r="J309" s="152">
        <f t="shared" si="596"/>
        <v>0.1</v>
      </c>
      <c r="K309" s="152">
        <f t="shared" ref="K309:L309" si="597">K240</f>
        <v>0.1</v>
      </c>
      <c r="L309" s="152">
        <f t="shared" si="597"/>
        <v>0.1</v>
      </c>
      <c r="M309" s="167"/>
      <c r="N309" s="94"/>
      <c r="O309" s="1316"/>
      <c r="S309" s="95"/>
    </row>
    <row r="310" spans="1:19">
      <c r="A310" s="160" t="s">
        <v>492</v>
      </c>
      <c r="B310" s="291" t="s">
        <v>458</v>
      </c>
      <c r="C310" s="266"/>
      <c r="D310" s="266"/>
      <c r="E310" s="89">
        <f>E308+E308*E309</f>
        <v>231.154</v>
      </c>
      <c r="F310" s="89">
        <f t="shared" ref="F310:J310" si="598">F308+F308*F309</f>
        <v>243.76000000000002</v>
      </c>
      <c r="G310" s="89">
        <f t="shared" si="598"/>
        <v>236.4615</v>
      </c>
      <c r="H310" s="89">
        <f t="shared" si="598"/>
        <v>250.59100000000001</v>
      </c>
      <c r="I310" s="89">
        <f t="shared" si="598"/>
        <v>239.93200000000002</v>
      </c>
      <c r="J310" s="89">
        <f t="shared" si="598"/>
        <v>231.15400000000002</v>
      </c>
      <c r="K310" s="89">
        <f t="shared" ref="K310:L310" si="599">K308+K308*K309</f>
        <v>223.839</v>
      </c>
      <c r="L310" s="89">
        <f t="shared" si="599"/>
        <v>217.77799999999999</v>
      </c>
      <c r="M310" s="167">
        <f t="shared" ref="M310" si="600">SUM(F310:H310)</f>
        <v>730.8125</v>
      </c>
      <c r="N310" s="94">
        <f t="shared" ref="N310" si="601">SUM(F310:J310)</f>
        <v>1201.8985</v>
      </c>
      <c r="O310" s="1316">
        <f t="shared" si="519"/>
        <v>912.70299999999997</v>
      </c>
      <c r="S310" s="95"/>
    </row>
    <row r="311" spans="1:19">
      <c r="A311" s="160" t="s">
        <v>493</v>
      </c>
      <c r="B311" s="291" t="s">
        <v>822</v>
      </c>
      <c r="C311" s="266"/>
      <c r="D311" s="266"/>
      <c r="E311" s="287">
        <f>E242</f>
        <v>1</v>
      </c>
      <c r="F311" s="287">
        <f>E311</f>
        <v>1</v>
      </c>
      <c r="G311" s="287">
        <f>F311</f>
        <v>1</v>
      </c>
      <c r="H311" s="287">
        <f t="shared" ref="H311:J311" si="602">G311</f>
        <v>1</v>
      </c>
      <c r="I311" s="287">
        <f t="shared" si="602"/>
        <v>1</v>
      </c>
      <c r="J311" s="287">
        <f t="shared" si="602"/>
        <v>1</v>
      </c>
      <c r="K311" s="287">
        <f t="shared" ref="K311" si="603">J311</f>
        <v>1</v>
      </c>
      <c r="L311" s="287">
        <f t="shared" ref="L311" si="604">K311</f>
        <v>1</v>
      </c>
      <c r="M311" s="167"/>
      <c r="N311" s="94"/>
      <c r="O311" s="1316"/>
      <c r="S311" s="95"/>
    </row>
    <row r="312" spans="1:19">
      <c r="A312" s="160" t="s">
        <v>494</v>
      </c>
      <c r="B312" s="291" t="s">
        <v>823</v>
      </c>
      <c r="C312" s="154"/>
      <c r="D312" s="154"/>
      <c r="E312" s="89">
        <f>E310*E311</f>
        <v>231.154</v>
      </c>
      <c r="F312" s="89">
        <f t="shared" ref="F312:J312" si="605">F310*F311</f>
        <v>243.76000000000002</v>
      </c>
      <c r="G312" s="89">
        <f t="shared" si="605"/>
        <v>236.4615</v>
      </c>
      <c r="H312" s="89">
        <f t="shared" si="605"/>
        <v>250.59100000000001</v>
      </c>
      <c r="I312" s="89">
        <f t="shared" si="605"/>
        <v>239.93200000000002</v>
      </c>
      <c r="J312" s="89">
        <f t="shared" si="605"/>
        <v>231.15400000000002</v>
      </c>
      <c r="K312" s="89">
        <f t="shared" ref="K312:L312" si="606">K310*K311</f>
        <v>223.839</v>
      </c>
      <c r="L312" s="89">
        <f t="shared" si="606"/>
        <v>217.77799999999999</v>
      </c>
      <c r="M312" s="167">
        <f t="shared" ref="M312" si="607">SUM(F312:H312)</f>
        <v>730.8125</v>
      </c>
      <c r="N312" s="94">
        <f t="shared" ref="N312" si="608">SUM(F312:J312)</f>
        <v>1201.8985</v>
      </c>
      <c r="O312" s="1316">
        <f t="shared" si="519"/>
        <v>912.70299999999997</v>
      </c>
      <c r="S312" s="95"/>
    </row>
    <row r="313" spans="1:19">
      <c r="A313" s="162">
        <v>1.6</v>
      </c>
      <c r="B313" s="159" t="s">
        <v>466</v>
      </c>
      <c r="C313" s="154"/>
      <c r="D313" s="154"/>
      <c r="E313" s="89"/>
      <c r="F313" s="89"/>
      <c r="G313" s="89"/>
      <c r="H313" s="89"/>
      <c r="I313" s="89"/>
      <c r="J313" s="89"/>
      <c r="K313" s="89"/>
      <c r="L313" s="89"/>
      <c r="M313" s="167"/>
      <c r="N313" s="94"/>
      <c r="O313" s="1316">
        <f t="shared" si="519"/>
        <v>0</v>
      </c>
      <c r="S313" s="95"/>
    </row>
    <row r="314" spans="1:19">
      <c r="A314" s="160" t="s">
        <v>498</v>
      </c>
      <c r="B314" s="291" t="s">
        <v>312</v>
      </c>
      <c r="C314" s="266"/>
      <c r="D314" s="266"/>
      <c r="E314" s="89">
        <f t="shared" ref="E314:J314" si="609">E183</f>
        <v>3002</v>
      </c>
      <c r="F314" s="89">
        <f t="shared" si="609"/>
        <v>2770</v>
      </c>
      <c r="G314" s="89">
        <f t="shared" si="609"/>
        <v>2529</v>
      </c>
      <c r="H314" s="89">
        <f t="shared" si="609"/>
        <v>2398</v>
      </c>
      <c r="I314" s="89">
        <f t="shared" si="609"/>
        <v>2296</v>
      </c>
      <c r="J314" s="89">
        <f t="shared" si="609"/>
        <v>2212</v>
      </c>
      <c r="K314" s="89">
        <f t="shared" ref="K314:L314" si="610">K183</f>
        <v>2142</v>
      </c>
      <c r="L314" s="89">
        <f t="shared" si="610"/>
        <v>2084</v>
      </c>
      <c r="M314" s="167">
        <f t="shared" ref="M314" si="611">SUM(F314:H314)</f>
        <v>7697</v>
      </c>
      <c r="N314" s="94">
        <f t="shared" ref="N314" si="612">SUM(F314:J314)</f>
        <v>12205</v>
      </c>
      <c r="O314" s="1316">
        <f t="shared" si="519"/>
        <v>8734</v>
      </c>
      <c r="S314" s="95"/>
    </row>
    <row r="315" spans="1:19">
      <c r="A315" s="160" t="s">
        <v>499</v>
      </c>
      <c r="B315" s="291" t="s">
        <v>495</v>
      </c>
      <c r="C315" s="266"/>
      <c r="D315" s="266"/>
      <c r="E315" s="152">
        <v>0.05</v>
      </c>
      <c r="F315" s="152">
        <f>E315</f>
        <v>0.05</v>
      </c>
      <c r="G315" s="152">
        <f t="shared" ref="G315:J315" si="613">F315</f>
        <v>0.05</v>
      </c>
      <c r="H315" s="152">
        <f t="shared" si="613"/>
        <v>0.05</v>
      </c>
      <c r="I315" s="152">
        <f t="shared" si="613"/>
        <v>0.05</v>
      </c>
      <c r="J315" s="152">
        <f t="shared" si="613"/>
        <v>0.05</v>
      </c>
      <c r="K315" s="152">
        <f t="shared" ref="K315" si="614">J315</f>
        <v>0.05</v>
      </c>
      <c r="L315" s="152">
        <f t="shared" ref="L315" si="615">K315</f>
        <v>0.05</v>
      </c>
      <c r="M315" s="167"/>
      <c r="N315" s="94"/>
      <c r="O315" s="1316"/>
      <c r="S315" s="95"/>
    </row>
    <row r="316" spans="1:19">
      <c r="A316" s="160" t="s">
        <v>500</v>
      </c>
      <c r="B316" s="291" t="s">
        <v>496</v>
      </c>
      <c r="C316" s="154"/>
      <c r="D316" s="154"/>
      <c r="E316" s="89">
        <f>E314*E315</f>
        <v>150.1</v>
      </c>
      <c r="F316" s="89">
        <f t="shared" ref="F316:J316" si="616">F314*F315</f>
        <v>138.5</v>
      </c>
      <c r="G316" s="89">
        <f t="shared" si="616"/>
        <v>126.45</v>
      </c>
      <c r="H316" s="89">
        <f t="shared" si="616"/>
        <v>119.9</v>
      </c>
      <c r="I316" s="89">
        <f t="shared" si="616"/>
        <v>114.80000000000001</v>
      </c>
      <c r="J316" s="89">
        <f t="shared" si="616"/>
        <v>110.60000000000001</v>
      </c>
      <c r="K316" s="89">
        <f t="shared" ref="K316:L316" si="617">K314*K315</f>
        <v>107.10000000000001</v>
      </c>
      <c r="L316" s="89">
        <f t="shared" si="617"/>
        <v>104.2</v>
      </c>
      <c r="M316" s="167">
        <f t="shared" ref="M316" si="618">SUM(F316:H316)</f>
        <v>384.85</v>
      </c>
      <c r="N316" s="94">
        <f t="shared" ref="N316" si="619">SUM(F316:J316)</f>
        <v>610.25</v>
      </c>
      <c r="O316" s="1316">
        <f t="shared" si="519"/>
        <v>436.70000000000005</v>
      </c>
      <c r="S316" s="95"/>
    </row>
    <row r="317" spans="1:19">
      <c r="A317" s="160" t="s">
        <v>501</v>
      </c>
      <c r="B317" s="291" t="s">
        <v>470</v>
      </c>
      <c r="C317" s="266"/>
      <c r="D317" s="154"/>
      <c r="E317" s="152">
        <f t="shared" ref="E317:J317" si="620">E247</f>
        <v>0.8</v>
      </c>
      <c r="F317" s="152">
        <f t="shared" si="620"/>
        <v>0.85</v>
      </c>
      <c r="G317" s="152">
        <f t="shared" si="620"/>
        <v>0.9</v>
      </c>
      <c r="H317" s="152">
        <f t="shared" si="620"/>
        <v>0.95</v>
      </c>
      <c r="I317" s="152">
        <f t="shared" si="620"/>
        <v>0.95</v>
      </c>
      <c r="J317" s="152">
        <f t="shared" si="620"/>
        <v>0.95</v>
      </c>
      <c r="K317" s="152">
        <f t="shared" ref="K317:L317" si="621">K247</f>
        <v>0.95</v>
      </c>
      <c r="L317" s="152">
        <f t="shared" si="621"/>
        <v>0.95</v>
      </c>
      <c r="M317" s="167"/>
      <c r="N317" s="94"/>
      <c r="O317" s="1316"/>
      <c r="S317" s="95"/>
    </row>
    <row r="318" spans="1:19">
      <c r="A318" s="160" t="s">
        <v>502</v>
      </c>
      <c r="B318" s="291" t="s">
        <v>497</v>
      </c>
      <c r="C318" s="266"/>
      <c r="D318" s="154"/>
      <c r="E318" s="89">
        <f>E316*E317</f>
        <v>120.08</v>
      </c>
      <c r="F318" s="89">
        <f t="shared" ref="F318:J318" si="622">F316*F317</f>
        <v>117.72499999999999</v>
      </c>
      <c r="G318" s="89">
        <f t="shared" si="622"/>
        <v>113.80500000000001</v>
      </c>
      <c r="H318" s="89">
        <f t="shared" si="622"/>
        <v>113.905</v>
      </c>
      <c r="I318" s="89">
        <f t="shared" si="622"/>
        <v>109.06</v>
      </c>
      <c r="J318" s="89">
        <f t="shared" si="622"/>
        <v>105.07000000000001</v>
      </c>
      <c r="K318" s="89">
        <f t="shared" ref="K318:L318" si="623">K316*K317</f>
        <v>101.745</v>
      </c>
      <c r="L318" s="89">
        <f t="shared" si="623"/>
        <v>98.99</v>
      </c>
      <c r="M318" s="167">
        <f t="shared" ref="M318" si="624">SUM(F318:H318)</f>
        <v>345.435</v>
      </c>
      <c r="N318" s="94">
        <f t="shared" ref="N318" si="625">SUM(F318:J318)</f>
        <v>559.56500000000005</v>
      </c>
      <c r="O318" s="1316">
        <f t="shared" si="519"/>
        <v>414.86500000000001</v>
      </c>
      <c r="S318" s="95"/>
    </row>
    <row r="319" spans="1:19">
      <c r="A319" s="160" t="s">
        <v>503</v>
      </c>
      <c r="B319" s="293" t="s">
        <v>472</v>
      </c>
      <c r="C319" s="154"/>
      <c r="D319" s="154"/>
      <c r="E319" s="152">
        <f t="shared" ref="E319:J319" si="626">E249</f>
        <v>0.02</v>
      </c>
      <c r="F319" s="152">
        <f t="shared" si="626"/>
        <v>0.02</v>
      </c>
      <c r="G319" s="152">
        <f t="shared" si="626"/>
        <v>0.02</v>
      </c>
      <c r="H319" s="152">
        <f t="shared" si="626"/>
        <v>0.02</v>
      </c>
      <c r="I319" s="152">
        <f t="shared" si="626"/>
        <v>0.02</v>
      </c>
      <c r="J319" s="152">
        <f t="shared" si="626"/>
        <v>0.02</v>
      </c>
      <c r="K319" s="152">
        <f t="shared" ref="K319:L319" si="627">K249</f>
        <v>0.02</v>
      </c>
      <c r="L319" s="152">
        <f t="shared" si="627"/>
        <v>0.02</v>
      </c>
      <c r="M319" s="167"/>
      <c r="N319" s="94"/>
      <c r="O319" s="1316"/>
      <c r="S319" s="95"/>
    </row>
    <row r="320" spans="1:19">
      <c r="A320" s="160" t="s">
        <v>504</v>
      </c>
      <c r="B320" s="291" t="s">
        <v>473</v>
      </c>
      <c r="C320" s="266"/>
      <c r="D320" s="266"/>
      <c r="E320" s="89">
        <f>E318+E318*E319</f>
        <v>122.4816</v>
      </c>
      <c r="F320" s="89">
        <f t="shared" ref="F320:J320" si="628">F318+F318*F319</f>
        <v>120.0795</v>
      </c>
      <c r="G320" s="89">
        <f t="shared" si="628"/>
        <v>116.08110000000001</v>
      </c>
      <c r="H320" s="89">
        <f t="shared" si="628"/>
        <v>116.1831</v>
      </c>
      <c r="I320" s="89">
        <f t="shared" si="628"/>
        <v>111.24120000000001</v>
      </c>
      <c r="J320" s="89">
        <f t="shared" si="628"/>
        <v>107.17140000000001</v>
      </c>
      <c r="K320" s="89">
        <f t="shared" ref="K320:L320" si="629">K318+K318*K319</f>
        <v>103.7799</v>
      </c>
      <c r="L320" s="89">
        <f t="shared" si="629"/>
        <v>100.96979999999999</v>
      </c>
      <c r="M320" s="167">
        <f t="shared" ref="M320" si="630">SUM(F320:H320)</f>
        <v>352.34370000000001</v>
      </c>
      <c r="N320" s="94">
        <f t="shared" ref="N320" si="631">SUM(F320:J320)</f>
        <v>570.75630000000001</v>
      </c>
      <c r="O320" s="1316">
        <f t="shared" si="519"/>
        <v>423.16229999999996</v>
      </c>
      <c r="S320" s="95"/>
    </row>
    <row r="321" spans="1:19">
      <c r="A321" s="160" t="s">
        <v>505</v>
      </c>
      <c r="B321" s="291" t="s">
        <v>824</v>
      </c>
      <c r="C321" s="266"/>
      <c r="D321" s="266"/>
      <c r="E321" s="287">
        <f>E251</f>
        <v>1</v>
      </c>
      <c r="F321" s="287">
        <f>E321</f>
        <v>1</v>
      </c>
      <c r="G321" s="287">
        <f>F321</f>
        <v>1</v>
      </c>
      <c r="H321" s="287">
        <f t="shared" ref="H321:J321" si="632">G321</f>
        <v>1</v>
      </c>
      <c r="I321" s="287">
        <f t="shared" si="632"/>
        <v>1</v>
      </c>
      <c r="J321" s="287">
        <f t="shared" si="632"/>
        <v>1</v>
      </c>
      <c r="K321" s="287">
        <f t="shared" ref="K321" si="633">J321</f>
        <v>1</v>
      </c>
      <c r="L321" s="287">
        <f t="shared" ref="L321" si="634">K321</f>
        <v>1</v>
      </c>
      <c r="M321" s="167"/>
      <c r="N321" s="94"/>
      <c r="O321" s="1316"/>
      <c r="S321" s="95"/>
    </row>
    <row r="322" spans="1:19">
      <c r="A322" s="160" t="s">
        <v>506</v>
      </c>
      <c r="B322" s="291" t="s">
        <v>825</v>
      </c>
      <c r="C322" s="154"/>
      <c r="D322" s="154"/>
      <c r="E322" s="89">
        <f>E320*E321</f>
        <v>122.4816</v>
      </c>
      <c r="F322" s="89">
        <f t="shared" ref="F322:J322" si="635">F320*F321</f>
        <v>120.0795</v>
      </c>
      <c r="G322" s="89">
        <f t="shared" si="635"/>
        <v>116.08110000000001</v>
      </c>
      <c r="H322" s="89">
        <f t="shared" si="635"/>
        <v>116.1831</v>
      </c>
      <c r="I322" s="89">
        <f t="shared" si="635"/>
        <v>111.24120000000001</v>
      </c>
      <c r="J322" s="89">
        <f t="shared" si="635"/>
        <v>107.17140000000001</v>
      </c>
      <c r="K322" s="89">
        <f t="shared" ref="K322:L322" si="636">K320*K321</f>
        <v>103.7799</v>
      </c>
      <c r="L322" s="89">
        <f t="shared" si="636"/>
        <v>100.96979999999999</v>
      </c>
      <c r="M322" s="167">
        <f t="shared" ref="M322" si="637">SUM(F322:H322)</f>
        <v>352.34370000000001</v>
      </c>
      <c r="N322" s="94">
        <f t="shared" ref="N322" si="638">SUM(F322:J322)</f>
        <v>570.75630000000001</v>
      </c>
      <c r="O322" s="1316">
        <f t="shared" si="519"/>
        <v>423.16229999999996</v>
      </c>
      <c r="S322" s="95"/>
    </row>
    <row r="323" spans="1:19">
      <c r="A323" s="162">
        <v>1.7</v>
      </c>
      <c r="B323" s="161" t="s">
        <v>474</v>
      </c>
      <c r="C323" s="154"/>
      <c r="D323" s="154"/>
      <c r="E323" s="89"/>
      <c r="F323" s="89"/>
      <c r="G323" s="89"/>
      <c r="H323" s="89"/>
      <c r="I323" s="89"/>
      <c r="J323" s="89"/>
      <c r="K323" s="89"/>
      <c r="L323" s="89"/>
      <c r="M323" s="167"/>
      <c r="N323" s="94"/>
      <c r="O323" s="1316">
        <f t="shared" si="519"/>
        <v>0</v>
      </c>
      <c r="S323" s="95"/>
    </row>
    <row r="324" spans="1:19">
      <c r="A324" s="160" t="s">
        <v>508</v>
      </c>
      <c r="B324" s="291" t="s">
        <v>312</v>
      </c>
      <c r="C324" s="266"/>
      <c r="D324" s="266"/>
      <c r="E324" s="89">
        <f t="shared" ref="E324:J324" si="639">E183</f>
        <v>3002</v>
      </c>
      <c r="F324" s="89">
        <f t="shared" si="639"/>
        <v>2770</v>
      </c>
      <c r="G324" s="89">
        <f t="shared" si="639"/>
        <v>2529</v>
      </c>
      <c r="H324" s="89">
        <f t="shared" si="639"/>
        <v>2398</v>
      </c>
      <c r="I324" s="89">
        <f t="shared" si="639"/>
        <v>2296</v>
      </c>
      <c r="J324" s="89">
        <f t="shared" si="639"/>
        <v>2212</v>
      </c>
      <c r="K324" s="89">
        <f t="shared" ref="K324:L324" si="640">K183</f>
        <v>2142</v>
      </c>
      <c r="L324" s="89">
        <f t="shared" si="640"/>
        <v>2084</v>
      </c>
      <c r="M324" s="167">
        <f t="shared" ref="M324" si="641">SUM(F324:H324)</f>
        <v>7697</v>
      </c>
      <c r="N324" s="94">
        <f t="shared" ref="N324" si="642">SUM(F324:J324)</f>
        <v>12205</v>
      </c>
      <c r="O324" s="1316">
        <f t="shared" si="519"/>
        <v>8734</v>
      </c>
      <c r="S324" s="95"/>
    </row>
    <row r="325" spans="1:19">
      <c r="A325" s="160" t="s">
        <v>507</v>
      </c>
      <c r="B325" s="291" t="s">
        <v>509</v>
      </c>
      <c r="C325" s="266"/>
      <c r="D325" s="266"/>
      <c r="E325" s="152">
        <v>0.05</v>
      </c>
      <c r="F325" s="152">
        <f>E325</f>
        <v>0.05</v>
      </c>
      <c r="G325" s="152">
        <f t="shared" ref="G325:J325" si="643">F325</f>
        <v>0.05</v>
      </c>
      <c r="H325" s="152">
        <f t="shared" si="643"/>
        <v>0.05</v>
      </c>
      <c r="I325" s="152">
        <f t="shared" si="643"/>
        <v>0.05</v>
      </c>
      <c r="J325" s="152">
        <f t="shared" si="643"/>
        <v>0.05</v>
      </c>
      <c r="K325" s="152">
        <f t="shared" ref="K325" si="644">J325</f>
        <v>0.05</v>
      </c>
      <c r="L325" s="152">
        <f t="shared" ref="L325" si="645">K325</f>
        <v>0.05</v>
      </c>
      <c r="M325" s="167"/>
      <c r="N325" s="94"/>
      <c r="O325" s="1316"/>
      <c r="S325" s="95"/>
    </row>
    <row r="326" spans="1:19">
      <c r="A326" s="160" t="s">
        <v>512</v>
      </c>
      <c r="B326" s="291" t="s">
        <v>510</v>
      </c>
      <c r="C326" s="154"/>
      <c r="D326" s="154"/>
      <c r="E326" s="89">
        <f>E324*E325</f>
        <v>150.1</v>
      </c>
      <c r="F326" s="89">
        <f t="shared" ref="F326:J326" si="646">F324*F325</f>
        <v>138.5</v>
      </c>
      <c r="G326" s="89">
        <f t="shared" si="646"/>
        <v>126.45</v>
      </c>
      <c r="H326" s="89">
        <f t="shared" si="646"/>
        <v>119.9</v>
      </c>
      <c r="I326" s="89">
        <f t="shared" si="646"/>
        <v>114.80000000000001</v>
      </c>
      <c r="J326" s="89">
        <f t="shared" si="646"/>
        <v>110.60000000000001</v>
      </c>
      <c r="K326" s="89">
        <f t="shared" ref="K326:L326" si="647">K324*K325</f>
        <v>107.10000000000001</v>
      </c>
      <c r="L326" s="89">
        <f t="shared" si="647"/>
        <v>104.2</v>
      </c>
      <c r="M326" s="167">
        <f t="shared" ref="M326" si="648">SUM(F326:H326)</f>
        <v>384.85</v>
      </c>
      <c r="N326" s="94">
        <f t="shared" ref="N326" si="649">SUM(F326:J326)</f>
        <v>610.25</v>
      </c>
      <c r="O326" s="1316">
        <f t="shared" si="519"/>
        <v>436.70000000000005</v>
      </c>
      <c r="S326" s="95"/>
    </row>
    <row r="327" spans="1:19">
      <c r="A327" s="160" t="s">
        <v>513</v>
      </c>
      <c r="B327" s="291" t="s">
        <v>455</v>
      </c>
      <c r="C327" s="266"/>
      <c r="D327" s="154"/>
      <c r="E327" s="152">
        <f t="shared" ref="E327:J327" si="650">E238</f>
        <v>0.7</v>
      </c>
      <c r="F327" s="152">
        <f t="shared" si="650"/>
        <v>0.8</v>
      </c>
      <c r="G327" s="152">
        <f t="shared" si="650"/>
        <v>0.85</v>
      </c>
      <c r="H327" s="152">
        <f t="shared" si="650"/>
        <v>0.95</v>
      </c>
      <c r="I327" s="152">
        <f t="shared" si="650"/>
        <v>0.95</v>
      </c>
      <c r="J327" s="152">
        <f t="shared" si="650"/>
        <v>0.95</v>
      </c>
      <c r="K327" s="152">
        <f t="shared" ref="K327:L327" si="651">K238</f>
        <v>0.95</v>
      </c>
      <c r="L327" s="152">
        <f t="shared" si="651"/>
        <v>0.95</v>
      </c>
      <c r="M327" s="167"/>
      <c r="N327" s="94"/>
      <c r="O327" s="1316"/>
      <c r="S327" s="95"/>
    </row>
    <row r="328" spans="1:19">
      <c r="A328" s="160" t="s">
        <v>514</v>
      </c>
      <c r="B328" s="291" t="s">
        <v>511</v>
      </c>
      <c r="C328" s="266"/>
      <c r="D328" s="154"/>
      <c r="E328" s="89">
        <f>E326*E327</f>
        <v>105.07</v>
      </c>
      <c r="F328" s="89">
        <f t="shared" ref="F328:J328" si="652">F326*F327</f>
        <v>110.80000000000001</v>
      </c>
      <c r="G328" s="89">
        <f t="shared" si="652"/>
        <v>107.4825</v>
      </c>
      <c r="H328" s="89">
        <f t="shared" si="652"/>
        <v>113.905</v>
      </c>
      <c r="I328" s="89">
        <f t="shared" si="652"/>
        <v>109.06</v>
      </c>
      <c r="J328" s="89">
        <f t="shared" si="652"/>
        <v>105.07000000000001</v>
      </c>
      <c r="K328" s="89">
        <f t="shared" ref="K328:L328" si="653">K326*K327</f>
        <v>101.745</v>
      </c>
      <c r="L328" s="89">
        <f t="shared" si="653"/>
        <v>98.99</v>
      </c>
      <c r="M328" s="167">
        <f t="shared" ref="M328" si="654">SUM(F328:H328)</f>
        <v>332.1875</v>
      </c>
      <c r="N328" s="94">
        <f t="shared" ref="N328" si="655">SUM(F328:J328)</f>
        <v>546.3175</v>
      </c>
      <c r="O328" s="1316">
        <f t="shared" si="519"/>
        <v>414.86500000000001</v>
      </c>
      <c r="S328" s="95"/>
    </row>
    <row r="329" spans="1:19">
      <c r="A329" s="160" t="s">
        <v>515</v>
      </c>
      <c r="B329" s="293" t="s">
        <v>478</v>
      </c>
      <c r="C329" s="154"/>
      <c r="D329" s="154"/>
      <c r="E329" s="152">
        <f t="shared" ref="E329:J329" si="656">E258</f>
        <v>0.1</v>
      </c>
      <c r="F329" s="152">
        <f t="shared" si="656"/>
        <v>0.1</v>
      </c>
      <c r="G329" s="152">
        <f t="shared" si="656"/>
        <v>0.1</v>
      </c>
      <c r="H329" s="152">
        <f t="shared" si="656"/>
        <v>0.1</v>
      </c>
      <c r="I329" s="152">
        <f t="shared" si="656"/>
        <v>0.1</v>
      </c>
      <c r="J329" s="152">
        <f t="shared" si="656"/>
        <v>0.1</v>
      </c>
      <c r="K329" s="152">
        <f t="shared" ref="K329:L329" si="657">K258</f>
        <v>0.1</v>
      </c>
      <c r="L329" s="152">
        <f t="shared" si="657"/>
        <v>0.1</v>
      </c>
      <c r="M329" s="167"/>
      <c r="N329" s="94"/>
      <c r="O329" s="1316"/>
      <c r="S329" s="95"/>
    </row>
    <row r="330" spans="1:19">
      <c r="A330" s="160" t="s">
        <v>516</v>
      </c>
      <c r="B330" s="291" t="s">
        <v>479</v>
      </c>
      <c r="C330" s="266"/>
      <c r="D330" s="266"/>
      <c r="E330" s="89">
        <f>E328+E328*E329</f>
        <v>115.577</v>
      </c>
      <c r="F330" s="89">
        <f t="shared" ref="F330:J330" si="658">F328+F328*F329</f>
        <v>121.88000000000001</v>
      </c>
      <c r="G330" s="89">
        <f t="shared" si="658"/>
        <v>118.23075</v>
      </c>
      <c r="H330" s="89">
        <f t="shared" si="658"/>
        <v>125.2955</v>
      </c>
      <c r="I330" s="89">
        <f t="shared" si="658"/>
        <v>119.96600000000001</v>
      </c>
      <c r="J330" s="89">
        <f t="shared" si="658"/>
        <v>115.57700000000001</v>
      </c>
      <c r="K330" s="89">
        <f t="shared" ref="K330:L330" si="659">K328+K328*K329</f>
        <v>111.9195</v>
      </c>
      <c r="L330" s="89">
        <f t="shared" si="659"/>
        <v>108.889</v>
      </c>
      <c r="M330" s="167">
        <f t="shared" ref="M330" si="660">SUM(F330:H330)</f>
        <v>365.40625</v>
      </c>
      <c r="N330" s="94">
        <f t="shared" ref="N330" si="661">SUM(F330:J330)</f>
        <v>600.94925000000001</v>
      </c>
      <c r="O330" s="1316">
        <f t="shared" si="519"/>
        <v>456.35149999999999</v>
      </c>
      <c r="S330" s="95"/>
    </row>
    <row r="331" spans="1:19">
      <c r="A331" s="160" t="s">
        <v>517</v>
      </c>
      <c r="B331" s="291" t="s">
        <v>826</v>
      </c>
      <c r="C331" s="266"/>
      <c r="D331" s="266"/>
      <c r="E331" s="287">
        <f t="shared" ref="E331:J331" si="662">E260</f>
        <v>1</v>
      </c>
      <c r="F331" s="287">
        <f t="shared" si="662"/>
        <v>1</v>
      </c>
      <c r="G331" s="287">
        <f t="shared" si="662"/>
        <v>1</v>
      </c>
      <c r="H331" s="287">
        <f t="shared" si="662"/>
        <v>1</v>
      </c>
      <c r="I331" s="287">
        <f t="shared" si="662"/>
        <v>1</v>
      </c>
      <c r="J331" s="287">
        <f t="shared" si="662"/>
        <v>1</v>
      </c>
      <c r="K331" s="287">
        <f t="shared" ref="K331:L331" si="663">K260</f>
        <v>1</v>
      </c>
      <c r="L331" s="287">
        <f t="shared" si="663"/>
        <v>1</v>
      </c>
      <c r="M331" s="167"/>
      <c r="N331" s="94"/>
      <c r="O331" s="1316"/>
      <c r="S331" s="95"/>
    </row>
    <row r="332" spans="1:19">
      <c r="A332" s="160" t="s">
        <v>518</v>
      </c>
      <c r="B332" s="291" t="s">
        <v>827</v>
      </c>
      <c r="C332" s="154"/>
      <c r="D332" s="154"/>
      <c r="E332" s="89">
        <f>E330*E331</f>
        <v>115.577</v>
      </c>
      <c r="F332" s="89">
        <f t="shared" ref="F332:J332" si="664">F330*F331</f>
        <v>121.88000000000001</v>
      </c>
      <c r="G332" s="89">
        <f t="shared" si="664"/>
        <v>118.23075</v>
      </c>
      <c r="H332" s="89">
        <f t="shared" si="664"/>
        <v>125.2955</v>
      </c>
      <c r="I332" s="89">
        <f t="shared" si="664"/>
        <v>119.96600000000001</v>
      </c>
      <c r="J332" s="89">
        <f t="shared" si="664"/>
        <v>115.57700000000001</v>
      </c>
      <c r="K332" s="89">
        <f t="shared" ref="K332:L332" si="665">K330*K331</f>
        <v>111.9195</v>
      </c>
      <c r="L332" s="89">
        <f t="shared" si="665"/>
        <v>108.889</v>
      </c>
      <c r="M332" s="167">
        <f t="shared" ref="M332" si="666">SUM(F332:H332)</f>
        <v>365.40625</v>
      </c>
      <c r="N332" s="94">
        <f t="shared" ref="N332" si="667">SUM(F332:J332)</f>
        <v>600.94925000000001</v>
      </c>
      <c r="O332" s="1316">
        <f t="shared" si="519"/>
        <v>456.35149999999999</v>
      </c>
      <c r="S332" s="95"/>
    </row>
    <row r="333" spans="1:19">
      <c r="A333" s="183">
        <v>2</v>
      </c>
      <c r="B333" s="179" t="str">
        <f>B184</f>
        <v>PDR-TB</v>
      </c>
      <c r="C333" s="290"/>
      <c r="D333" s="290"/>
      <c r="E333" s="184"/>
      <c r="F333" s="184"/>
      <c r="G333" s="184"/>
      <c r="H333" s="184"/>
      <c r="I333" s="184"/>
      <c r="J333" s="184"/>
      <c r="K333" s="184"/>
      <c r="L333" s="184"/>
      <c r="M333" s="180"/>
      <c r="N333" s="181"/>
      <c r="O333" s="1316">
        <f t="shared" si="519"/>
        <v>0</v>
      </c>
      <c r="S333" s="95"/>
    </row>
    <row r="334" spans="1:19">
      <c r="A334" s="162">
        <v>2.1</v>
      </c>
      <c r="B334" s="159" t="s">
        <v>284</v>
      </c>
      <c r="C334" s="154"/>
      <c r="D334" s="154"/>
      <c r="E334" s="89"/>
      <c r="F334" s="89"/>
      <c r="G334" s="89"/>
      <c r="H334" s="89"/>
      <c r="I334" s="89"/>
      <c r="J334" s="89"/>
      <c r="K334" s="89"/>
      <c r="L334" s="89"/>
      <c r="M334" s="167"/>
      <c r="N334" s="94"/>
      <c r="O334" s="1316">
        <f t="shared" si="519"/>
        <v>0</v>
      </c>
      <c r="S334" s="95"/>
    </row>
    <row r="335" spans="1:19">
      <c r="A335" s="160" t="s">
        <v>342</v>
      </c>
      <c r="B335" s="291" t="s">
        <v>312</v>
      </c>
      <c r="C335" s="266"/>
      <c r="D335" s="266"/>
      <c r="E335" s="89">
        <f t="shared" ref="E335:J335" si="668">E184</f>
        <v>147</v>
      </c>
      <c r="F335" s="89">
        <f t="shared" si="668"/>
        <v>131</v>
      </c>
      <c r="G335" s="89">
        <f t="shared" si="668"/>
        <v>113</v>
      </c>
      <c r="H335" s="89">
        <f t="shared" si="668"/>
        <v>103</v>
      </c>
      <c r="I335" s="89">
        <f t="shared" si="668"/>
        <v>94</v>
      </c>
      <c r="J335" s="89">
        <f t="shared" si="668"/>
        <v>84</v>
      </c>
      <c r="K335" s="89">
        <f t="shared" ref="K335:L335" si="669">K184</f>
        <v>80</v>
      </c>
      <c r="L335" s="89">
        <f t="shared" si="669"/>
        <v>77</v>
      </c>
      <c r="M335" s="167">
        <f t="shared" ref="M335" si="670">SUM(F335:H335)</f>
        <v>347</v>
      </c>
      <c r="N335" s="94">
        <f t="shared" ref="N335" si="671">SUM(F335:J335)</f>
        <v>525</v>
      </c>
      <c r="O335" s="1316">
        <f t="shared" si="519"/>
        <v>335</v>
      </c>
      <c r="S335" s="95"/>
    </row>
    <row r="336" spans="1:19">
      <c r="A336" s="160" t="s">
        <v>343</v>
      </c>
      <c r="B336" s="291" t="s">
        <v>313</v>
      </c>
      <c r="C336" s="154"/>
      <c r="D336" s="154"/>
      <c r="E336" s="89">
        <v>4</v>
      </c>
      <c r="F336" s="89">
        <f>E336</f>
        <v>4</v>
      </c>
      <c r="G336" s="89">
        <f t="shared" ref="G336:J336" si="672">F336</f>
        <v>4</v>
      </c>
      <c r="H336" s="89">
        <f t="shared" si="672"/>
        <v>4</v>
      </c>
      <c r="I336" s="89">
        <f t="shared" si="672"/>
        <v>4</v>
      </c>
      <c r="J336" s="89">
        <f t="shared" si="672"/>
        <v>4</v>
      </c>
      <c r="K336" s="89">
        <f t="shared" ref="K336:K337" si="673">J336</f>
        <v>4</v>
      </c>
      <c r="L336" s="89">
        <f t="shared" ref="L336:L337" si="674">K336</f>
        <v>4</v>
      </c>
      <c r="M336" s="167"/>
      <c r="N336" s="94"/>
      <c r="O336" s="1316"/>
      <c r="S336" s="95"/>
    </row>
    <row r="337" spans="1:19">
      <c r="A337" s="160" t="s">
        <v>344</v>
      </c>
      <c r="B337" s="291" t="s">
        <v>418</v>
      </c>
      <c r="C337" s="154"/>
      <c r="D337" s="154"/>
      <c r="E337" s="272">
        <v>0.85</v>
      </c>
      <c r="F337" s="272">
        <f>E337</f>
        <v>0.85</v>
      </c>
      <c r="G337" s="272">
        <f t="shared" ref="G337:J337" si="675">F337</f>
        <v>0.85</v>
      </c>
      <c r="H337" s="272">
        <f t="shared" si="675"/>
        <v>0.85</v>
      </c>
      <c r="I337" s="272">
        <f t="shared" si="675"/>
        <v>0.85</v>
      </c>
      <c r="J337" s="272">
        <f t="shared" si="675"/>
        <v>0.85</v>
      </c>
      <c r="K337" s="272">
        <f t="shared" si="673"/>
        <v>0.85</v>
      </c>
      <c r="L337" s="272">
        <f t="shared" si="674"/>
        <v>0.85</v>
      </c>
      <c r="M337" s="167"/>
      <c r="N337" s="94"/>
      <c r="O337" s="1316"/>
      <c r="S337" s="95"/>
    </row>
    <row r="338" spans="1:19">
      <c r="A338" s="160" t="s">
        <v>345</v>
      </c>
      <c r="B338" s="291" t="s">
        <v>288</v>
      </c>
      <c r="C338" s="154"/>
      <c r="D338" s="154"/>
      <c r="E338" s="152">
        <f t="shared" ref="E338:J338" si="676">E204/2</f>
        <v>0.06</v>
      </c>
      <c r="F338" s="152">
        <f t="shared" si="676"/>
        <v>5.5E-2</v>
      </c>
      <c r="G338" s="152">
        <f t="shared" si="676"/>
        <v>0.05</v>
      </c>
      <c r="H338" s="152">
        <f t="shared" si="676"/>
        <v>0.05</v>
      </c>
      <c r="I338" s="152">
        <f t="shared" si="676"/>
        <v>0.05</v>
      </c>
      <c r="J338" s="152">
        <f t="shared" si="676"/>
        <v>0.05</v>
      </c>
      <c r="K338" s="152">
        <f t="shared" ref="K338" si="677">K204/2</f>
        <v>0.05</v>
      </c>
      <c r="L338" s="152">
        <v>0.05</v>
      </c>
      <c r="M338" s="167"/>
      <c r="N338" s="94"/>
      <c r="O338" s="1316"/>
      <c r="S338" s="95"/>
    </row>
    <row r="339" spans="1:19">
      <c r="A339" s="160" t="s">
        <v>346</v>
      </c>
      <c r="B339" s="291" t="s">
        <v>286</v>
      </c>
      <c r="C339" s="154"/>
      <c r="D339" s="154"/>
      <c r="E339" s="272">
        <f t="shared" ref="E339:J339" si="678">E202</f>
        <v>0.95</v>
      </c>
      <c r="F339" s="272">
        <f t="shared" si="678"/>
        <v>0.95</v>
      </c>
      <c r="G339" s="272">
        <f t="shared" si="678"/>
        <v>0.95</v>
      </c>
      <c r="H339" s="272">
        <f t="shared" si="678"/>
        <v>0.95</v>
      </c>
      <c r="I339" s="272">
        <f t="shared" si="678"/>
        <v>0.95</v>
      </c>
      <c r="J339" s="272">
        <f t="shared" si="678"/>
        <v>0.95</v>
      </c>
      <c r="K339" s="272">
        <f t="shared" ref="K339:L339" si="679">K202</f>
        <v>0.95</v>
      </c>
      <c r="L339" s="272">
        <f t="shared" si="679"/>
        <v>0.95</v>
      </c>
      <c r="M339" s="167"/>
      <c r="N339" s="94"/>
      <c r="O339" s="1316"/>
      <c r="S339" s="95"/>
    </row>
    <row r="340" spans="1:19">
      <c r="A340" s="160" t="s">
        <v>347</v>
      </c>
      <c r="B340" s="291" t="s">
        <v>289</v>
      </c>
      <c r="C340" s="266"/>
      <c r="D340" s="266"/>
      <c r="E340" s="89">
        <f>E335*E336*E337*(1+E338)*E339</f>
        <v>503.29859999999996</v>
      </c>
      <c r="F340" s="89">
        <f t="shared" ref="F340" si="680">F335*F336*F337*(1+F338)*F339</f>
        <v>446.40214999999989</v>
      </c>
      <c r="G340" s="89">
        <f t="shared" ref="G340" si="681">G335*G336*G337*(1+G338)*G339</f>
        <v>383.23950000000002</v>
      </c>
      <c r="H340" s="89">
        <f t="shared" ref="H340" si="682">H335*H336*H337*(1+H338)*H339</f>
        <v>349.32449999999994</v>
      </c>
      <c r="I340" s="89">
        <f t="shared" ref="I340" si="683">I335*I336*I337*(1+I338)*I339</f>
        <v>318.80099999999999</v>
      </c>
      <c r="J340" s="89">
        <f t="shared" ref="J340:L340" si="684">J335*J336*J337*(1+J338)*J339</f>
        <v>284.88599999999997</v>
      </c>
      <c r="K340" s="89">
        <f t="shared" si="684"/>
        <v>271.32</v>
      </c>
      <c r="L340" s="89">
        <f t="shared" si="684"/>
        <v>261.14550000000003</v>
      </c>
      <c r="M340" s="167">
        <f t="shared" ref="M340" si="685">SUM(F340:H340)</f>
        <v>1178.9661499999997</v>
      </c>
      <c r="N340" s="94">
        <f t="shared" ref="N340" si="686">SUM(F340:J340)</f>
        <v>1782.6531499999996</v>
      </c>
      <c r="O340" s="1316">
        <f t="shared" si="519"/>
        <v>1136.1524999999999</v>
      </c>
      <c r="S340" s="95"/>
    </row>
    <row r="341" spans="1:19">
      <c r="A341" s="160" t="s">
        <v>348</v>
      </c>
      <c r="B341" s="291" t="s">
        <v>239</v>
      </c>
      <c r="C341" s="266"/>
      <c r="D341" s="266"/>
      <c r="E341" s="287">
        <f t="shared" ref="E341:J341" si="687">E206</f>
        <v>1.9</v>
      </c>
      <c r="F341" s="287">
        <f t="shared" si="687"/>
        <v>1.6</v>
      </c>
      <c r="G341" s="287">
        <f t="shared" si="687"/>
        <v>1.2</v>
      </c>
      <c r="H341" s="287">
        <f t="shared" si="687"/>
        <v>1</v>
      </c>
      <c r="I341" s="287">
        <f t="shared" si="687"/>
        <v>1</v>
      </c>
      <c r="J341" s="287">
        <f t="shared" si="687"/>
        <v>1</v>
      </c>
      <c r="K341" s="287">
        <f t="shared" ref="K341:L341" si="688">K206</f>
        <v>1</v>
      </c>
      <c r="L341" s="287">
        <f t="shared" si="688"/>
        <v>1</v>
      </c>
      <c r="M341" s="167"/>
      <c r="N341" s="94"/>
      <c r="O341" s="1316"/>
      <c r="S341" s="95"/>
    </row>
    <row r="342" spans="1:19">
      <c r="A342" s="160" t="s">
        <v>349</v>
      </c>
      <c r="B342" s="291" t="s">
        <v>290</v>
      </c>
      <c r="C342" s="154"/>
      <c r="D342" s="154"/>
      <c r="E342" s="89">
        <f>E340*E341</f>
        <v>956.26733999999988</v>
      </c>
      <c r="F342" s="89">
        <f t="shared" ref="F342:J342" si="689">F340*F341</f>
        <v>714.24343999999985</v>
      </c>
      <c r="G342" s="89">
        <f t="shared" si="689"/>
        <v>459.88740000000001</v>
      </c>
      <c r="H342" s="89">
        <f t="shared" si="689"/>
        <v>349.32449999999994</v>
      </c>
      <c r="I342" s="89">
        <f t="shared" si="689"/>
        <v>318.80099999999999</v>
      </c>
      <c r="J342" s="89">
        <f t="shared" si="689"/>
        <v>284.88599999999997</v>
      </c>
      <c r="K342" s="89">
        <f t="shared" ref="K342:L342" si="690">K340*K341</f>
        <v>271.32</v>
      </c>
      <c r="L342" s="89">
        <f t="shared" si="690"/>
        <v>261.14550000000003</v>
      </c>
      <c r="M342" s="167">
        <f t="shared" ref="M342" si="691">SUM(F342:H342)</f>
        <v>1523.4553399999998</v>
      </c>
      <c r="N342" s="94">
        <f t="shared" ref="N342" si="692">SUM(F342:J342)</f>
        <v>2127.1423399999994</v>
      </c>
      <c r="O342" s="1316">
        <f t="shared" si="519"/>
        <v>1136.1524999999999</v>
      </c>
      <c r="S342" s="95"/>
    </row>
    <row r="343" spans="1:19">
      <c r="A343" s="162">
        <v>2.2000000000000002</v>
      </c>
      <c r="B343" s="159" t="s">
        <v>292</v>
      </c>
      <c r="C343" s="154"/>
      <c r="D343" s="154"/>
      <c r="E343" s="89"/>
      <c r="F343" s="89"/>
      <c r="G343" s="89"/>
      <c r="H343" s="89"/>
      <c r="I343" s="89"/>
      <c r="J343" s="89"/>
      <c r="K343" s="89"/>
      <c r="L343" s="89"/>
      <c r="M343" s="167"/>
      <c r="N343" s="94"/>
      <c r="O343" s="1316">
        <f t="shared" si="519"/>
        <v>0</v>
      </c>
      <c r="S343" s="95"/>
    </row>
    <row r="344" spans="1:19">
      <c r="A344" s="160" t="s">
        <v>350</v>
      </c>
      <c r="B344" s="291" t="s">
        <v>312</v>
      </c>
      <c r="C344" s="266"/>
      <c r="D344" s="266"/>
      <c r="E344" s="89">
        <f t="shared" ref="E344:J344" si="693">E184</f>
        <v>147</v>
      </c>
      <c r="F344" s="89">
        <f t="shared" si="693"/>
        <v>131</v>
      </c>
      <c r="G344" s="89">
        <f t="shared" si="693"/>
        <v>113</v>
      </c>
      <c r="H344" s="89">
        <f t="shared" si="693"/>
        <v>103</v>
      </c>
      <c r="I344" s="89">
        <f t="shared" si="693"/>
        <v>94</v>
      </c>
      <c r="J344" s="89">
        <f t="shared" si="693"/>
        <v>84</v>
      </c>
      <c r="K344" s="89">
        <f t="shared" ref="K344:L344" si="694">K184</f>
        <v>80</v>
      </c>
      <c r="L344" s="89">
        <f t="shared" si="694"/>
        <v>77</v>
      </c>
      <c r="M344" s="167">
        <f t="shared" ref="M344" si="695">SUM(F344:H344)</f>
        <v>347</v>
      </c>
      <c r="N344" s="94">
        <f t="shared" ref="N344" si="696">SUM(F344:J344)</f>
        <v>525</v>
      </c>
      <c r="O344" s="1316">
        <f t="shared" si="519"/>
        <v>335</v>
      </c>
      <c r="S344" s="95"/>
    </row>
    <row r="345" spans="1:19">
      <c r="A345" s="160" t="s">
        <v>351</v>
      </c>
      <c r="B345" s="291" t="s">
        <v>324</v>
      </c>
      <c r="C345" s="266"/>
      <c r="D345" s="266"/>
      <c r="E345" s="272">
        <v>0.2</v>
      </c>
      <c r="F345" s="272">
        <f>E345</f>
        <v>0.2</v>
      </c>
      <c r="G345" s="272">
        <f t="shared" ref="G345:J345" si="697">F345</f>
        <v>0.2</v>
      </c>
      <c r="H345" s="272">
        <f t="shared" si="697"/>
        <v>0.2</v>
      </c>
      <c r="I345" s="272">
        <f t="shared" si="697"/>
        <v>0.2</v>
      </c>
      <c r="J345" s="272">
        <f t="shared" si="697"/>
        <v>0.2</v>
      </c>
      <c r="K345" s="272">
        <f t="shared" ref="K345" si="698">J345</f>
        <v>0.2</v>
      </c>
      <c r="L345" s="272">
        <f t="shared" ref="L345" si="699">K345</f>
        <v>0.2</v>
      </c>
      <c r="M345" s="167"/>
      <c r="N345" s="94"/>
      <c r="O345" s="1316"/>
      <c r="S345" s="95"/>
    </row>
    <row r="346" spans="1:19">
      <c r="A346" s="160" t="s">
        <v>352</v>
      </c>
      <c r="B346" s="291" t="s">
        <v>314</v>
      </c>
      <c r="C346" s="154"/>
      <c r="D346" s="154"/>
      <c r="E346" s="89">
        <f>E344*E345</f>
        <v>29.400000000000002</v>
      </c>
      <c r="F346" s="89">
        <f t="shared" ref="F346" si="700">F344*F345</f>
        <v>26.200000000000003</v>
      </c>
      <c r="G346" s="89">
        <f t="shared" ref="G346" si="701">G344*G345</f>
        <v>22.6</v>
      </c>
      <c r="H346" s="89">
        <f t="shared" ref="H346" si="702">H344*H345</f>
        <v>20.6</v>
      </c>
      <c r="I346" s="89">
        <f t="shared" ref="I346" si="703">I344*I345</f>
        <v>18.8</v>
      </c>
      <c r="J346" s="89">
        <f t="shared" ref="J346:L346" si="704">J344*J345</f>
        <v>16.8</v>
      </c>
      <c r="K346" s="89">
        <f t="shared" si="704"/>
        <v>16</v>
      </c>
      <c r="L346" s="89">
        <f t="shared" si="704"/>
        <v>15.4</v>
      </c>
      <c r="M346" s="167">
        <f t="shared" ref="M346" si="705">SUM(F346:H346)</f>
        <v>69.400000000000006</v>
      </c>
      <c r="N346" s="94">
        <f t="shared" ref="N346" si="706">SUM(F346:J346)</f>
        <v>105</v>
      </c>
      <c r="O346" s="1316">
        <f t="shared" si="519"/>
        <v>67</v>
      </c>
      <c r="S346" s="95"/>
    </row>
    <row r="347" spans="1:19">
      <c r="A347" s="160" t="s">
        <v>353</v>
      </c>
      <c r="B347" s="291" t="s">
        <v>298</v>
      </c>
      <c r="C347" s="154"/>
      <c r="D347" s="154"/>
      <c r="E347" s="152">
        <f t="shared" ref="E347:J347" si="707">E213/2</f>
        <v>0.06</v>
      </c>
      <c r="F347" s="152">
        <f t="shared" si="707"/>
        <v>5.5E-2</v>
      </c>
      <c r="G347" s="152">
        <f t="shared" si="707"/>
        <v>0.05</v>
      </c>
      <c r="H347" s="152">
        <f t="shared" si="707"/>
        <v>4.4999999999999998E-2</v>
      </c>
      <c r="I347" s="152">
        <f t="shared" si="707"/>
        <v>4.2500000000000003E-2</v>
      </c>
      <c r="J347" s="152">
        <f t="shared" si="707"/>
        <v>0.04</v>
      </c>
      <c r="K347" s="152">
        <f t="shared" ref="K347" si="708">K213/2</f>
        <v>0.04</v>
      </c>
      <c r="L347" s="152">
        <v>0.04</v>
      </c>
      <c r="M347" s="167"/>
      <c r="N347" s="94"/>
      <c r="O347" s="1316"/>
      <c r="S347" s="95"/>
    </row>
    <row r="348" spans="1:19">
      <c r="A348" s="160" t="s">
        <v>354</v>
      </c>
      <c r="B348" s="291" t="s">
        <v>296</v>
      </c>
      <c r="C348" s="154"/>
      <c r="D348" s="154"/>
      <c r="E348" s="272">
        <f t="shared" ref="E348:J348" si="709">E211</f>
        <v>0.5</v>
      </c>
      <c r="F348" s="272">
        <f t="shared" si="709"/>
        <v>0.7</v>
      </c>
      <c r="G348" s="272">
        <f t="shared" si="709"/>
        <v>0.8</v>
      </c>
      <c r="H348" s="272">
        <f t="shared" si="709"/>
        <v>0.85</v>
      </c>
      <c r="I348" s="272">
        <f t="shared" si="709"/>
        <v>0.9</v>
      </c>
      <c r="J348" s="272">
        <f t="shared" si="709"/>
        <v>0.95</v>
      </c>
      <c r="K348" s="272">
        <f>K211</f>
        <v>0.95</v>
      </c>
      <c r="L348" s="272">
        <v>0.95</v>
      </c>
      <c r="M348" s="167"/>
      <c r="N348" s="94"/>
      <c r="O348" s="1316"/>
      <c r="S348" s="95"/>
    </row>
    <row r="349" spans="1:19">
      <c r="A349" s="160" t="s">
        <v>355</v>
      </c>
      <c r="B349" s="291" t="s">
        <v>299</v>
      </c>
      <c r="C349" s="266"/>
      <c r="D349" s="266"/>
      <c r="E349" s="89">
        <f>E346*(1+E347)*E348</f>
        <v>15.582000000000003</v>
      </c>
      <c r="F349" s="89">
        <f t="shared" ref="F349" si="710">F346*(1+F347)*F348</f>
        <v>19.348700000000001</v>
      </c>
      <c r="G349" s="89">
        <f t="shared" ref="G349" si="711">G346*(1+G347)*G348</f>
        <v>18.984000000000005</v>
      </c>
      <c r="H349" s="89">
        <f t="shared" ref="H349" si="712">H346*(1+H347)*H348</f>
        <v>18.29795</v>
      </c>
      <c r="I349" s="89">
        <f t="shared" ref="I349" si="713">I346*(1+I347)*I348</f>
        <v>17.639099999999999</v>
      </c>
      <c r="J349" s="89">
        <f t="shared" ref="J349:L349" si="714">J346*(1+J347)*J348</f>
        <v>16.598400000000002</v>
      </c>
      <c r="K349" s="89">
        <f t="shared" si="714"/>
        <v>15.808</v>
      </c>
      <c r="L349" s="89">
        <f t="shared" si="714"/>
        <v>15.215200000000001</v>
      </c>
      <c r="M349" s="167">
        <f t="shared" ref="M349" si="715">SUM(F349:H349)</f>
        <v>56.630650000000003</v>
      </c>
      <c r="N349" s="94">
        <f t="shared" ref="N349" si="716">SUM(F349:J349)</f>
        <v>90.86815</v>
      </c>
      <c r="O349" s="1316">
        <f t="shared" ref="O349:O411" si="717">I349+J349+K349+L349</f>
        <v>65.2607</v>
      </c>
      <c r="S349" s="95"/>
    </row>
    <row r="350" spans="1:19">
      <c r="A350" s="160" t="s">
        <v>356</v>
      </c>
      <c r="B350" s="291" t="s">
        <v>240</v>
      </c>
      <c r="C350" s="266"/>
      <c r="D350" s="266"/>
      <c r="E350" s="292">
        <f t="shared" ref="E350:J350" si="718">E215</f>
        <v>1.08</v>
      </c>
      <c r="F350" s="292">
        <f t="shared" si="718"/>
        <v>1.07</v>
      </c>
      <c r="G350" s="292">
        <f t="shared" si="718"/>
        <v>1.06</v>
      </c>
      <c r="H350" s="292">
        <f t="shared" si="718"/>
        <v>1.05</v>
      </c>
      <c r="I350" s="292">
        <f t="shared" si="718"/>
        <v>1.04</v>
      </c>
      <c r="J350" s="292">
        <f t="shared" si="718"/>
        <v>1.03</v>
      </c>
      <c r="K350" s="292">
        <f t="shared" ref="K350:L350" si="719">K215</f>
        <v>1.03</v>
      </c>
      <c r="L350" s="292">
        <f t="shared" si="719"/>
        <v>1.03</v>
      </c>
      <c r="M350" s="167"/>
      <c r="N350" s="94"/>
      <c r="O350" s="1316"/>
      <c r="S350" s="95"/>
    </row>
    <row r="351" spans="1:19">
      <c r="A351" s="160" t="s">
        <v>357</v>
      </c>
      <c r="B351" s="291" t="s">
        <v>300</v>
      </c>
      <c r="C351" s="154"/>
      <c r="D351" s="154"/>
      <c r="E351" s="89">
        <f>E349*E350</f>
        <v>16.828560000000003</v>
      </c>
      <c r="F351" s="89">
        <f t="shared" ref="F351:J351" si="720">F349*F350</f>
        <v>20.703109000000001</v>
      </c>
      <c r="G351" s="89">
        <f t="shared" si="720"/>
        <v>20.123040000000007</v>
      </c>
      <c r="H351" s="89">
        <f t="shared" si="720"/>
        <v>19.212847500000002</v>
      </c>
      <c r="I351" s="89">
        <f t="shared" si="720"/>
        <v>18.344663999999998</v>
      </c>
      <c r="J351" s="89">
        <f t="shared" si="720"/>
        <v>17.096352000000003</v>
      </c>
      <c r="K351" s="89">
        <f t="shared" ref="K351:L351" si="721">K349*K350</f>
        <v>16.282240000000002</v>
      </c>
      <c r="L351" s="89">
        <f t="shared" si="721"/>
        <v>15.671656000000002</v>
      </c>
      <c r="M351" s="167">
        <f t="shared" ref="M351" si="722">SUM(F351:H351)</f>
        <v>60.03899650000001</v>
      </c>
      <c r="N351" s="94">
        <f t="shared" ref="N351" si="723">SUM(F351:J351)</f>
        <v>95.480012500000015</v>
      </c>
      <c r="O351" s="1316">
        <f t="shared" si="717"/>
        <v>67.394912000000005</v>
      </c>
      <c r="S351" s="95"/>
    </row>
    <row r="352" spans="1:19">
      <c r="A352" s="162">
        <v>2.2999999999999998</v>
      </c>
      <c r="B352" s="159" t="s">
        <v>303</v>
      </c>
      <c r="C352" s="154"/>
      <c r="D352" s="154"/>
      <c r="E352" s="89"/>
      <c r="F352" s="89"/>
      <c r="G352" s="89"/>
      <c r="H352" s="89"/>
      <c r="I352" s="89"/>
      <c r="J352" s="89"/>
      <c r="K352" s="89"/>
      <c r="L352" s="89"/>
      <c r="M352" s="167"/>
      <c r="N352" s="94"/>
      <c r="O352" s="1316">
        <f t="shared" si="717"/>
        <v>0</v>
      </c>
      <c r="S352" s="95"/>
    </row>
    <row r="353" spans="1:19">
      <c r="A353" s="160" t="s">
        <v>358</v>
      </c>
      <c r="B353" s="291" t="s">
        <v>312</v>
      </c>
      <c r="C353" s="266"/>
      <c r="D353" s="266"/>
      <c r="E353" s="89">
        <f t="shared" ref="E353:J353" si="724">E184</f>
        <v>147</v>
      </c>
      <c r="F353" s="89">
        <f t="shared" si="724"/>
        <v>131</v>
      </c>
      <c r="G353" s="89">
        <f t="shared" si="724"/>
        <v>113</v>
      </c>
      <c r="H353" s="89">
        <f t="shared" si="724"/>
        <v>103</v>
      </c>
      <c r="I353" s="89">
        <f t="shared" si="724"/>
        <v>94</v>
      </c>
      <c r="J353" s="89">
        <f t="shared" si="724"/>
        <v>84</v>
      </c>
      <c r="K353" s="89">
        <f t="shared" ref="K353:L353" si="725">K184</f>
        <v>80</v>
      </c>
      <c r="L353" s="89">
        <f t="shared" si="725"/>
        <v>77</v>
      </c>
      <c r="M353" s="167">
        <f t="shared" ref="M353" si="726">SUM(F353:H353)</f>
        <v>347</v>
      </c>
      <c r="N353" s="94">
        <f t="shared" ref="N353" si="727">SUM(F353:J353)</f>
        <v>525</v>
      </c>
      <c r="O353" s="1316">
        <f t="shared" si="717"/>
        <v>335</v>
      </c>
      <c r="S353" s="95"/>
    </row>
    <row r="354" spans="1:19">
      <c r="A354" s="160" t="s">
        <v>359</v>
      </c>
      <c r="B354" s="291" t="s">
        <v>323</v>
      </c>
      <c r="C354" s="266"/>
      <c r="D354" s="266"/>
      <c r="E354" s="279">
        <v>1</v>
      </c>
      <c r="F354" s="279">
        <f>E354</f>
        <v>1</v>
      </c>
      <c r="G354" s="279">
        <f t="shared" ref="G354:J354" si="728">F354</f>
        <v>1</v>
      </c>
      <c r="H354" s="279">
        <f t="shared" si="728"/>
        <v>1</v>
      </c>
      <c r="I354" s="279">
        <f t="shared" si="728"/>
        <v>1</v>
      </c>
      <c r="J354" s="279">
        <f t="shared" si="728"/>
        <v>1</v>
      </c>
      <c r="K354" s="279">
        <f t="shared" ref="K354" si="729">J354</f>
        <v>1</v>
      </c>
      <c r="L354" s="279">
        <f t="shared" ref="L354" si="730">K354</f>
        <v>1</v>
      </c>
      <c r="M354" s="167"/>
      <c r="N354" s="94"/>
      <c r="O354" s="1316"/>
      <c r="S354" s="95"/>
    </row>
    <row r="355" spans="1:19">
      <c r="A355" s="160" t="s">
        <v>360</v>
      </c>
      <c r="B355" s="291" t="s">
        <v>325</v>
      </c>
      <c r="C355" s="154"/>
      <c r="D355" s="154"/>
      <c r="E355" s="89">
        <f>E353*E354</f>
        <v>147</v>
      </c>
      <c r="F355" s="89">
        <f t="shared" ref="F355" si="731">F353*F354</f>
        <v>131</v>
      </c>
      <c r="G355" s="89">
        <f t="shared" ref="G355" si="732">G353*G354</f>
        <v>113</v>
      </c>
      <c r="H355" s="89">
        <f t="shared" ref="H355" si="733">H353*H354</f>
        <v>103</v>
      </c>
      <c r="I355" s="89">
        <f t="shared" ref="I355" si="734">I353*I354</f>
        <v>94</v>
      </c>
      <c r="J355" s="89">
        <f t="shared" ref="J355:L355" si="735">J353*J354</f>
        <v>84</v>
      </c>
      <c r="K355" s="89">
        <f t="shared" si="735"/>
        <v>80</v>
      </c>
      <c r="L355" s="89">
        <f t="shared" si="735"/>
        <v>77</v>
      </c>
      <c r="M355" s="167">
        <f t="shared" ref="M355" si="736">SUM(F355:H355)</f>
        <v>347</v>
      </c>
      <c r="N355" s="94">
        <f t="shared" ref="N355" si="737">SUM(F355:J355)</f>
        <v>525</v>
      </c>
      <c r="O355" s="1316">
        <f t="shared" si="717"/>
        <v>335</v>
      </c>
      <c r="S355" s="95"/>
    </row>
    <row r="356" spans="1:19">
      <c r="A356" s="160" t="s">
        <v>361</v>
      </c>
      <c r="B356" s="291" t="s">
        <v>305</v>
      </c>
      <c r="C356" s="266"/>
      <c r="D356" s="154"/>
      <c r="E356" s="152">
        <f>E220</f>
        <v>0.75</v>
      </c>
      <c r="F356" s="152">
        <f t="shared" ref="F356:J356" si="738">F220</f>
        <v>0.8</v>
      </c>
      <c r="G356" s="152">
        <f t="shared" si="738"/>
        <v>0.85</v>
      </c>
      <c r="H356" s="152">
        <f t="shared" si="738"/>
        <v>0.9</v>
      </c>
      <c r="I356" s="152">
        <f t="shared" si="738"/>
        <v>0.89999999999999991</v>
      </c>
      <c r="J356" s="152">
        <f t="shared" si="738"/>
        <v>0.9</v>
      </c>
      <c r="K356" s="152">
        <f t="shared" ref="K356:L356" si="739">K220</f>
        <v>0.9</v>
      </c>
      <c r="L356" s="152">
        <f t="shared" si="739"/>
        <v>0.89999999999999991</v>
      </c>
      <c r="M356" s="167"/>
      <c r="N356" s="94"/>
      <c r="O356" s="1316"/>
      <c r="S356" s="95"/>
    </row>
    <row r="357" spans="1:19">
      <c r="A357" s="160" t="s">
        <v>362</v>
      </c>
      <c r="B357" s="291" t="s">
        <v>326</v>
      </c>
      <c r="C357" s="266"/>
      <c r="D357" s="154"/>
      <c r="E357" s="89">
        <f>E355*E356</f>
        <v>110.25</v>
      </c>
      <c r="F357" s="89">
        <f t="shared" ref="F357:J357" si="740">F355*F356</f>
        <v>104.80000000000001</v>
      </c>
      <c r="G357" s="89">
        <f t="shared" si="740"/>
        <v>96.05</v>
      </c>
      <c r="H357" s="89">
        <f t="shared" si="740"/>
        <v>92.7</v>
      </c>
      <c r="I357" s="89">
        <f t="shared" si="740"/>
        <v>84.6</v>
      </c>
      <c r="J357" s="89">
        <f t="shared" si="740"/>
        <v>75.600000000000009</v>
      </c>
      <c r="K357" s="89">
        <f t="shared" ref="K357:L357" si="741">K355*K356</f>
        <v>72</v>
      </c>
      <c r="L357" s="89">
        <f t="shared" si="741"/>
        <v>69.3</v>
      </c>
      <c r="M357" s="167">
        <f t="shared" ref="M357" si="742">SUM(F357:H357)</f>
        <v>293.55</v>
      </c>
      <c r="N357" s="94">
        <f t="shared" ref="N357" si="743">SUM(F357:J357)</f>
        <v>453.75</v>
      </c>
      <c r="O357" s="1316">
        <f t="shared" si="717"/>
        <v>301.5</v>
      </c>
      <c r="S357" s="95"/>
    </row>
    <row r="358" spans="1:19">
      <c r="A358" s="160" t="s">
        <v>363</v>
      </c>
      <c r="B358" s="293" t="s">
        <v>367</v>
      </c>
      <c r="C358" s="154"/>
      <c r="D358" s="154"/>
      <c r="E358" s="294">
        <v>2.5</v>
      </c>
      <c r="F358" s="294">
        <f>E358</f>
        <v>2.5</v>
      </c>
      <c r="G358" s="294">
        <f t="shared" ref="G358:J358" si="744">F358</f>
        <v>2.5</v>
      </c>
      <c r="H358" s="294">
        <f t="shared" si="744"/>
        <v>2.5</v>
      </c>
      <c r="I358" s="294">
        <f t="shared" si="744"/>
        <v>2.5</v>
      </c>
      <c r="J358" s="294">
        <f t="shared" si="744"/>
        <v>2.5</v>
      </c>
      <c r="K358" s="294">
        <f t="shared" ref="K358" si="745">J358</f>
        <v>2.5</v>
      </c>
      <c r="L358" s="294">
        <f t="shared" ref="L358" si="746">K358</f>
        <v>2.5</v>
      </c>
      <c r="M358" s="167"/>
      <c r="N358" s="94"/>
      <c r="O358" s="1316"/>
      <c r="S358" s="95"/>
    </row>
    <row r="359" spans="1:19">
      <c r="A359" s="160" t="s">
        <v>364</v>
      </c>
      <c r="B359" s="291" t="s">
        <v>308</v>
      </c>
      <c r="C359" s="266"/>
      <c r="D359" s="266"/>
      <c r="E359" s="89">
        <f>E357*E358</f>
        <v>275.625</v>
      </c>
      <c r="F359" s="89">
        <f t="shared" ref="F359" si="747">F357*F358</f>
        <v>262</v>
      </c>
      <c r="G359" s="89">
        <f t="shared" ref="G359" si="748">G357*G358</f>
        <v>240.125</v>
      </c>
      <c r="H359" s="89">
        <f t="shared" ref="H359" si="749">H357*H358</f>
        <v>231.75</v>
      </c>
      <c r="I359" s="89">
        <f t="shared" ref="I359" si="750">I357*I358</f>
        <v>211.5</v>
      </c>
      <c r="J359" s="89">
        <f t="shared" ref="J359:L359" si="751">J357*J358</f>
        <v>189.00000000000003</v>
      </c>
      <c r="K359" s="89">
        <f t="shared" si="751"/>
        <v>180</v>
      </c>
      <c r="L359" s="89">
        <f t="shared" si="751"/>
        <v>173.25</v>
      </c>
      <c r="M359" s="167">
        <f t="shared" ref="M359" si="752">SUM(F359:H359)</f>
        <v>733.875</v>
      </c>
      <c r="N359" s="94">
        <f t="shared" ref="N359" si="753">SUM(F359:J359)</f>
        <v>1134.375</v>
      </c>
      <c r="O359" s="1316">
        <f t="shared" si="717"/>
        <v>753.75</v>
      </c>
      <c r="S359" s="95"/>
    </row>
    <row r="360" spans="1:19">
      <c r="A360" s="160" t="s">
        <v>365</v>
      </c>
      <c r="B360" s="291" t="s">
        <v>828</v>
      </c>
      <c r="C360" s="266"/>
      <c r="D360" s="266"/>
      <c r="E360" s="287">
        <f t="shared" ref="E360:J360" si="754">E291</f>
        <v>1</v>
      </c>
      <c r="F360" s="287">
        <f t="shared" si="754"/>
        <v>1</v>
      </c>
      <c r="G360" s="287">
        <f t="shared" si="754"/>
        <v>1</v>
      </c>
      <c r="H360" s="287">
        <f t="shared" si="754"/>
        <v>1</v>
      </c>
      <c r="I360" s="287">
        <f t="shared" si="754"/>
        <v>1</v>
      </c>
      <c r="J360" s="287">
        <f t="shared" si="754"/>
        <v>1</v>
      </c>
      <c r="K360" s="287">
        <f t="shared" ref="K360:L360" si="755">K291</f>
        <v>1</v>
      </c>
      <c r="L360" s="287">
        <f t="shared" si="755"/>
        <v>1</v>
      </c>
      <c r="M360" s="167"/>
      <c r="N360" s="94"/>
      <c r="O360" s="1316"/>
      <c r="S360" s="95"/>
    </row>
    <row r="361" spans="1:19">
      <c r="A361" s="160" t="s">
        <v>366</v>
      </c>
      <c r="B361" s="291" t="s">
        <v>309</v>
      </c>
      <c r="C361" s="154"/>
      <c r="D361" s="154"/>
      <c r="E361" s="89">
        <f>E359*E360</f>
        <v>275.625</v>
      </c>
      <c r="F361" s="89">
        <f t="shared" ref="F361:J361" si="756">F359*F360</f>
        <v>262</v>
      </c>
      <c r="G361" s="89">
        <f t="shared" si="756"/>
        <v>240.125</v>
      </c>
      <c r="H361" s="89">
        <f t="shared" si="756"/>
        <v>231.75</v>
      </c>
      <c r="I361" s="89">
        <f t="shared" si="756"/>
        <v>211.5</v>
      </c>
      <c r="J361" s="89">
        <f t="shared" si="756"/>
        <v>189.00000000000003</v>
      </c>
      <c r="K361" s="89">
        <f t="shared" ref="K361:L361" si="757">K359*K360</f>
        <v>180</v>
      </c>
      <c r="L361" s="89">
        <f t="shared" si="757"/>
        <v>173.25</v>
      </c>
      <c r="M361" s="167">
        <f t="shared" ref="M361" si="758">SUM(F361:H361)</f>
        <v>733.875</v>
      </c>
      <c r="N361" s="94">
        <f t="shared" ref="N361" si="759">SUM(F361:J361)</f>
        <v>1134.375</v>
      </c>
      <c r="O361" s="1316">
        <f t="shared" si="717"/>
        <v>753.75</v>
      </c>
      <c r="S361" s="95"/>
    </row>
    <row r="362" spans="1:19">
      <c r="A362" s="162">
        <v>2.4</v>
      </c>
      <c r="B362" s="159" t="s">
        <v>460</v>
      </c>
      <c r="C362" s="154"/>
      <c r="D362" s="154"/>
      <c r="E362" s="89"/>
      <c r="F362" s="89"/>
      <c r="G362" s="89"/>
      <c r="H362" s="89"/>
      <c r="I362" s="89"/>
      <c r="J362" s="89"/>
      <c r="K362" s="89"/>
      <c r="L362" s="89"/>
      <c r="M362" s="167"/>
      <c r="N362" s="94"/>
      <c r="O362" s="1316">
        <f t="shared" si="717"/>
        <v>0</v>
      </c>
      <c r="S362" s="95"/>
    </row>
    <row r="363" spans="1:19">
      <c r="A363" s="160" t="s">
        <v>519</v>
      </c>
      <c r="B363" s="291" t="s">
        <v>312</v>
      </c>
      <c r="C363" s="266"/>
      <c r="D363" s="266"/>
      <c r="E363" s="89">
        <f t="shared" ref="E363:J363" si="760">E184</f>
        <v>147</v>
      </c>
      <c r="F363" s="89">
        <f t="shared" si="760"/>
        <v>131</v>
      </c>
      <c r="G363" s="89">
        <f t="shared" si="760"/>
        <v>113</v>
      </c>
      <c r="H363" s="89">
        <f t="shared" si="760"/>
        <v>103</v>
      </c>
      <c r="I363" s="89">
        <f t="shared" si="760"/>
        <v>94</v>
      </c>
      <c r="J363" s="89">
        <f t="shared" si="760"/>
        <v>84</v>
      </c>
      <c r="K363" s="89">
        <f t="shared" ref="K363:L363" si="761">K184</f>
        <v>80</v>
      </c>
      <c r="L363" s="89">
        <f t="shared" si="761"/>
        <v>77</v>
      </c>
      <c r="M363" s="167">
        <f t="shared" ref="M363" si="762">SUM(F363:H363)</f>
        <v>347</v>
      </c>
      <c r="N363" s="94">
        <f t="shared" ref="N363" si="763">SUM(F363:J363)</f>
        <v>525</v>
      </c>
      <c r="O363" s="1316">
        <f t="shared" si="717"/>
        <v>335</v>
      </c>
      <c r="S363" s="95"/>
    </row>
    <row r="364" spans="1:19">
      <c r="A364" s="160" t="s">
        <v>520</v>
      </c>
      <c r="B364" s="291" t="s">
        <v>481</v>
      </c>
      <c r="C364" s="266"/>
      <c r="D364" s="266"/>
      <c r="E364" s="152">
        <v>0.3</v>
      </c>
      <c r="F364" s="152">
        <f>E364</f>
        <v>0.3</v>
      </c>
      <c r="G364" s="152">
        <f t="shared" ref="G364:J364" si="764">F364</f>
        <v>0.3</v>
      </c>
      <c r="H364" s="152">
        <f t="shared" si="764"/>
        <v>0.3</v>
      </c>
      <c r="I364" s="152">
        <f t="shared" si="764"/>
        <v>0.3</v>
      </c>
      <c r="J364" s="152">
        <f t="shared" si="764"/>
        <v>0.3</v>
      </c>
      <c r="K364" s="152">
        <f t="shared" ref="K364" si="765">J364</f>
        <v>0.3</v>
      </c>
      <c r="L364" s="152">
        <f t="shared" ref="L364" si="766">K364</f>
        <v>0.3</v>
      </c>
      <c r="M364" s="167"/>
      <c r="N364" s="94"/>
      <c r="O364" s="1316"/>
      <c r="S364" s="95"/>
    </row>
    <row r="365" spans="1:19">
      <c r="A365" s="160" t="s">
        <v>521</v>
      </c>
      <c r="B365" s="291" t="s">
        <v>482</v>
      </c>
      <c r="C365" s="154"/>
      <c r="D365" s="154"/>
      <c r="E365" s="89">
        <f>E363*E364</f>
        <v>44.1</v>
      </c>
      <c r="F365" s="89">
        <f t="shared" ref="F365:J365" si="767">F363*F364</f>
        <v>39.299999999999997</v>
      </c>
      <c r="G365" s="89">
        <f t="shared" si="767"/>
        <v>33.9</v>
      </c>
      <c r="H365" s="89">
        <f t="shared" si="767"/>
        <v>30.9</v>
      </c>
      <c r="I365" s="89">
        <f t="shared" si="767"/>
        <v>28.2</v>
      </c>
      <c r="J365" s="89">
        <f t="shared" si="767"/>
        <v>25.2</v>
      </c>
      <c r="K365" s="89">
        <f t="shared" ref="K365:L365" si="768">K363*K364</f>
        <v>24</v>
      </c>
      <c r="L365" s="89">
        <f t="shared" si="768"/>
        <v>23.099999999999998</v>
      </c>
      <c r="M365" s="167">
        <f t="shared" ref="M365" si="769">SUM(F365:H365)</f>
        <v>104.1</v>
      </c>
      <c r="N365" s="94">
        <f t="shared" ref="N365" si="770">SUM(F365:J365)</f>
        <v>157.49999999999997</v>
      </c>
      <c r="O365" s="1316">
        <f t="shared" si="717"/>
        <v>100.5</v>
      </c>
      <c r="S365" s="95"/>
    </row>
    <row r="366" spans="1:19">
      <c r="A366" s="160" t="s">
        <v>522</v>
      </c>
      <c r="B366" s="291" t="s">
        <v>462</v>
      </c>
      <c r="C366" s="266"/>
      <c r="D366" s="154"/>
      <c r="E366" s="152">
        <f t="shared" ref="E366:J366" si="771">E229</f>
        <v>0.75</v>
      </c>
      <c r="F366" s="152">
        <f t="shared" si="771"/>
        <v>0.8</v>
      </c>
      <c r="G366" s="152">
        <f t="shared" si="771"/>
        <v>0.85</v>
      </c>
      <c r="H366" s="152">
        <f t="shared" si="771"/>
        <v>0.9</v>
      </c>
      <c r="I366" s="152">
        <f t="shared" si="771"/>
        <v>0.89999999999999991</v>
      </c>
      <c r="J366" s="152">
        <f t="shared" si="771"/>
        <v>0.9</v>
      </c>
      <c r="K366" s="152">
        <f t="shared" ref="K366:L366" si="772">K229</f>
        <v>0.9</v>
      </c>
      <c r="L366" s="152">
        <f t="shared" si="772"/>
        <v>0.89999999999999991</v>
      </c>
      <c r="M366" s="167"/>
      <c r="N366" s="94"/>
      <c r="O366" s="1316"/>
      <c r="S366" s="95"/>
    </row>
    <row r="367" spans="1:19">
      <c r="A367" s="160" t="s">
        <v>523</v>
      </c>
      <c r="B367" s="291" t="s">
        <v>480</v>
      </c>
      <c r="C367" s="266"/>
      <c r="D367" s="154"/>
      <c r="E367" s="89">
        <f>E365*E366</f>
        <v>33.075000000000003</v>
      </c>
      <c r="F367" s="89">
        <f t="shared" ref="F367:J367" si="773">F365*F366</f>
        <v>31.439999999999998</v>
      </c>
      <c r="G367" s="89">
        <f t="shared" si="773"/>
        <v>28.814999999999998</v>
      </c>
      <c r="H367" s="89">
        <f t="shared" si="773"/>
        <v>27.81</v>
      </c>
      <c r="I367" s="89">
        <f t="shared" si="773"/>
        <v>25.379999999999995</v>
      </c>
      <c r="J367" s="89">
        <f t="shared" si="773"/>
        <v>22.68</v>
      </c>
      <c r="K367" s="89">
        <f t="shared" ref="K367:L367" si="774">K365*K366</f>
        <v>21.6</v>
      </c>
      <c r="L367" s="89">
        <f t="shared" si="774"/>
        <v>20.789999999999996</v>
      </c>
      <c r="M367" s="167">
        <f t="shared" ref="M367" si="775">SUM(F367:H367)</f>
        <v>88.064999999999998</v>
      </c>
      <c r="N367" s="94">
        <f t="shared" ref="N367" si="776">SUM(F367:J367)</f>
        <v>136.125</v>
      </c>
      <c r="O367" s="1316">
        <f t="shared" si="717"/>
        <v>90.449999999999989</v>
      </c>
      <c r="S367" s="95"/>
    </row>
    <row r="368" spans="1:19">
      <c r="A368" s="160" t="s">
        <v>524</v>
      </c>
      <c r="B368" s="293" t="s">
        <v>464</v>
      </c>
      <c r="C368" s="154"/>
      <c r="D368" s="154"/>
      <c r="E368" s="152">
        <f t="shared" ref="E368:J368" si="777">E231</f>
        <v>0.02</v>
      </c>
      <c r="F368" s="152">
        <f t="shared" si="777"/>
        <v>0.02</v>
      </c>
      <c r="G368" s="152">
        <f t="shared" si="777"/>
        <v>0.02</v>
      </c>
      <c r="H368" s="152">
        <f t="shared" si="777"/>
        <v>0.02</v>
      </c>
      <c r="I368" s="152">
        <f t="shared" si="777"/>
        <v>0.02</v>
      </c>
      <c r="J368" s="152">
        <f t="shared" si="777"/>
        <v>0.02</v>
      </c>
      <c r="K368" s="152">
        <f t="shared" ref="K368:L368" si="778">K231</f>
        <v>0.02</v>
      </c>
      <c r="L368" s="152">
        <f t="shared" si="778"/>
        <v>0.02</v>
      </c>
      <c r="M368" s="167"/>
      <c r="N368" s="94"/>
      <c r="O368" s="1316"/>
      <c r="S368" s="95"/>
    </row>
    <row r="369" spans="1:19">
      <c r="A369" s="160" t="s">
        <v>525</v>
      </c>
      <c r="B369" s="291" t="s">
        <v>465</v>
      </c>
      <c r="C369" s="266"/>
      <c r="D369" s="266"/>
      <c r="E369" s="89">
        <f>E367+E367*E368</f>
        <v>33.736499999999999</v>
      </c>
      <c r="F369" s="89">
        <f t="shared" ref="F369:J369" si="779">F367+F367*F368</f>
        <v>32.068799999999996</v>
      </c>
      <c r="G369" s="89">
        <f t="shared" si="779"/>
        <v>29.391299999999998</v>
      </c>
      <c r="H369" s="89">
        <f t="shared" si="779"/>
        <v>28.366199999999999</v>
      </c>
      <c r="I369" s="89">
        <f t="shared" si="779"/>
        <v>25.887599999999996</v>
      </c>
      <c r="J369" s="89">
        <f t="shared" si="779"/>
        <v>23.133600000000001</v>
      </c>
      <c r="K369" s="89">
        <f t="shared" ref="K369:L369" si="780">K367+K367*K368</f>
        <v>22.032</v>
      </c>
      <c r="L369" s="89">
        <f t="shared" si="780"/>
        <v>21.205799999999996</v>
      </c>
      <c r="M369" s="167">
        <f t="shared" ref="M369" si="781">SUM(F369:H369)</f>
        <v>89.826300000000003</v>
      </c>
      <c r="N369" s="94">
        <f t="shared" ref="N369" si="782">SUM(F369:J369)</f>
        <v>138.8475</v>
      </c>
      <c r="O369" s="1316">
        <f t="shared" si="717"/>
        <v>92.258999999999986</v>
      </c>
      <c r="S369" s="95"/>
    </row>
    <row r="370" spans="1:19">
      <c r="A370" s="160" t="s">
        <v>526</v>
      </c>
      <c r="B370" s="291" t="s">
        <v>820</v>
      </c>
      <c r="C370" s="266"/>
      <c r="D370" s="266"/>
      <c r="E370" s="287">
        <f>E233</f>
        <v>1</v>
      </c>
      <c r="F370" s="287">
        <f>E370</f>
        <v>1</v>
      </c>
      <c r="G370" s="287">
        <f>F370</f>
        <v>1</v>
      </c>
      <c r="H370" s="287">
        <f t="shared" ref="H370:J370" si="783">G370</f>
        <v>1</v>
      </c>
      <c r="I370" s="287">
        <f t="shared" si="783"/>
        <v>1</v>
      </c>
      <c r="J370" s="287">
        <f t="shared" si="783"/>
        <v>1</v>
      </c>
      <c r="K370" s="287">
        <f t="shared" ref="K370" si="784">J370</f>
        <v>1</v>
      </c>
      <c r="L370" s="287">
        <f t="shared" ref="L370" si="785">K370</f>
        <v>1</v>
      </c>
      <c r="M370" s="167"/>
      <c r="N370" s="94"/>
      <c r="O370" s="1316"/>
      <c r="S370" s="95"/>
    </row>
    <row r="371" spans="1:19">
      <c r="A371" s="160" t="s">
        <v>527</v>
      </c>
      <c r="B371" s="291" t="s">
        <v>821</v>
      </c>
      <c r="C371" s="154"/>
      <c r="D371" s="154"/>
      <c r="E371" s="89">
        <f>E369*E370</f>
        <v>33.736499999999999</v>
      </c>
      <c r="F371" s="89">
        <f t="shared" ref="F371:J371" si="786">F369*F370</f>
        <v>32.068799999999996</v>
      </c>
      <c r="G371" s="89">
        <f t="shared" si="786"/>
        <v>29.391299999999998</v>
      </c>
      <c r="H371" s="89">
        <f t="shared" si="786"/>
        <v>28.366199999999999</v>
      </c>
      <c r="I371" s="89">
        <f t="shared" si="786"/>
        <v>25.887599999999996</v>
      </c>
      <c r="J371" s="89">
        <f t="shared" si="786"/>
        <v>23.133600000000001</v>
      </c>
      <c r="K371" s="89">
        <f t="shared" ref="K371:L371" si="787">K369*K370</f>
        <v>22.032</v>
      </c>
      <c r="L371" s="89">
        <f t="shared" si="787"/>
        <v>21.205799999999996</v>
      </c>
      <c r="M371" s="167">
        <f t="shared" ref="M371" si="788">SUM(F371:H371)</f>
        <v>89.826300000000003</v>
      </c>
      <c r="N371" s="94">
        <f t="shared" ref="N371" si="789">SUM(F371:J371)</f>
        <v>138.8475</v>
      </c>
      <c r="O371" s="1316">
        <f t="shared" si="717"/>
        <v>92.258999999999986</v>
      </c>
      <c r="S371" s="95"/>
    </row>
    <row r="372" spans="1:19">
      <c r="A372" s="162">
        <v>2.5</v>
      </c>
      <c r="B372" s="161" t="s">
        <v>459</v>
      </c>
      <c r="C372" s="154"/>
      <c r="D372" s="154"/>
      <c r="E372" s="89"/>
      <c r="F372" s="89"/>
      <c r="G372" s="89"/>
      <c r="H372" s="89"/>
      <c r="I372" s="89"/>
      <c r="J372" s="89"/>
      <c r="K372" s="89"/>
      <c r="L372" s="89"/>
      <c r="M372" s="167"/>
      <c r="N372" s="94"/>
      <c r="O372" s="1316">
        <f t="shared" si="717"/>
        <v>0</v>
      </c>
      <c r="S372" s="95"/>
    </row>
    <row r="373" spans="1:19">
      <c r="A373" s="160" t="s">
        <v>528</v>
      </c>
      <c r="B373" s="291" t="s">
        <v>312</v>
      </c>
      <c r="C373" s="266"/>
      <c r="D373" s="266"/>
      <c r="E373" s="89">
        <f t="shared" ref="E373:J373" si="790">E184</f>
        <v>147</v>
      </c>
      <c r="F373" s="89">
        <f t="shared" si="790"/>
        <v>131</v>
      </c>
      <c r="G373" s="89">
        <f t="shared" si="790"/>
        <v>113</v>
      </c>
      <c r="H373" s="89">
        <f t="shared" si="790"/>
        <v>103</v>
      </c>
      <c r="I373" s="89">
        <f t="shared" si="790"/>
        <v>94</v>
      </c>
      <c r="J373" s="89">
        <f t="shared" si="790"/>
        <v>84</v>
      </c>
      <c r="K373" s="89">
        <f t="shared" ref="K373:L373" si="791">K184</f>
        <v>80</v>
      </c>
      <c r="L373" s="89">
        <f t="shared" si="791"/>
        <v>77</v>
      </c>
      <c r="M373" s="167">
        <f t="shared" ref="M373" si="792">SUM(F373:H373)</f>
        <v>347</v>
      </c>
      <c r="N373" s="94">
        <f t="shared" ref="N373" si="793">SUM(F373:J373)</f>
        <v>525</v>
      </c>
      <c r="O373" s="1316">
        <f t="shared" si="717"/>
        <v>335</v>
      </c>
      <c r="S373" s="95"/>
    </row>
    <row r="374" spans="1:19">
      <c r="A374" s="160" t="s">
        <v>529</v>
      </c>
      <c r="B374" s="291" t="s">
        <v>483</v>
      </c>
      <c r="C374" s="266"/>
      <c r="D374" s="266"/>
      <c r="E374" s="152">
        <v>0.25</v>
      </c>
      <c r="F374" s="152">
        <f>E374</f>
        <v>0.25</v>
      </c>
      <c r="G374" s="152">
        <f t="shared" ref="G374:J374" si="794">F374</f>
        <v>0.25</v>
      </c>
      <c r="H374" s="152">
        <f t="shared" si="794"/>
        <v>0.25</v>
      </c>
      <c r="I374" s="152">
        <f t="shared" si="794"/>
        <v>0.25</v>
      </c>
      <c r="J374" s="152">
        <f t="shared" si="794"/>
        <v>0.25</v>
      </c>
      <c r="K374" s="152">
        <f t="shared" ref="K374" si="795">J374</f>
        <v>0.25</v>
      </c>
      <c r="L374" s="152">
        <f t="shared" ref="L374" si="796">K374</f>
        <v>0.25</v>
      </c>
      <c r="M374" s="167"/>
      <c r="N374" s="94"/>
      <c r="O374" s="1316"/>
      <c r="S374" s="95"/>
    </row>
    <row r="375" spans="1:19">
      <c r="A375" s="160" t="s">
        <v>530</v>
      </c>
      <c r="B375" s="291" t="s">
        <v>484</v>
      </c>
      <c r="C375" s="154"/>
      <c r="D375" s="154"/>
      <c r="E375" s="89">
        <f>E373*E374</f>
        <v>36.75</v>
      </c>
      <c r="F375" s="89">
        <f t="shared" ref="F375:J375" si="797">F373*F374</f>
        <v>32.75</v>
      </c>
      <c r="G375" s="89">
        <f t="shared" si="797"/>
        <v>28.25</v>
      </c>
      <c r="H375" s="89">
        <f t="shared" si="797"/>
        <v>25.75</v>
      </c>
      <c r="I375" s="89">
        <f t="shared" si="797"/>
        <v>23.5</v>
      </c>
      <c r="J375" s="89">
        <f t="shared" si="797"/>
        <v>21</v>
      </c>
      <c r="K375" s="89">
        <f t="shared" ref="K375:L375" si="798">K373*K374</f>
        <v>20</v>
      </c>
      <c r="L375" s="89">
        <f t="shared" si="798"/>
        <v>19.25</v>
      </c>
      <c r="M375" s="167">
        <f t="shared" ref="M375" si="799">SUM(F375:H375)</f>
        <v>86.75</v>
      </c>
      <c r="N375" s="94">
        <f t="shared" ref="N375" si="800">SUM(F375:J375)</f>
        <v>131.25</v>
      </c>
      <c r="O375" s="1316">
        <f t="shared" si="717"/>
        <v>83.75</v>
      </c>
      <c r="S375" s="95"/>
    </row>
    <row r="376" spans="1:19">
      <c r="A376" s="160" t="s">
        <v>531</v>
      </c>
      <c r="B376" s="291" t="s">
        <v>455</v>
      </c>
      <c r="C376" s="266"/>
      <c r="D376" s="154"/>
      <c r="E376" s="152">
        <f t="shared" ref="E376:J376" si="801">E238</f>
        <v>0.7</v>
      </c>
      <c r="F376" s="152">
        <f t="shared" si="801"/>
        <v>0.8</v>
      </c>
      <c r="G376" s="152">
        <f t="shared" si="801"/>
        <v>0.85</v>
      </c>
      <c r="H376" s="152">
        <f t="shared" si="801"/>
        <v>0.95</v>
      </c>
      <c r="I376" s="152">
        <f t="shared" si="801"/>
        <v>0.95</v>
      </c>
      <c r="J376" s="152">
        <f t="shared" si="801"/>
        <v>0.95</v>
      </c>
      <c r="K376" s="152">
        <f t="shared" ref="K376:L376" si="802">K238</f>
        <v>0.95</v>
      </c>
      <c r="L376" s="152">
        <f t="shared" si="802"/>
        <v>0.95</v>
      </c>
      <c r="M376" s="167"/>
      <c r="N376" s="94"/>
      <c r="O376" s="1316"/>
      <c r="S376" s="95"/>
    </row>
    <row r="377" spans="1:19">
      <c r="A377" s="160" t="s">
        <v>532</v>
      </c>
      <c r="B377" s="291" t="s">
        <v>485</v>
      </c>
      <c r="C377" s="266"/>
      <c r="D377" s="154"/>
      <c r="E377" s="89">
        <f>E375*E376</f>
        <v>25.724999999999998</v>
      </c>
      <c r="F377" s="89">
        <f t="shared" ref="F377:J377" si="803">F375*F376</f>
        <v>26.200000000000003</v>
      </c>
      <c r="G377" s="89">
        <f t="shared" si="803"/>
        <v>24.012499999999999</v>
      </c>
      <c r="H377" s="89">
        <f t="shared" si="803"/>
        <v>24.462499999999999</v>
      </c>
      <c r="I377" s="89">
        <f t="shared" si="803"/>
        <v>22.324999999999999</v>
      </c>
      <c r="J377" s="89">
        <f t="shared" si="803"/>
        <v>19.95</v>
      </c>
      <c r="K377" s="89">
        <f t="shared" ref="K377:L377" si="804">K375*K376</f>
        <v>19</v>
      </c>
      <c r="L377" s="89">
        <f t="shared" si="804"/>
        <v>18.287499999999998</v>
      </c>
      <c r="M377" s="167">
        <f t="shared" ref="M377" si="805">SUM(F377:H377)</f>
        <v>74.675000000000011</v>
      </c>
      <c r="N377" s="94">
        <f t="shared" ref="N377" si="806">SUM(F377:J377)</f>
        <v>116.95000000000002</v>
      </c>
      <c r="O377" s="1316">
        <f t="shared" si="717"/>
        <v>79.5625</v>
      </c>
      <c r="S377" s="95"/>
    </row>
    <row r="378" spans="1:19">
      <c r="A378" s="160" t="s">
        <v>533</v>
      </c>
      <c r="B378" s="293" t="s">
        <v>457</v>
      </c>
      <c r="C378" s="154"/>
      <c r="D378" s="154"/>
      <c r="E378" s="152">
        <f t="shared" ref="E378:J378" si="807">E240</f>
        <v>0.1</v>
      </c>
      <c r="F378" s="152">
        <f t="shared" si="807"/>
        <v>0.1</v>
      </c>
      <c r="G378" s="152">
        <f t="shared" si="807"/>
        <v>0.1</v>
      </c>
      <c r="H378" s="152">
        <f t="shared" si="807"/>
        <v>0.1</v>
      </c>
      <c r="I378" s="152">
        <f t="shared" si="807"/>
        <v>0.1</v>
      </c>
      <c r="J378" s="152">
        <f t="shared" si="807"/>
        <v>0.1</v>
      </c>
      <c r="K378" s="152">
        <f t="shared" ref="K378:L378" si="808">K240</f>
        <v>0.1</v>
      </c>
      <c r="L378" s="152">
        <f t="shared" si="808"/>
        <v>0.1</v>
      </c>
      <c r="M378" s="167"/>
      <c r="N378" s="94"/>
      <c r="O378" s="1316"/>
      <c r="S378" s="95"/>
    </row>
    <row r="379" spans="1:19">
      <c r="A379" s="160" t="s">
        <v>534</v>
      </c>
      <c r="B379" s="291" t="s">
        <v>458</v>
      </c>
      <c r="C379" s="266"/>
      <c r="D379" s="266"/>
      <c r="E379" s="89">
        <f>E377+E377*E378</f>
        <v>28.297499999999999</v>
      </c>
      <c r="F379" s="89">
        <f t="shared" ref="F379:J379" si="809">F377+F377*F378</f>
        <v>28.820000000000004</v>
      </c>
      <c r="G379" s="89">
        <f t="shared" si="809"/>
        <v>26.41375</v>
      </c>
      <c r="H379" s="89">
        <f t="shared" si="809"/>
        <v>26.908749999999998</v>
      </c>
      <c r="I379" s="89">
        <f t="shared" si="809"/>
        <v>24.557499999999997</v>
      </c>
      <c r="J379" s="89">
        <f t="shared" si="809"/>
        <v>21.945</v>
      </c>
      <c r="K379" s="89">
        <f t="shared" ref="K379:L379" si="810">K377+K377*K378</f>
        <v>20.9</v>
      </c>
      <c r="L379" s="89">
        <f t="shared" si="810"/>
        <v>20.116249999999997</v>
      </c>
      <c r="M379" s="167">
        <f t="shared" ref="M379" si="811">SUM(F379:H379)</f>
        <v>82.142499999999998</v>
      </c>
      <c r="N379" s="94">
        <f t="shared" ref="N379" si="812">SUM(F379:J379)</f>
        <v>128.64499999999998</v>
      </c>
      <c r="O379" s="1316">
        <f t="shared" si="717"/>
        <v>87.518749999999997</v>
      </c>
      <c r="S379" s="95"/>
    </row>
    <row r="380" spans="1:19">
      <c r="A380" s="160" t="s">
        <v>535</v>
      </c>
      <c r="B380" s="291" t="s">
        <v>822</v>
      </c>
      <c r="C380" s="266"/>
      <c r="D380" s="266"/>
      <c r="E380" s="287">
        <f t="shared" ref="E380:J380" si="813">E242</f>
        <v>1</v>
      </c>
      <c r="F380" s="287">
        <f t="shared" si="813"/>
        <v>1</v>
      </c>
      <c r="G380" s="287">
        <f t="shared" si="813"/>
        <v>1</v>
      </c>
      <c r="H380" s="287">
        <f t="shared" si="813"/>
        <v>1</v>
      </c>
      <c r="I380" s="287">
        <f t="shared" si="813"/>
        <v>1</v>
      </c>
      <c r="J380" s="287">
        <f t="shared" si="813"/>
        <v>1</v>
      </c>
      <c r="K380" s="287">
        <f t="shared" ref="K380:L380" si="814">K242</f>
        <v>1</v>
      </c>
      <c r="L380" s="287">
        <f t="shared" si="814"/>
        <v>1</v>
      </c>
      <c r="M380" s="167"/>
      <c r="N380" s="94"/>
      <c r="O380" s="1316"/>
      <c r="S380" s="95"/>
    </row>
    <row r="381" spans="1:19">
      <c r="A381" s="160" t="s">
        <v>536</v>
      </c>
      <c r="B381" s="291" t="s">
        <v>823</v>
      </c>
      <c r="C381" s="154"/>
      <c r="D381" s="154"/>
      <c r="E381" s="89">
        <f>E379*E380</f>
        <v>28.297499999999999</v>
      </c>
      <c r="F381" s="89">
        <f t="shared" ref="F381:J381" si="815">F379*F380</f>
        <v>28.820000000000004</v>
      </c>
      <c r="G381" s="89">
        <f t="shared" si="815"/>
        <v>26.41375</v>
      </c>
      <c r="H381" s="89">
        <f t="shared" si="815"/>
        <v>26.908749999999998</v>
      </c>
      <c r="I381" s="89">
        <f t="shared" si="815"/>
        <v>24.557499999999997</v>
      </c>
      <c r="J381" s="89">
        <f t="shared" si="815"/>
        <v>21.945</v>
      </c>
      <c r="K381" s="89">
        <f t="shared" ref="K381:L381" si="816">K379*K380</f>
        <v>20.9</v>
      </c>
      <c r="L381" s="89">
        <f t="shared" si="816"/>
        <v>20.116249999999997</v>
      </c>
      <c r="M381" s="167">
        <f t="shared" ref="M381" si="817">SUM(F381:H381)</f>
        <v>82.142499999999998</v>
      </c>
      <c r="N381" s="94">
        <f t="shared" ref="N381" si="818">SUM(F381:J381)</f>
        <v>128.64499999999998</v>
      </c>
      <c r="O381" s="1316">
        <f t="shared" si="717"/>
        <v>87.518749999999997</v>
      </c>
      <c r="S381" s="95"/>
    </row>
    <row r="382" spans="1:19">
      <c r="A382" s="162">
        <v>2.6</v>
      </c>
      <c r="B382" s="159" t="s">
        <v>466</v>
      </c>
      <c r="C382" s="154"/>
      <c r="D382" s="154"/>
      <c r="E382" s="89"/>
      <c r="F382" s="89"/>
      <c r="G382" s="89"/>
      <c r="H382" s="89"/>
      <c r="I382" s="89"/>
      <c r="J382" s="89"/>
      <c r="K382" s="89"/>
      <c r="L382" s="89"/>
      <c r="M382" s="167"/>
      <c r="N382" s="94"/>
      <c r="O382" s="1316">
        <f t="shared" si="717"/>
        <v>0</v>
      </c>
      <c r="S382" s="95"/>
    </row>
    <row r="383" spans="1:19">
      <c r="A383" s="160" t="s">
        <v>537</v>
      </c>
      <c r="B383" s="291" t="s">
        <v>312</v>
      </c>
      <c r="C383" s="266"/>
      <c r="D383" s="266"/>
      <c r="E383" s="89">
        <f t="shared" ref="E383:J383" si="819">E184</f>
        <v>147</v>
      </c>
      <c r="F383" s="89">
        <f t="shared" si="819"/>
        <v>131</v>
      </c>
      <c r="G383" s="89">
        <f t="shared" si="819"/>
        <v>113</v>
      </c>
      <c r="H383" s="89">
        <f t="shared" si="819"/>
        <v>103</v>
      </c>
      <c r="I383" s="89">
        <f t="shared" si="819"/>
        <v>94</v>
      </c>
      <c r="J383" s="89">
        <f t="shared" si="819"/>
        <v>84</v>
      </c>
      <c r="K383" s="89">
        <f t="shared" ref="K383:L383" si="820">K184</f>
        <v>80</v>
      </c>
      <c r="L383" s="89">
        <f t="shared" si="820"/>
        <v>77</v>
      </c>
      <c r="M383" s="167">
        <f t="shared" ref="M383" si="821">SUM(F383:H383)</f>
        <v>347</v>
      </c>
      <c r="N383" s="94">
        <f t="shared" ref="N383" si="822">SUM(F383:J383)</f>
        <v>525</v>
      </c>
      <c r="O383" s="1316">
        <f t="shared" si="717"/>
        <v>335</v>
      </c>
      <c r="S383" s="95"/>
    </row>
    <row r="384" spans="1:19">
      <c r="A384" s="160" t="s">
        <v>538</v>
      </c>
      <c r="B384" s="291" t="s">
        <v>495</v>
      </c>
      <c r="C384" s="266"/>
      <c r="D384" s="266"/>
      <c r="E384" s="152">
        <v>0.1</v>
      </c>
      <c r="F384" s="152">
        <f>E384</f>
        <v>0.1</v>
      </c>
      <c r="G384" s="152">
        <f t="shared" ref="G384:J384" si="823">F384</f>
        <v>0.1</v>
      </c>
      <c r="H384" s="152">
        <f t="shared" si="823"/>
        <v>0.1</v>
      </c>
      <c r="I384" s="152">
        <f t="shared" si="823"/>
        <v>0.1</v>
      </c>
      <c r="J384" s="152">
        <f t="shared" si="823"/>
        <v>0.1</v>
      </c>
      <c r="K384" s="152">
        <f t="shared" ref="K384" si="824">J384</f>
        <v>0.1</v>
      </c>
      <c r="L384" s="152">
        <f t="shared" ref="L384" si="825">K384</f>
        <v>0.1</v>
      </c>
      <c r="M384" s="167"/>
      <c r="N384" s="94"/>
      <c r="O384" s="1316"/>
      <c r="S384" s="95"/>
    </row>
    <row r="385" spans="1:19">
      <c r="A385" s="160" t="s">
        <v>539</v>
      </c>
      <c r="B385" s="291" t="s">
        <v>496</v>
      </c>
      <c r="C385" s="154"/>
      <c r="D385" s="154"/>
      <c r="E385" s="89">
        <f>E383*E384</f>
        <v>14.700000000000001</v>
      </c>
      <c r="F385" s="89">
        <f t="shared" ref="F385:J385" si="826">F383*F384</f>
        <v>13.100000000000001</v>
      </c>
      <c r="G385" s="89">
        <f t="shared" si="826"/>
        <v>11.3</v>
      </c>
      <c r="H385" s="89">
        <f t="shared" si="826"/>
        <v>10.3</v>
      </c>
      <c r="I385" s="89">
        <f t="shared" si="826"/>
        <v>9.4</v>
      </c>
      <c r="J385" s="89">
        <f t="shared" si="826"/>
        <v>8.4</v>
      </c>
      <c r="K385" s="89">
        <f t="shared" ref="K385:L385" si="827">K383*K384</f>
        <v>8</v>
      </c>
      <c r="L385" s="89">
        <f t="shared" si="827"/>
        <v>7.7</v>
      </c>
      <c r="M385" s="167">
        <f t="shared" ref="M385" si="828">SUM(F385:H385)</f>
        <v>34.700000000000003</v>
      </c>
      <c r="N385" s="94">
        <f t="shared" ref="N385" si="829">SUM(F385:J385)</f>
        <v>52.5</v>
      </c>
      <c r="O385" s="1316">
        <f t="shared" si="717"/>
        <v>33.5</v>
      </c>
      <c r="S385" s="95"/>
    </row>
    <row r="386" spans="1:19">
      <c r="A386" s="160" t="s">
        <v>540</v>
      </c>
      <c r="B386" s="291" t="s">
        <v>470</v>
      </c>
      <c r="C386" s="266"/>
      <c r="D386" s="154"/>
      <c r="E386" s="152">
        <f t="shared" ref="E386:J386" si="830">E247</f>
        <v>0.8</v>
      </c>
      <c r="F386" s="152">
        <f t="shared" si="830"/>
        <v>0.85</v>
      </c>
      <c r="G386" s="152">
        <f t="shared" si="830"/>
        <v>0.9</v>
      </c>
      <c r="H386" s="152">
        <f t="shared" si="830"/>
        <v>0.95</v>
      </c>
      <c r="I386" s="152">
        <f t="shared" si="830"/>
        <v>0.95</v>
      </c>
      <c r="J386" s="152">
        <f t="shared" si="830"/>
        <v>0.95</v>
      </c>
      <c r="K386" s="152">
        <f t="shared" ref="K386:L386" si="831">K247</f>
        <v>0.95</v>
      </c>
      <c r="L386" s="152">
        <f t="shared" si="831"/>
        <v>0.95</v>
      </c>
      <c r="M386" s="167"/>
      <c r="N386" s="94"/>
      <c r="O386" s="1316"/>
      <c r="S386" s="95"/>
    </row>
    <row r="387" spans="1:19">
      <c r="A387" s="160" t="s">
        <v>541</v>
      </c>
      <c r="B387" s="291" t="s">
        <v>497</v>
      </c>
      <c r="C387" s="266"/>
      <c r="D387" s="154"/>
      <c r="E387" s="89">
        <f>E385*E386</f>
        <v>11.760000000000002</v>
      </c>
      <c r="F387" s="89">
        <f t="shared" ref="F387:J387" si="832">F385*F386</f>
        <v>11.135000000000002</v>
      </c>
      <c r="G387" s="89">
        <f t="shared" si="832"/>
        <v>10.170000000000002</v>
      </c>
      <c r="H387" s="89">
        <f t="shared" si="832"/>
        <v>9.7850000000000001</v>
      </c>
      <c r="I387" s="89">
        <f t="shared" si="832"/>
        <v>8.93</v>
      </c>
      <c r="J387" s="89">
        <f t="shared" si="832"/>
        <v>7.9799999999999995</v>
      </c>
      <c r="K387" s="89">
        <f t="shared" ref="K387:L387" si="833">K385*K386</f>
        <v>7.6</v>
      </c>
      <c r="L387" s="89">
        <f t="shared" si="833"/>
        <v>7.3149999999999995</v>
      </c>
      <c r="M387" s="167">
        <f t="shared" ref="M387" si="834">SUM(F387:H387)</f>
        <v>31.090000000000003</v>
      </c>
      <c r="N387" s="94">
        <f t="shared" ref="N387" si="835">SUM(F387:J387)</f>
        <v>48</v>
      </c>
      <c r="O387" s="1316">
        <f t="shared" si="717"/>
        <v>31.824999999999996</v>
      </c>
      <c r="S387" s="95"/>
    </row>
    <row r="388" spans="1:19">
      <c r="A388" s="160" t="s">
        <v>542</v>
      </c>
      <c r="B388" s="293" t="s">
        <v>472</v>
      </c>
      <c r="C388" s="154"/>
      <c r="D388" s="154"/>
      <c r="E388" s="152">
        <f t="shared" ref="E388:J388" si="836">E249</f>
        <v>0.02</v>
      </c>
      <c r="F388" s="152">
        <f t="shared" si="836"/>
        <v>0.02</v>
      </c>
      <c r="G388" s="152">
        <f t="shared" si="836"/>
        <v>0.02</v>
      </c>
      <c r="H388" s="152">
        <f t="shared" si="836"/>
        <v>0.02</v>
      </c>
      <c r="I388" s="152">
        <f t="shared" si="836"/>
        <v>0.02</v>
      </c>
      <c r="J388" s="152">
        <f t="shared" si="836"/>
        <v>0.02</v>
      </c>
      <c r="K388" s="152">
        <f t="shared" ref="K388:L388" si="837">K249</f>
        <v>0.02</v>
      </c>
      <c r="L388" s="152">
        <f t="shared" si="837"/>
        <v>0.02</v>
      </c>
      <c r="M388" s="167"/>
      <c r="N388" s="94"/>
      <c r="O388" s="1316">
        <f t="shared" si="717"/>
        <v>0.08</v>
      </c>
      <c r="S388" s="95"/>
    </row>
    <row r="389" spans="1:19">
      <c r="A389" s="160" t="s">
        <v>543</v>
      </c>
      <c r="B389" s="291" t="s">
        <v>473</v>
      </c>
      <c r="C389" s="266"/>
      <c r="D389" s="266"/>
      <c r="E389" s="89">
        <f>E387+E387*E388</f>
        <v>11.995200000000002</v>
      </c>
      <c r="F389" s="89">
        <f t="shared" ref="F389:J389" si="838">F387+F387*F388</f>
        <v>11.357700000000001</v>
      </c>
      <c r="G389" s="89">
        <f t="shared" si="838"/>
        <v>10.373400000000002</v>
      </c>
      <c r="H389" s="89">
        <f t="shared" si="838"/>
        <v>9.9807000000000006</v>
      </c>
      <c r="I389" s="89">
        <f t="shared" si="838"/>
        <v>9.1085999999999991</v>
      </c>
      <c r="J389" s="89">
        <f t="shared" si="838"/>
        <v>8.1395999999999997</v>
      </c>
      <c r="K389" s="89">
        <f t="shared" ref="K389:L389" si="839">K387+K387*K388</f>
        <v>7.7519999999999998</v>
      </c>
      <c r="L389" s="89">
        <f t="shared" si="839"/>
        <v>7.4612999999999996</v>
      </c>
      <c r="M389" s="167">
        <f t="shared" ref="M389" si="840">SUM(F389:H389)</f>
        <v>31.711800000000004</v>
      </c>
      <c r="N389" s="94">
        <f t="shared" ref="N389" si="841">SUM(F389:J389)</f>
        <v>48.960000000000008</v>
      </c>
      <c r="O389" s="1316">
        <f t="shared" si="717"/>
        <v>32.461499999999994</v>
      </c>
      <c r="S389" s="95"/>
    </row>
    <row r="390" spans="1:19">
      <c r="A390" s="160" t="s">
        <v>544</v>
      </c>
      <c r="B390" s="291" t="s">
        <v>824</v>
      </c>
      <c r="C390" s="266"/>
      <c r="D390" s="266"/>
      <c r="E390" s="287">
        <f>E251</f>
        <v>1</v>
      </c>
      <c r="F390" s="287">
        <f>E390</f>
        <v>1</v>
      </c>
      <c r="G390" s="287">
        <f>F390</f>
        <v>1</v>
      </c>
      <c r="H390" s="287">
        <f t="shared" ref="H390:J390" si="842">G390</f>
        <v>1</v>
      </c>
      <c r="I390" s="287">
        <f t="shared" si="842"/>
        <v>1</v>
      </c>
      <c r="J390" s="287">
        <f t="shared" si="842"/>
        <v>1</v>
      </c>
      <c r="K390" s="287">
        <f t="shared" ref="K390" si="843">J390</f>
        <v>1</v>
      </c>
      <c r="L390" s="287">
        <f t="shared" ref="L390" si="844">K390</f>
        <v>1</v>
      </c>
      <c r="M390" s="167"/>
      <c r="N390" s="94"/>
      <c r="O390" s="1316"/>
      <c r="S390" s="95"/>
    </row>
    <row r="391" spans="1:19">
      <c r="A391" s="160" t="s">
        <v>545</v>
      </c>
      <c r="B391" s="291" t="s">
        <v>825</v>
      </c>
      <c r="C391" s="154"/>
      <c r="D391" s="154"/>
      <c r="E391" s="89">
        <f>E389*E390</f>
        <v>11.995200000000002</v>
      </c>
      <c r="F391" s="89">
        <f t="shared" ref="F391:J391" si="845">F389*F390</f>
        <v>11.357700000000001</v>
      </c>
      <c r="G391" s="89">
        <f t="shared" si="845"/>
        <v>10.373400000000002</v>
      </c>
      <c r="H391" s="89">
        <f t="shared" si="845"/>
        <v>9.9807000000000006</v>
      </c>
      <c r="I391" s="89">
        <f t="shared" si="845"/>
        <v>9.1085999999999991</v>
      </c>
      <c r="J391" s="89">
        <f t="shared" si="845"/>
        <v>8.1395999999999997</v>
      </c>
      <c r="K391" s="89">
        <f t="shared" ref="K391:L391" si="846">K389*K390</f>
        <v>7.7519999999999998</v>
      </c>
      <c r="L391" s="89">
        <f t="shared" si="846"/>
        <v>7.4612999999999996</v>
      </c>
      <c r="M391" s="167">
        <f t="shared" ref="M391" si="847">SUM(F391:H391)</f>
        <v>31.711800000000004</v>
      </c>
      <c r="N391" s="94">
        <f t="shared" ref="N391" si="848">SUM(F391:J391)</f>
        <v>48.960000000000008</v>
      </c>
      <c r="O391" s="1316">
        <f t="shared" si="717"/>
        <v>32.461499999999994</v>
      </c>
      <c r="S391" s="95"/>
    </row>
    <row r="392" spans="1:19">
      <c r="A392" s="162">
        <v>2.7</v>
      </c>
      <c r="B392" s="161" t="s">
        <v>474</v>
      </c>
      <c r="C392" s="154"/>
      <c r="D392" s="154"/>
      <c r="E392" s="89"/>
      <c r="F392" s="89"/>
      <c r="G392" s="89"/>
      <c r="H392" s="89"/>
      <c r="I392" s="89"/>
      <c r="J392" s="89"/>
      <c r="K392" s="89"/>
      <c r="L392" s="89"/>
      <c r="M392" s="167"/>
      <c r="N392" s="94"/>
      <c r="O392" s="1316">
        <f t="shared" si="717"/>
        <v>0</v>
      </c>
      <c r="S392" s="95"/>
    </row>
    <row r="393" spans="1:19">
      <c r="A393" s="160" t="s">
        <v>546</v>
      </c>
      <c r="B393" s="291" t="s">
        <v>312</v>
      </c>
      <c r="C393" s="266"/>
      <c r="D393" s="266"/>
      <c r="E393" s="89">
        <f t="shared" ref="E393:J393" si="849">E184</f>
        <v>147</v>
      </c>
      <c r="F393" s="89">
        <f t="shared" si="849"/>
        <v>131</v>
      </c>
      <c r="G393" s="89">
        <f t="shared" si="849"/>
        <v>113</v>
      </c>
      <c r="H393" s="89">
        <f t="shared" si="849"/>
        <v>103</v>
      </c>
      <c r="I393" s="89">
        <f t="shared" si="849"/>
        <v>94</v>
      </c>
      <c r="J393" s="89">
        <f t="shared" si="849"/>
        <v>84</v>
      </c>
      <c r="K393" s="89">
        <f t="shared" ref="K393:L393" si="850">K184</f>
        <v>80</v>
      </c>
      <c r="L393" s="89">
        <f t="shared" si="850"/>
        <v>77</v>
      </c>
      <c r="M393" s="167">
        <f t="shared" ref="M393" si="851">SUM(F393:H393)</f>
        <v>347</v>
      </c>
      <c r="N393" s="94">
        <f t="shared" ref="N393" si="852">SUM(F393:J393)</f>
        <v>525</v>
      </c>
      <c r="O393" s="1316">
        <f t="shared" si="717"/>
        <v>335</v>
      </c>
      <c r="S393" s="95"/>
    </row>
    <row r="394" spans="1:19">
      <c r="A394" s="160" t="s">
        <v>547</v>
      </c>
      <c r="B394" s="291" t="s">
        <v>509</v>
      </c>
      <c r="C394" s="266"/>
      <c r="D394" s="266"/>
      <c r="E394" s="152">
        <v>0.1</v>
      </c>
      <c r="F394" s="152">
        <f>E394</f>
        <v>0.1</v>
      </c>
      <c r="G394" s="152">
        <f t="shared" ref="G394:J394" si="853">F394</f>
        <v>0.1</v>
      </c>
      <c r="H394" s="152">
        <f t="shared" si="853"/>
        <v>0.1</v>
      </c>
      <c r="I394" s="152">
        <f t="shared" si="853"/>
        <v>0.1</v>
      </c>
      <c r="J394" s="152">
        <f t="shared" si="853"/>
        <v>0.1</v>
      </c>
      <c r="K394" s="152">
        <f t="shared" ref="K394" si="854">J394</f>
        <v>0.1</v>
      </c>
      <c r="L394" s="152">
        <f t="shared" ref="L394" si="855">K394</f>
        <v>0.1</v>
      </c>
      <c r="M394" s="167"/>
      <c r="N394" s="94"/>
      <c r="O394" s="1316">
        <f t="shared" si="717"/>
        <v>0.4</v>
      </c>
      <c r="S394" s="95"/>
    </row>
    <row r="395" spans="1:19">
      <c r="A395" s="160" t="s">
        <v>548</v>
      </c>
      <c r="B395" s="291" t="s">
        <v>510</v>
      </c>
      <c r="C395" s="154"/>
      <c r="D395" s="154"/>
      <c r="E395" s="89">
        <f>E393*E394</f>
        <v>14.700000000000001</v>
      </c>
      <c r="F395" s="89">
        <f t="shared" ref="F395:J395" si="856">F393*F394</f>
        <v>13.100000000000001</v>
      </c>
      <c r="G395" s="89">
        <f t="shared" si="856"/>
        <v>11.3</v>
      </c>
      <c r="H395" s="89">
        <f t="shared" si="856"/>
        <v>10.3</v>
      </c>
      <c r="I395" s="89">
        <f t="shared" si="856"/>
        <v>9.4</v>
      </c>
      <c r="J395" s="89">
        <f t="shared" si="856"/>
        <v>8.4</v>
      </c>
      <c r="K395" s="89">
        <f t="shared" ref="K395:L395" si="857">K393*K394</f>
        <v>8</v>
      </c>
      <c r="L395" s="89">
        <f t="shared" si="857"/>
        <v>7.7</v>
      </c>
      <c r="M395" s="167">
        <f t="shared" ref="M395" si="858">SUM(F395:H395)</f>
        <v>34.700000000000003</v>
      </c>
      <c r="N395" s="94">
        <f t="shared" ref="N395" si="859">SUM(F395:J395)</f>
        <v>52.5</v>
      </c>
      <c r="O395" s="1316">
        <f t="shared" si="717"/>
        <v>33.5</v>
      </c>
      <c r="S395" s="95"/>
    </row>
    <row r="396" spans="1:19">
      <c r="A396" s="160" t="s">
        <v>549</v>
      </c>
      <c r="B396" s="291" t="s">
        <v>455</v>
      </c>
      <c r="C396" s="266"/>
      <c r="D396" s="154"/>
      <c r="E396" s="152">
        <f t="shared" ref="E396:J396" si="860">E238</f>
        <v>0.7</v>
      </c>
      <c r="F396" s="152">
        <f t="shared" si="860"/>
        <v>0.8</v>
      </c>
      <c r="G396" s="152">
        <f t="shared" si="860"/>
        <v>0.85</v>
      </c>
      <c r="H396" s="152">
        <f t="shared" si="860"/>
        <v>0.95</v>
      </c>
      <c r="I396" s="152">
        <f t="shared" si="860"/>
        <v>0.95</v>
      </c>
      <c r="J396" s="152">
        <f t="shared" si="860"/>
        <v>0.95</v>
      </c>
      <c r="K396" s="152">
        <f t="shared" ref="K396:L396" si="861">K238</f>
        <v>0.95</v>
      </c>
      <c r="L396" s="152">
        <f t="shared" si="861"/>
        <v>0.95</v>
      </c>
      <c r="M396" s="167"/>
      <c r="N396" s="94"/>
      <c r="O396" s="1316"/>
      <c r="S396" s="95"/>
    </row>
    <row r="397" spans="1:19">
      <c r="A397" s="160" t="s">
        <v>550</v>
      </c>
      <c r="B397" s="291" t="s">
        <v>511</v>
      </c>
      <c r="C397" s="266"/>
      <c r="D397" s="154"/>
      <c r="E397" s="89">
        <f>E395*E396</f>
        <v>10.290000000000001</v>
      </c>
      <c r="F397" s="89">
        <f t="shared" ref="F397:J397" si="862">F395*F396</f>
        <v>10.480000000000002</v>
      </c>
      <c r="G397" s="89">
        <f t="shared" si="862"/>
        <v>9.6050000000000004</v>
      </c>
      <c r="H397" s="89">
        <f t="shared" si="862"/>
        <v>9.7850000000000001</v>
      </c>
      <c r="I397" s="89">
        <f t="shared" si="862"/>
        <v>8.93</v>
      </c>
      <c r="J397" s="89">
        <f t="shared" si="862"/>
        <v>7.9799999999999995</v>
      </c>
      <c r="K397" s="89">
        <f t="shared" ref="K397:L397" si="863">K395*K396</f>
        <v>7.6</v>
      </c>
      <c r="L397" s="89">
        <f t="shared" si="863"/>
        <v>7.3149999999999995</v>
      </c>
      <c r="M397" s="167">
        <f t="shared" ref="M397" si="864">SUM(F397:H397)</f>
        <v>29.87</v>
      </c>
      <c r="N397" s="94">
        <f t="shared" ref="N397" si="865">SUM(F397:J397)</f>
        <v>46.779999999999994</v>
      </c>
      <c r="O397" s="1316">
        <f t="shared" si="717"/>
        <v>31.824999999999996</v>
      </c>
      <c r="S397" s="95"/>
    </row>
    <row r="398" spans="1:19">
      <c r="A398" s="160" t="s">
        <v>551</v>
      </c>
      <c r="B398" s="293" t="s">
        <v>478</v>
      </c>
      <c r="C398" s="154"/>
      <c r="D398" s="154"/>
      <c r="E398" s="152">
        <f t="shared" ref="E398:J398" si="866">E258</f>
        <v>0.1</v>
      </c>
      <c r="F398" s="152">
        <f t="shared" si="866"/>
        <v>0.1</v>
      </c>
      <c r="G398" s="152">
        <f t="shared" si="866"/>
        <v>0.1</v>
      </c>
      <c r="H398" s="152">
        <f t="shared" si="866"/>
        <v>0.1</v>
      </c>
      <c r="I398" s="152">
        <f t="shared" si="866"/>
        <v>0.1</v>
      </c>
      <c r="J398" s="152">
        <f t="shared" si="866"/>
        <v>0.1</v>
      </c>
      <c r="K398" s="152">
        <f t="shared" ref="K398:L398" si="867">K258</f>
        <v>0.1</v>
      </c>
      <c r="L398" s="152">
        <f t="shared" si="867"/>
        <v>0.1</v>
      </c>
      <c r="M398" s="167"/>
      <c r="N398" s="94"/>
      <c r="O398" s="1316">
        <f t="shared" si="717"/>
        <v>0.4</v>
      </c>
      <c r="S398" s="95"/>
    </row>
    <row r="399" spans="1:19">
      <c r="A399" s="160" t="s">
        <v>552</v>
      </c>
      <c r="B399" s="291" t="s">
        <v>479</v>
      </c>
      <c r="C399" s="266"/>
      <c r="D399" s="266"/>
      <c r="E399" s="89">
        <f>E397+E397*E398</f>
        <v>11.319000000000001</v>
      </c>
      <c r="F399" s="89">
        <f t="shared" ref="F399:J399" si="868">F397+F397*F398</f>
        <v>11.528000000000002</v>
      </c>
      <c r="G399" s="89">
        <f t="shared" si="868"/>
        <v>10.5655</v>
      </c>
      <c r="H399" s="89">
        <f t="shared" si="868"/>
        <v>10.763500000000001</v>
      </c>
      <c r="I399" s="89">
        <f t="shared" si="868"/>
        <v>9.8230000000000004</v>
      </c>
      <c r="J399" s="89">
        <f t="shared" si="868"/>
        <v>8.7779999999999987</v>
      </c>
      <c r="K399" s="89">
        <f t="shared" ref="K399:L399" si="869">K397+K397*K398</f>
        <v>8.36</v>
      </c>
      <c r="L399" s="89">
        <f t="shared" si="869"/>
        <v>8.0465</v>
      </c>
      <c r="M399" s="167">
        <f t="shared" ref="M399" si="870">SUM(F399:H399)</f>
        <v>32.856999999999999</v>
      </c>
      <c r="N399" s="94">
        <f t="shared" ref="N399" si="871">SUM(F399:J399)</f>
        <v>51.457999999999998</v>
      </c>
      <c r="O399" s="1316">
        <f t="shared" si="717"/>
        <v>35.0075</v>
      </c>
      <c r="S399" s="95"/>
    </row>
    <row r="400" spans="1:19">
      <c r="A400" s="160" t="s">
        <v>553</v>
      </c>
      <c r="B400" s="291" t="s">
        <v>826</v>
      </c>
      <c r="C400" s="266"/>
      <c r="D400" s="266"/>
      <c r="E400" s="287">
        <f t="shared" ref="E400:J400" si="872">E260</f>
        <v>1</v>
      </c>
      <c r="F400" s="287">
        <f t="shared" si="872"/>
        <v>1</v>
      </c>
      <c r="G400" s="287">
        <f t="shared" si="872"/>
        <v>1</v>
      </c>
      <c r="H400" s="287">
        <f t="shared" si="872"/>
        <v>1</v>
      </c>
      <c r="I400" s="287">
        <f t="shared" si="872"/>
        <v>1</v>
      </c>
      <c r="J400" s="287">
        <f t="shared" si="872"/>
        <v>1</v>
      </c>
      <c r="K400" s="287">
        <f t="shared" ref="K400:L400" si="873">K260</f>
        <v>1</v>
      </c>
      <c r="L400" s="287">
        <f t="shared" si="873"/>
        <v>1</v>
      </c>
      <c r="M400" s="167"/>
      <c r="N400" s="94"/>
      <c r="O400" s="1316"/>
      <c r="S400" s="95"/>
    </row>
    <row r="401" spans="1:19">
      <c r="A401" s="160" t="s">
        <v>554</v>
      </c>
      <c r="B401" s="291" t="s">
        <v>827</v>
      </c>
      <c r="C401" s="154"/>
      <c r="D401" s="154"/>
      <c r="E401" s="89">
        <f>E399*E400</f>
        <v>11.319000000000001</v>
      </c>
      <c r="F401" s="89">
        <f t="shared" ref="F401:J401" si="874">F399*F400</f>
        <v>11.528000000000002</v>
      </c>
      <c r="G401" s="89">
        <f t="shared" si="874"/>
        <v>10.5655</v>
      </c>
      <c r="H401" s="89">
        <f t="shared" si="874"/>
        <v>10.763500000000001</v>
      </c>
      <c r="I401" s="89">
        <f t="shared" si="874"/>
        <v>9.8230000000000004</v>
      </c>
      <c r="J401" s="89">
        <f t="shared" si="874"/>
        <v>8.7779999999999987</v>
      </c>
      <c r="K401" s="89">
        <f t="shared" ref="K401:L401" si="875">K399*K400</f>
        <v>8.36</v>
      </c>
      <c r="L401" s="89">
        <f t="shared" si="875"/>
        <v>8.0465</v>
      </c>
      <c r="M401" s="167">
        <f t="shared" ref="M401" si="876">SUM(F401:H401)</f>
        <v>32.856999999999999</v>
      </c>
      <c r="N401" s="94">
        <f t="shared" ref="N401" si="877">SUM(F401:J401)</f>
        <v>51.457999999999998</v>
      </c>
      <c r="O401" s="1316">
        <f t="shared" si="717"/>
        <v>35.0075</v>
      </c>
      <c r="S401" s="95"/>
    </row>
    <row r="402" spans="1:19">
      <c r="A402" s="183">
        <v>3</v>
      </c>
      <c r="B402" s="179" t="str">
        <f>B185</f>
        <v>MDR-TB: no resistance to SLDs</v>
      </c>
      <c r="C402" s="290"/>
      <c r="D402" s="290"/>
      <c r="E402" s="184"/>
      <c r="F402" s="184"/>
      <c r="G402" s="184"/>
      <c r="H402" s="184"/>
      <c r="I402" s="184"/>
      <c r="J402" s="184"/>
      <c r="K402" s="184"/>
      <c r="L402" s="184"/>
      <c r="M402" s="180"/>
      <c r="N402" s="181"/>
      <c r="O402" s="1316">
        <f t="shared" si="717"/>
        <v>0</v>
      </c>
      <c r="S402" s="95"/>
    </row>
    <row r="403" spans="1:19">
      <c r="A403" s="162">
        <v>3.1</v>
      </c>
      <c r="B403" s="159" t="s">
        <v>284</v>
      </c>
      <c r="C403" s="154"/>
      <c r="D403" s="154"/>
      <c r="E403" s="89"/>
      <c r="F403" s="89"/>
      <c r="G403" s="89"/>
      <c r="H403" s="89"/>
      <c r="I403" s="89"/>
      <c r="J403" s="89"/>
      <c r="K403" s="89"/>
      <c r="L403" s="89"/>
      <c r="M403" s="167"/>
      <c r="N403" s="94"/>
      <c r="O403" s="1316">
        <f t="shared" si="717"/>
        <v>0</v>
      </c>
      <c r="S403" s="95"/>
    </row>
    <row r="404" spans="1:19">
      <c r="A404" s="160" t="s">
        <v>368</v>
      </c>
      <c r="B404" s="291" t="s">
        <v>312</v>
      </c>
      <c r="C404" s="266"/>
      <c r="D404" s="266"/>
      <c r="E404" s="89">
        <f t="shared" ref="E404:J404" si="878">E185</f>
        <v>316</v>
      </c>
      <c r="F404" s="89">
        <f t="shared" si="878"/>
        <v>293</v>
      </c>
      <c r="G404" s="89">
        <f t="shared" si="878"/>
        <v>273</v>
      </c>
      <c r="H404" s="89">
        <f t="shared" si="878"/>
        <v>265</v>
      </c>
      <c r="I404" s="89">
        <f t="shared" si="878"/>
        <v>259</v>
      </c>
      <c r="J404" s="89">
        <f t="shared" si="878"/>
        <v>253</v>
      </c>
      <c r="K404" s="89">
        <f t="shared" ref="K404:L404" si="879">K185</f>
        <v>249</v>
      </c>
      <c r="L404" s="89">
        <f t="shared" si="879"/>
        <v>245</v>
      </c>
      <c r="M404" s="167">
        <f t="shared" ref="M404" si="880">SUM(F404:H404)</f>
        <v>831</v>
      </c>
      <c r="N404" s="94">
        <f t="shared" ref="N404" si="881">SUM(F404:J404)</f>
        <v>1343</v>
      </c>
      <c r="O404" s="1316">
        <f t="shared" si="717"/>
        <v>1006</v>
      </c>
      <c r="S404" s="95"/>
    </row>
    <row r="405" spans="1:19">
      <c r="A405" s="160" t="s">
        <v>369</v>
      </c>
      <c r="B405" s="291" t="s">
        <v>313</v>
      </c>
      <c r="C405" s="154"/>
      <c r="D405" s="154"/>
      <c r="E405" s="89">
        <v>20</v>
      </c>
      <c r="F405" s="89">
        <f>E405</f>
        <v>20</v>
      </c>
      <c r="G405" s="89">
        <f t="shared" ref="G405:J405" si="882">F405</f>
        <v>20</v>
      </c>
      <c r="H405" s="89">
        <f t="shared" si="882"/>
        <v>20</v>
      </c>
      <c r="I405" s="89">
        <f t="shared" si="882"/>
        <v>20</v>
      </c>
      <c r="J405" s="89">
        <f t="shared" si="882"/>
        <v>20</v>
      </c>
      <c r="K405" s="89">
        <f t="shared" ref="K405:K406" si="883">J405</f>
        <v>20</v>
      </c>
      <c r="L405" s="89">
        <f t="shared" ref="L405:L406" si="884">K405</f>
        <v>20</v>
      </c>
      <c r="M405" s="167"/>
      <c r="N405" s="94"/>
      <c r="O405" s="1316"/>
      <c r="S405" s="95"/>
    </row>
    <row r="406" spans="1:19">
      <c r="A406" s="160" t="s">
        <v>370</v>
      </c>
      <c r="B406" s="291" t="s">
        <v>418</v>
      </c>
      <c r="C406" s="154"/>
      <c r="D406" s="154"/>
      <c r="E406" s="272">
        <v>0.8</v>
      </c>
      <c r="F406" s="272">
        <f>E406</f>
        <v>0.8</v>
      </c>
      <c r="G406" s="272">
        <f t="shared" ref="G406:J406" si="885">F406</f>
        <v>0.8</v>
      </c>
      <c r="H406" s="272">
        <f t="shared" si="885"/>
        <v>0.8</v>
      </c>
      <c r="I406" s="272">
        <f t="shared" si="885"/>
        <v>0.8</v>
      </c>
      <c r="J406" s="272">
        <f t="shared" si="885"/>
        <v>0.8</v>
      </c>
      <c r="K406" s="272">
        <f t="shared" si="883"/>
        <v>0.8</v>
      </c>
      <c r="L406" s="272">
        <f t="shared" si="884"/>
        <v>0.8</v>
      </c>
      <c r="M406" s="167"/>
      <c r="N406" s="94"/>
      <c r="O406" s="1316"/>
      <c r="S406" s="95"/>
    </row>
    <row r="407" spans="1:19">
      <c r="A407" s="160" t="s">
        <v>371</v>
      </c>
      <c r="B407" s="291" t="s">
        <v>288</v>
      </c>
      <c r="C407" s="154"/>
      <c r="D407" s="154"/>
      <c r="E407" s="152">
        <f t="shared" ref="E407:J407" si="886">E204/2</f>
        <v>0.06</v>
      </c>
      <c r="F407" s="152">
        <f t="shared" si="886"/>
        <v>5.5E-2</v>
      </c>
      <c r="G407" s="152">
        <f t="shared" si="886"/>
        <v>0.05</v>
      </c>
      <c r="H407" s="152">
        <f t="shared" si="886"/>
        <v>0.05</v>
      </c>
      <c r="I407" s="152">
        <f t="shared" si="886"/>
        <v>0.05</v>
      </c>
      <c r="J407" s="152">
        <f t="shared" si="886"/>
        <v>0.05</v>
      </c>
      <c r="K407" s="152">
        <f t="shared" ref="K407" si="887">K204/2</f>
        <v>0.05</v>
      </c>
      <c r="L407" s="152">
        <v>0.05</v>
      </c>
      <c r="M407" s="167"/>
      <c r="N407" s="94"/>
      <c r="O407" s="1316"/>
      <c r="S407" s="95"/>
    </row>
    <row r="408" spans="1:19">
      <c r="A408" s="160" t="s">
        <v>372</v>
      </c>
      <c r="B408" s="291" t="s">
        <v>286</v>
      </c>
      <c r="C408" s="154"/>
      <c r="D408" s="154"/>
      <c r="E408" s="272">
        <f t="shared" ref="E408:J408" si="888">E202</f>
        <v>0.95</v>
      </c>
      <c r="F408" s="272">
        <f t="shared" si="888"/>
        <v>0.95</v>
      </c>
      <c r="G408" s="272">
        <f t="shared" si="888"/>
        <v>0.95</v>
      </c>
      <c r="H408" s="272">
        <f t="shared" si="888"/>
        <v>0.95</v>
      </c>
      <c r="I408" s="272">
        <f t="shared" si="888"/>
        <v>0.95</v>
      </c>
      <c r="J408" s="272">
        <f t="shared" si="888"/>
        <v>0.95</v>
      </c>
      <c r="K408" s="272">
        <f t="shared" ref="K408:L408" si="889">K202</f>
        <v>0.95</v>
      </c>
      <c r="L408" s="272">
        <f t="shared" si="889"/>
        <v>0.95</v>
      </c>
      <c r="M408" s="167"/>
      <c r="N408" s="94"/>
      <c r="O408" s="1316"/>
      <c r="S408" s="95"/>
    </row>
    <row r="409" spans="1:19">
      <c r="A409" s="160" t="s">
        <v>373</v>
      </c>
      <c r="B409" s="291" t="s">
        <v>289</v>
      </c>
      <c r="C409" s="266"/>
      <c r="D409" s="266"/>
      <c r="E409" s="89">
        <f>E404*E405*E406*(1+E407)*E408</f>
        <v>5091.3920000000007</v>
      </c>
      <c r="F409" s="89">
        <f t="shared" ref="F409" si="890">F404*F405*F406*(1+F407)*F408</f>
        <v>4698.5479999999998</v>
      </c>
      <c r="G409" s="89">
        <f t="shared" ref="G409" si="891">G404*G405*G406*(1+G407)*G408</f>
        <v>4357.08</v>
      </c>
      <c r="H409" s="89">
        <f t="shared" ref="H409" si="892">H404*H405*H406*(1+H407)*H408</f>
        <v>4229.3999999999996</v>
      </c>
      <c r="I409" s="89">
        <f t="shared" ref="I409" si="893">I404*I405*I406*(1+I407)*I408</f>
        <v>4133.6399999999994</v>
      </c>
      <c r="J409" s="89">
        <f t="shared" ref="J409:L409" si="894">J404*J405*J406*(1+J407)*J408</f>
        <v>4037.88</v>
      </c>
      <c r="K409" s="89">
        <f t="shared" si="894"/>
        <v>3974.0399999999995</v>
      </c>
      <c r="L409" s="89">
        <f t="shared" si="894"/>
        <v>3910.2</v>
      </c>
      <c r="M409" s="167">
        <f t="shared" ref="M409" si="895">SUM(F409:H409)</f>
        <v>13285.028</v>
      </c>
      <c r="N409" s="94">
        <f t="shared" ref="N409" si="896">SUM(F409:J409)</f>
        <v>21456.547999999999</v>
      </c>
      <c r="O409" s="1316">
        <f t="shared" si="717"/>
        <v>16055.759999999998</v>
      </c>
      <c r="S409" s="95"/>
    </row>
    <row r="410" spans="1:19">
      <c r="A410" s="160" t="s">
        <v>374</v>
      </c>
      <c r="B410" s="291" t="s">
        <v>239</v>
      </c>
      <c r="C410" s="266"/>
      <c r="D410" s="266"/>
      <c r="E410" s="287">
        <f t="shared" ref="E410:J410" si="897">E206</f>
        <v>1.9</v>
      </c>
      <c r="F410" s="287">
        <f t="shared" si="897"/>
        <v>1.6</v>
      </c>
      <c r="G410" s="287">
        <f t="shared" si="897"/>
        <v>1.2</v>
      </c>
      <c r="H410" s="287">
        <f t="shared" si="897"/>
        <v>1</v>
      </c>
      <c r="I410" s="287">
        <f t="shared" si="897"/>
        <v>1</v>
      </c>
      <c r="J410" s="287">
        <f t="shared" si="897"/>
        <v>1</v>
      </c>
      <c r="K410" s="287">
        <f t="shared" ref="K410:L410" si="898">K206</f>
        <v>1</v>
      </c>
      <c r="L410" s="287">
        <f t="shared" si="898"/>
        <v>1</v>
      </c>
      <c r="M410" s="167"/>
      <c r="N410" s="94"/>
      <c r="O410" s="1316"/>
      <c r="S410" s="95"/>
    </row>
    <row r="411" spans="1:19">
      <c r="A411" s="160" t="s">
        <v>375</v>
      </c>
      <c r="B411" s="291" t="s">
        <v>290</v>
      </c>
      <c r="C411" s="154"/>
      <c r="D411" s="154"/>
      <c r="E411" s="89">
        <f>E409*E410</f>
        <v>9673.6448000000019</v>
      </c>
      <c r="F411" s="89">
        <f t="shared" ref="F411:J411" si="899">F409*F410</f>
        <v>7517.6768000000002</v>
      </c>
      <c r="G411" s="89">
        <f t="shared" si="899"/>
        <v>5228.4960000000001</v>
      </c>
      <c r="H411" s="89">
        <f t="shared" si="899"/>
        <v>4229.3999999999996</v>
      </c>
      <c r="I411" s="89">
        <f t="shared" si="899"/>
        <v>4133.6399999999994</v>
      </c>
      <c r="J411" s="89">
        <f t="shared" si="899"/>
        <v>4037.88</v>
      </c>
      <c r="K411" s="89">
        <f t="shared" ref="K411:L411" si="900">K409*K410</f>
        <v>3974.0399999999995</v>
      </c>
      <c r="L411" s="89">
        <f t="shared" si="900"/>
        <v>3910.2</v>
      </c>
      <c r="M411" s="167">
        <f t="shared" ref="M411" si="901">SUM(F411:H411)</f>
        <v>16975.572800000002</v>
      </c>
      <c r="N411" s="94">
        <f t="shared" ref="N411" si="902">SUM(F411:J411)</f>
        <v>25147.092800000002</v>
      </c>
      <c r="O411" s="1316">
        <f t="shared" si="717"/>
        <v>16055.759999999998</v>
      </c>
      <c r="S411" s="95"/>
    </row>
    <row r="412" spans="1:19">
      <c r="A412" s="162">
        <v>3.2</v>
      </c>
      <c r="B412" s="159" t="s">
        <v>292</v>
      </c>
      <c r="C412" s="154"/>
      <c r="D412" s="154"/>
      <c r="E412" s="89"/>
      <c r="F412" s="89"/>
      <c r="G412" s="89"/>
      <c r="H412" s="89"/>
      <c r="I412" s="89"/>
      <c r="J412" s="89"/>
      <c r="K412" s="89"/>
      <c r="L412" s="89"/>
      <c r="M412" s="167"/>
      <c r="N412" s="94"/>
      <c r="O412" s="1316">
        <f t="shared" ref="O412:O473" si="903">I412+J412+K412+L412</f>
        <v>0</v>
      </c>
      <c r="S412" s="95"/>
    </row>
    <row r="413" spans="1:19">
      <c r="A413" s="160" t="s">
        <v>376</v>
      </c>
      <c r="B413" s="291" t="s">
        <v>312</v>
      </c>
      <c r="C413" s="266"/>
      <c r="D413" s="266"/>
      <c r="E413" s="89">
        <f t="shared" ref="E413:J413" si="904">E185</f>
        <v>316</v>
      </c>
      <c r="F413" s="89">
        <f t="shared" si="904"/>
        <v>293</v>
      </c>
      <c r="G413" s="89">
        <f t="shared" si="904"/>
        <v>273</v>
      </c>
      <c r="H413" s="89">
        <f t="shared" si="904"/>
        <v>265</v>
      </c>
      <c r="I413" s="89">
        <f t="shared" si="904"/>
        <v>259</v>
      </c>
      <c r="J413" s="89">
        <f t="shared" si="904"/>
        <v>253</v>
      </c>
      <c r="K413" s="89">
        <f t="shared" ref="K413:L413" si="905">K185</f>
        <v>249</v>
      </c>
      <c r="L413" s="89">
        <f t="shared" si="905"/>
        <v>245</v>
      </c>
      <c r="M413" s="167">
        <f t="shared" ref="M413" si="906">SUM(F413:H413)</f>
        <v>831</v>
      </c>
      <c r="N413" s="94">
        <f t="shared" ref="N413" si="907">SUM(F413:J413)</f>
        <v>1343</v>
      </c>
      <c r="O413" s="1316">
        <f t="shared" si="903"/>
        <v>1006</v>
      </c>
      <c r="S413" s="95"/>
    </row>
    <row r="414" spans="1:19">
      <c r="A414" s="160" t="s">
        <v>377</v>
      </c>
      <c r="B414" s="291" t="s">
        <v>324</v>
      </c>
      <c r="C414" s="266"/>
      <c r="D414" s="266"/>
      <c r="E414" s="272">
        <v>0</v>
      </c>
      <c r="F414" s="272">
        <f>E414</f>
        <v>0</v>
      </c>
      <c r="G414" s="272">
        <f t="shared" ref="G414:J414" si="908">F414</f>
        <v>0</v>
      </c>
      <c r="H414" s="272">
        <f t="shared" si="908"/>
        <v>0</v>
      </c>
      <c r="I414" s="272">
        <f t="shared" si="908"/>
        <v>0</v>
      </c>
      <c r="J414" s="272">
        <f t="shared" si="908"/>
        <v>0</v>
      </c>
      <c r="K414" s="272">
        <f t="shared" ref="K414" si="909">J414</f>
        <v>0</v>
      </c>
      <c r="L414" s="272">
        <f t="shared" ref="L414" si="910">K414</f>
        <v>0</v>
      </c>
      <c r="M414" s="167"/>
      <c r="N414" s="94"/>
      <c r="O414" s="1316">
        <f t="shared" si="903"/>
        <v>0</v>
      </c>
      <c r="S414" s="95"/>
    </row>
    <row r="415" spans="1:19">
      <c r="A415" s="160" t="s">
        <v>378</v>
      </c>
      <c r="B415" s="291" t="s">
        <v>314</v>
      </c>
      <c r="C415" s="154"/>
      <c r="D415" s="154"/>
      <c r="E415" s="89">
        <f>E413*E414</f>
        <v>0</v>
      </c>
      <c r="F415" s="89">
        <f t="shared" ref="F415" si="911">F413*F414</f>
        <v>0</v>
      </c>
      <c r="G415" s="89">
        <f t="shared" ref="G415" si="912">G413*G414</f>
        <v>0</v>
      </c>
      <c r="H415" s="89">
        <f t="shared" ref="H415" si="913">H413*H414</f>
        <v>0</v>
      </c>
      <c r="I415" s="89">
        <f t="shared" ref="I415" si="914">I413*I414</f>
        <v>0</v>
      </c>
      <c r="J415" s="89">
        <f t="shared" ref="J415:L415" si="915">J413*J414</f>
        <v>0</v>
      </c>
      <c r="K415" s="89">
        <f t="shared" si="915"/>
        <v>0</v>
      </c>
      <c r="L415" s="89">
        <f t="shared" si="915"/>
        <v>0</v>
      </c>
      <c r="M415" s="167">
        <f t="shared" ref="M415" si="916">SUM(F415:H415)</f>
        <v>0</v>
      </c>
      <c r="N415" s="94">
        <f t="shared" ref="N415" si="917">SUM(F415:J415)</f>
        <v>0</v>
      </c>
      <c r="O415" s="1316">
        <f t="shared" si="903"/>
        <v>0</v>
      </c>
      <c r="S415" s="95"/>
    </row>
    <row r="416" spans="1:19">
      <c r="A416" s="160" t="s">
        <v>379</v>
      </c>
      <c r="B416" s="291" t="s">
        <v>298</v>
      </c>
      <c r="C416" s="154"/>
      <c r="D416" s="154"/>
      <c r="E416" s="152">
        <f t="shared" ref="E416:J416" si="918">E213/2</f>
        <v>0.06</v>
      </c>
      <c r="F416" s="152">
        <f t="shared" si="918"/>
        <v>5.5E-2</v>
      </c>
      <c r="G416" s="152">
        <f t="shared" si="918"/>
        <v>0.05</v>
      </c>
      <c r="H416" s="152">
        <f t="shared" si="918"/>
        <v>4.4999999999999998E-2</v>
      </c>
      <c r="I416" s="152">
        <f t="shared" si="918"/>
        <v>4.2500000000000003E-2</v>
      </c>
      <c r="J416" s="152">
        <f t="shared" si="918"/>
        <v>0.04</v>
      </c>
      <c r="K416" s="152">
        <f t="shared" ref="K416" si="919">K213/2</f>
        <v>0.04</v>
      </c>
      <c r="L416" s="152">
        <v>0.04</v>
      </c>
      <c r="M416" s="167"/>
      <c r="N416" s="94"/>
      <c r="O416" s="1316"/>
      <c r="S416" s="95"/>
    </row>
    <row r="417" spans="1:19">
      <c r="A417" s="160" t="s">
        <v>380</v>
      </c>
      <c r="B417" s="291" t="s">
        <v>296</v>
      </c>
      <c r="C417" s="154"/>
      <c r="D417" s="154"/>
      <c r="E417" s="272">
        <f t="shared" ref="E417:J417" si="920">E211</f>
        <v>0.5</v>
      </c>
      <c r="F417" s="272">
        <f t="shared" si="920"/>
        <v>0.7</v>
      </c>
      <c r="G417" s="272">
        <f t="shared" si="920"/>
        <v>0.8</v>
      </c>
      <c r="H417" s="272">
        <f t="shared" si="920"/>
        <v>0.85</v>
      </c>
      <c r="I417" s="272">
        <f t="shared" si="920"/>
        <v>0.9</v>
      </c>
      <c r="J417" s="272">
        <f t="shared" si="920"/>
        <v>0.95</v>
      </c>
      <c r="K417" s="272">
        <f>K211</f>
        <v>0.95</v>
      </c>
      <c r="L417" s="272">
        <v>0.95</v>
      </c>
      <c r="M417" s="167"/>
      <c r="N417" s="94"/>
      <c r="O417" s="1316"/>
      <c r="S417" s="95"/>
    </row>
    <row r="418" spans="1:19">
      <c r="A418" s="160" t="s">
        <v>381</v>
      </c>
      <c r="B418" s="291" t="s">
        <v>299</v>
      </c>
      <c r="C418" s="266"/>
      <c r="D418" s="266"/>
      <c r="E418" s="89">
        <f>E415*(1+E416)*E417</f>
        <v>0</v>
      </c>
      <c r="F418" s="89">
        <f t="shared" ref="F418" si="921">F415*(1+F416)*F417</f>
        <v>0</v>
      </c>
      <c r="G418" s="89">
        <f t="shared" ref="G418" si="922">G415*(1+G416)*G417</f>
        <v>0</v>
      </c>
      <c r="H418" s="89">
        <f t="shared" ref="H418" si="923">H415*(1+H416)*H417</f>
        <v>0</v>
      </c>
      <c r="I418" s="89">
        <f t="shared" ref="I418" si="924">I415*(1+I416)*I417</f>
        <v>0</v>
      </c>
      <c r="J418" s="89">
        <f t="shared" ref="J418:L418" si="925">J415*(1+J416)*J417</f>
        <v>0</v>
      </c>
      <c r="K418" s="89">
        <f t="shared" si="925"/>
        <v>0</v>
      </c>
      <c r="L418" s="89">
        <f t="shared" si="925"/>
        <v>0</v>
      </c>
      <c r="M418" s="167">
        <f t="shared" ref="M418" si="926">SUM(F418:H418)</f>
        <v>0</v>
      </c>
      <c r="N418" s="94">
        <f t="shared" ref="N418" si="927">SUM(F418:J418)</f>
        <v>0</v>
      </c>
      <c r="O418" s="1316">
        <f t="shared" si="903"/>
        <v>0</v>
      </c>
      <c r="S418" s="95"/>
    </row>
    <row r="419" spans="1:19">
      <c r="A419" s="160" t="s">
        <v>382</v>
      </c>
      <c r="B419" s="291" t="s">
        <v>240</v>
      </c>
      <c r="C419" s="266"/>
      <c r="D419" s="266"/>
      <c r="E419" s="292">
        <f t="shared" ref="E419:J419" si="928">E215</f>
        <v>1.08</v>
      </c>
      <c r="F419" s="292">
        <f t="shared" si="928"/>
        <v>1.07</v>
      </c>
      <c r="G419" s="292">
        <f t="shared" si="928"/>
        <v>1.06</v>
      </c>
      <c r="H419" s="292">
        <f t="shared" si="928"/>
        <v>1.05</v>
      </c>
      <c r="I419" s="292">
        <f t="shared" si="928"/>
        <v>1.04</v>
      </c>
      <c r="J419" s="292">
        <f t="shared" si="928"/>
        <v>1.03</v>
      </c>
      <c r="K419" s="292">
        <f t="shared" ref="K419:L419" si="929">K215</f>
        <v>1.03</v>
      </c>
      <c r="L419" s="292">
        <f t="shared" si="929"/>
        <v>1.03</v>
      </c>
      <c r="M419" s="167"/>
      <c r="N419" s="94"/>
      <c r="O419" s="1316"/>
      <c r="S419" s="95"/>
    </row>
    <row r="420" spans="1:19">
      <c r="A420" s="160" t="s">
        <v>383</v>
      </c>
      <c r="B420" s="291" t="s">
        <v>300</v>
      </c>
      <c r="C420" s="154"/>
      <c r="D420" s="154"/>
      <c r="E420" s="89">
        <f>E418*E419</f>
        <v>0</v>
      </c>
      <c r="F420" s="89">
        <f t="shared" ref="F420:J420" si="930">F418*F419</f>
        <v>0</v>
      </c>
      <c r="G420" s="89">
        <f t="shared" si="930"/>
        <v>0</v>
      </c>
      <c r="H420" s="89">
        <f t="shared" si="930"/>
        <v>0</v>
      </c>
      <c r="I420" s="89">
        <f t="shared" si="930"/>
        <v>0</v>
      </c>
      <c r="J420" s="89">
        <f t="shared" si="930"/>
        <v>0</v>
      </c>
      <c r="K420" s="89">
        <f t="shared" ref="K420:L420" si="931">K418*K419</f>
        <v>0</v>
      </c>
      <c r="L420" s="89">
        <f t="shared" si="931"/>
        <v>0</v>
      </c>
      <c r="M420" s="167">
        <f t="shared" ref="M420" si="932">SUM(F420:H420)</f>
        <v>0</v>
      </c>
      <c r="N420" s="94">
        <f t="shared" ref="N420" si="933">SUM(F420:J420)</f>
        <v>0</v>
      </c>
      <c r="O420" s="1316">
        <f t="shared" si="903"/>
        <v>0</v>
      </c>
      <c r="S420" s="95"/>
    </row>
    <row r="421" spans="1:19">
      <c r="A421" s="162">
        <v>3.3</v>
      </c>
      <c r="B421" s="159" t="s">
        <v>303</v>
      </c>
      <c r="C421" s="154"/>
      <c r="D421" s="154"/>
      <c r="E421" s="89"/>
      <c r="F421" s="89"/>
      <c r="G421" s="89"/>
      <c r="H421" s="89"/>
      <c r="I421" s="89"/>
      <c r="J421" s="89"/>
      <c r="K421" s="89"/>
      <c r="L421" s="89"/>
      <c r="M421" s="167"/>
      <c r="N421" s="94"/>
      <c r="O421" s="1316">
        <f t="shared" si="903"/>
        <v>0</v>
      </c>
      <c r="S421" s="95"/>
    </row>
    <row r="422" spans="1:19">
      <c r="A422" s="160" t="s">
        <v>384</v>
      </c>
      <c r="B422" s="291" t="s">
        <v>312</v>
      </c>
      <c r="C422" s="266"/>
      <c r="D422" s="266"/>
      <c r="E422" s="89">
        <f t="shared" ref="E422:J422" si="934">E185</f>
        <v>316</v>
      </c>
      <c r="F422" s="89">
        <f t="shared" si="934"/>
        <v>293</v>
      </c>
      <c r="G422" s="89">
        <f t="shared" si="934"/>
        <v>273</v>
      </c>
      <c r="H422" s="89">
        <f t="shared" si="934"/>
        <v>265</v>
      </c>
      <c r="I422" s="89">
        <f t="shared" si="934"/>
        <v>259</v>
      </c>
      <c r="J422" s="89">
        <f t="shared" si="934"/>
        <v>253</v>
      </c>
      <c r="K422" s="89">
        <f t="shared" ref="K422:L422" si="935">K185</f>
        <v>249</v>
      </c>
      <c r="L422" s="89">
        <f t="shared" si="935"/>
        <v>245</v>
      </c>
      <c r="M422" s="167">
        <f t="shared" ref="M422" si="936">SUM(F422:H422)</f>
        <v>831</v>
      </c>
      <c r="N422" s="94">
        <f t="shared" ref="N422" si="937">SUM(F422:J422)</f>
        <v>1343</v>
      </c>
      <c r="O422" s="1316">
        <f t="shared" si="903"/>
        <v>1006</v>
      </c>
      <c r="S422" s="95"/>
    </row>
    <row r="423" spans="1:19">
      <c r="A423" s="160" t="s">
        <v>385</v>
      </c>
      <c r="B423" s="291" t="s">
        <v>323</v>
      </c>
      <c r="C423" s="266"/>
      <c r="D423" s="266"/>
      <c r="E423" s="279">
        <v>1</v>
      </c>
      <c r="F423" s="279">
        <f>E423</f>
        <v>1</v>
      </c>
      <c r="G423" s="279">
        <f t="shared" ref="G423:J423" si="938">F423</f>
        <v>1</v>
      </c>
      <c r="H423" s="279">
        <f t="shared" si="938"/>
        <v>1</v>
      </c>
      <c r="I423" s="279">
        <f t="shared" si="938"/>
        <v>1</v>
      </c>
      <c r="J423" s="279">
        <f t="shared" si="938"/>
        <v>1</v>
      </c>
      <c r="K423" s="279">
        <f t="shared" ref="K423" si="939">J423</f>
        <v>1</v>
      </c>
      <c r="L423" s="279">
        <f t="shared" ref="L423" si="940">K423</f>
        <v>1</v>
      </c>
      <c r="M423" s="167"/>
      <c r="N423" s="94"/>
      <c r="O423" s="1316"/>
      <c r="S423" s="95"/>
    </row>
    <row r="424" spans="1:19">
      <c r="A424" s="160" t="s">
        <v>386</v>
      </c>
      <c r="B424" s="291" t="s">
        <v>325</v>
      </c>
      <c r="C424" s="154"/>
      <c r="D424" s="154"/>
      <c r="E424" s="89">
        <f>E422*E423</f>
        <v>316</v>
      </c>
      <c r="F424" s="89">
        <f t="shared" ref="F424" si="941">F422*F423</f>
        <v>293</v>
      </c>
      <c r="G424" s="89">
        <f t="shared" ref="G424" si="942">G422*G423</f>
        <v>273</v>
      </c>
      <c r="H424" s="89">
        <f t="shared" ref="H424" si="943">H422*H423</f>
        <v>265</v>
      </c>
      <c r="I424" s="89">
        <f t="shared" ref="I424" si="944">I422*I423</f>
        <v>259</v>
      </c>
      <c r="J424" s="89">
        <f t="shared" ref="J424:L424" si="945">J422*J423</f>
        <v>253</v>
      </c>
      <c r="K424" s="89">
        <f t="shared" si="945"/>
        <v>249</v>
      </c>
      <c r="L424" s="89">
        <f t="shared" si="945"/>
        <v>245</v>
      </c>
      <c r="M424" s="167">
        <f t="shared" ref="M424" si="946">SUM(F424:H424)</f>
        <v>831</v>
      </c>
      <c r="N424" s="94">
        <f t="shared" ref="N424" si="947">SUM(F424:J424)</f>
        <v>1343</v>
      </c>
      <c r="O424" s="1316">
        <f t="shared" si="903"/>
        <v>1006</v>
      </c>
      <c r="S424" s="95"/>
    </row>
    <row r="425" spans="1:19">
      <c r="A425" s="160" t="s">
        <v>387</v>
      </c>
      <c r="B425" s="291" t="s">
        <v>305</v>
      </c>
      <c r="C425" s="266"/>
      <c r="D425" s="154"/>
      <c r="E425" s="152">
        <f>E220</f>
        <v>0.75</v>
      </c>
      <c r="F425" s="152">
        <f t="shared" ref="F425:J425" si="948">F220</f>
        <v>0.8</v>
      </c>
      <c r="G425" s="152">
        <f t="shared" si="948"/>
        <v>0.85</v>
      </c>
      <c r="H425" s="152">
        <f t="shared" si="948"/>
        <v>0.9</v>
      </c>
      <c r="I425" s="152">
        <f t="shared" si="948"/>
        <v>0.89999999999999991</v>
      </c>
      <c r="J425" s="152">
        <f t="shared" si="948"/>
        <v>0.9</v>
      </c>
      <c r="K425" s="152">
        <f t="shared" ref="K425:L425" si="949">K220</f>
        <v>0.9</v>
      </c>
      <c r="L425" s="152">
        <f t="shared" si="949"/>
        <v>0.89999999999999991</v>
      </c>
      <c r="M425" s="167"/>
      <c r="N425" s="94"/>
      <c r="O425" s="1316"/>
      <c r="S425" s="95"/>
    </row>
    <row r="426" spans="1:19">
      <c r="A426" s="160" t="s">
        <v>388</v>
      </c>
      <c r="B426" s="291" t="s">
        <v>326</v>
      </c>
      <c r="C426" s="266"/>
      <c r="D426" s="154"/>
      <c r="E426" s="89">
        <f>E424*E425</f>
        <v>237</v>
      </c>
      <c r="F426" s="89">
        <f t="shared" ref="F426:J426" si="950">F424*F425</f>
        <v>234.4</v>
      </c>
      <c r="G426" s="89">
        <f t="shared" si="950"/>
        <v>232.04999999999998</v>
      </c>
      <c r="H426" s="89">
        <f t="shared" si="950"/>
        <v>238.5</v>
      </c>
      <c r="I426" s="89">
        <f t="shared" si="950"/>
        <v>233.09999999999997</v>
      </c>
      <c r="J426" s="89">
        <f t="shared" si="950"/>
        <v>227.70000000000002</v>
      </c>
      <c r="K426" s="89">
        <f t="shared" ref="K426:L426" si="951">K424*K425</f>
        <v>224.1</v>
      </c>
      <c r="L426" s="89">
        <f t="shared" si="951"/>
        <v>220.49999999999997</v>
      </c>
      <c r="M426" s="167">
        <f t="shared" ref="M426" si="952">SUM(F426:H426)</f>
        <v>704.95</v>
      </c>
      <c r="N426" s="94">
        <f t="shared" ref="N426" si="953">SUM(F426:J426)</f>
        <v>1165.75</v>
      </c>
      <c r="O426" s="1316">
        <f t="shared" si="903"/>
        <v>905.4</v>
      </c>
      <c r="S426" s="95"/>
    </row>
    <row r="427" spans="1:19">
      <c r="A427" s="160" t="s">
        <v>389</v>
      </c>
      <c r="B427" s="293" t="s">
        <v>367</v>
      </c>
      <c r="C427" s="154"/>
      <c r="D427" s="154"/>
      <c r="E427" s="294">
        <f>E405*60%</f>
        <v>12</v>
      </c>
      <c r="F427" s="294">
        <f>E405*65%</f>
        <v>13</v>
      </c>
      <c r="G427" s="294">
        <f>E405*70%</f>
        <v>14</v>
      </c>
      <c r="H427" s="294">
        <f>E405*75%</f>
        <v>15</v>
      </c>
      <c r="I427" s="294">
        <f t="shared" ref="I427:J427" si="954">H427</f>
        <v>15</v>
      </c>
      <c r="J427" s="294">
        <f t="shared" si="954"/>
        <v>15</v>
      </c>
      <c r="K427" s="294">
        <f t="shared" ref="K427" si="955">J427</f>
        <v>15</v>
      </c>
      <c r="L427" s="294">
        <f t="shared" ref="L427" si="956">K427</f>
        <v>15</v>
      </c>
      <c r="M427" s="167"/>
      <c r="N427" s="94"/>
      <c r="O427" s="1316"/>
      <c r="S427" s="95"/>
    </row>
    <row r="428" spans="1:19">
      <c r="A428" s="160" t="s">
        <v>390</v>
      </c>
      <c r="B428" s="291" t="s">
        <v>308</v>
      </c>
      <c r="C428" s="266"/>
      <c r="D428" s="266"/>
      <c r="E428" s="89">
        <f>E426*E427</f>
        <v>2844</v>
      </c>
      <c r="F428" s="89">
        <f t="shared" ref="F428" si="957">F426*F427</f>
        <v>3047.2000000000003</v>
      </c>
      <c r="G428" s="89">
        <f t="shared" ref="G428" si="958">G426*G427</f>
        <v>3248.7</v>
      </c>
      <c r="H428" s="89">
        <f t="shared" ref="H428" si="959">H426*H427</f>
        <v>3577.5</v>
      </c>
      <c r="I428" s="89">
        <f t="shared" ref="I428" si="960">I426*I427</f>
        <v>3496.4999999999995</v>
      </c>
      <c r="J428" s="89">
        <f t="shared" ref="J428:L428" si="961">J426*J427</f>
        <v>3415.5000000000005</v>
      </c>
      <c r="K428" s="89">
        <f t="shared" si="961"/>
        <v>3361.5</v>
      </c>
      <c r="L428" s="89">
        <f t="shared" si="961"/>
        <v>3307.4999999999995</v>
      </c>
      <c r="M428" s="167">
        <f t="shared" ref="M428" si="962">SUM(F428:H428)</f>
        <v>9873.4</v>
      </c>
      <c r="N428" s="94">
        <f t="shared" ref="N428" si="963">SUM(F428:J428)</f>
        <v>16785.400000000001</v>
      </c>
      <c r="O428" s="1316">
        <f t="shared" si="903"/>
        <v>13581</v>
      </c>
      <c r="S428" s="95"/>
    </row>
    <row r="429" spans="1:19">
      <c r="A429" s="160" t="s">
        <v>391</v>
      </c>
      <c r="B429" s="291" t="s">
        <v>828</v>
      </c>
      <c r="C429" s="266"/>
      <c r="D429" s="266"/>
      <c r="E429" s="287">
        <f t="shared" ref="E429:J429" si="964">E291</f>
        <v>1</v>
      </c>
      <c r="F429" s="287">
        <f t="shared" si="964"/>
        <v>1</v>
      </c>
      <c r="G429" s="287">
        <f t="shared" si="964"/>
        <v>1</v>
      </c>
      <c r="H429" s="287">
        <f t="shared" si="964"/>
        <v>1</v>
      </c>
      <c r="I429" s="287">
        <f t="shared" si="964"/>
        <v>1</v>
      </c>
      <c r="J429" s="287">
        <f t="shared" si="964"/>
        <v>1</v>
      </c>
      <c r="K429" s="287">
        <f t="shared" ref="K429:L429" si="965">K291</f>
        <v>1</v>
      </c>
      <c r="L429" s="287">
        <f t="shared" si="965"/>
        <v>1</v>
      </c>
      <c r="M429" s="167"/>
      <c r="N429" s="94"/>
      <c r="O429" s="1316"/>
      <c r="S429" s="95"/>
    </row>
    <row r="430" spans="1:19">
      <c r="A430" s="160" t="s">
        <v>392</v>
      </c>
      <c r="B430" s="291" t="s">
        <v>309</v>
      </c>
      <c r="C430" s="154"/>
      <c r="D430" s="154"/>
      <c r="E430" s="89">
        <f>E428*E429</f>
        <v>2844</v>
      </c>
      <c r="F430" s="89">
        <f t="shared" ref="F430:J430" si="966">F428*F429</f>
        <v>3047.2000000000003</v>
      </c>
      <c r="G430" s="89">
        <f t="shared" si="966"/>
        <v>3248.7</v>
      </c>
      <c r="H430" s="89">
        <f t="shared" si="966"/>
        <v>3577.5</v>
      </c>
      <c r="I430" s="89">
        <f t="shared" si="966"/>
        <v>3496.4999999999995</v>
      </c>
      <c r="J430" s="89">
        <f t="shared" si="966"/>
        <v>3415.5000000000005</v>
      </c>
      <c r="K430" s="89">
        <f t="shared" ref="K430:L430" si="967">K428*K429</f>
        <v>3361.5</v>
      </c>
      <c r="L430" s="89">
        <f t="shared" si="967"/>
        <v>3307.4999999999995</v>
      </c>
      <c r="M430" s="167">
        <f t="shared" ref="M430" si="968">SUM(F430:H430)</f>
        <v>9873.4</v>
      </c>
      <c r="N430" s="94">
        <f t="shared" ref="N430" si="969">SUM(F430:J430)</f>
        <v>16785.400000000001</v>
      </c>
      <c r="O430" s="1316">
        <f t="shared" si="903"/>
        <v>13581</v>
      </c>
      <c r="S430" s="95"/>
    </row>
    <row r="431" spans="1:19">
      <c r="A431" s="162">
        <v>3.4</v>
      </c>
      <c r="B431" s="159" t="s">
        <v>460</v>
      </c>
      <c r="C431" s="154"/>
      <c r="D431" s="154"/>
      <c r="E431" s="89"/>
      <c r="F431" s="89"/>
      <c r="G431" s="89"/>
      <c r="H431" s="89"/>
      <c r="I431" s="89"/>
      <c r="J431" s="89"/>
      <c r="K431" s="89"/>
      <c r="L431" s="89"/>
      <c r="M431" s="167"/>
      <c r="N431" s="94"/>
      <c r="O431" s="1316">
        <f t="shared" si="903"/>
        <v>0</v>
      </c>
      <c r="S431" s="95"/>
    </row>
    <row r="432" spans="1:19">
      <c r="A432" s="160" t="s">
        <v>555</v>
      </c>
      <c r="B432" s="291" t="s">
        <v>312</v>
      </c>
      <c r="C432" s="266"/>
      <c r="D432" s="266"/>
      <c r="E432" s="89">
        <f t="shared" ref="E432:J432" si="970">E185</f>
        <v>316</v>
      </c>
      <c r="F432" s="89">
        <f t="shared" si="970"/>
        <v>293</v>
      </c>
      <c r="G432" s="89">
        <f t="shared" si="970"/>
        <v>273</v>
      </c>
      <c r="H432" s="89">
        <f t="shared" si="970"/>
        <v>265</v>
      </c>
      <c r="I432" s="89">
        <f t="shared" si="970"/>
        <v>259</v>
      </c>
      <c r="J432" s="89">
        <f t="shared" si="970"/>
        <v>253</v>
      </c>
      <c r="K432" s="89">
        <f t="shared" ref="K432:L432" si="971">K185</f>
        <v>249</v>
      </c>
      <c r="L432" s="89">
        <f t="shared" si="971"/>
        <v>245</v>
      </c>
      <c r="M432" s="167">
        <f t="shared" ref="M432" si="972">SUM(F432:H432)</f>
        <v>831</v>
      </c>
      <c r="N432" s="94">
        <f t="shared" ref="N432" si="973">SUM(F432:J432)</f>
        <v>1343</v>
      </c>
      <c r="O432" s="1316">
        <f t="shared" si="903"/>
        <v>1006</v>
      </c>
      <c r="S432" s="95"/>
    </row>
    <row r="433" spans="1:19">
      <c r="A433" s="160" t="s">
        <v>556</v>
      </c>
      <c r="B433" s="291" t="s">
        <v>481</v>
      </c>
      <c r="C433" s="266"/>
      <c r="D433" s="266"/>
      <c r="E433" s="152">
        <v>0.1</v>
      </c>
      <c r="F433" s="152">
        <f>E433</f>
        <v>0.1</v>
      </c>
      <c r="G433" s="152">
        <f t="shared" ref="G433:J433" si="974">F433</f>
        <v>0.1</v>
      </c>
      <c r="H433" s="152">
        <f t="shared" si="974"/>
        <v>0.1</v>
      </c>
      <c r="I433" s="152">
        <f t="shared" si="974"/>
        <v>0.1</v>
      </c>
      <c r="J433" s="152">
        <f t="shared" si="974"/>
        <v>0.1</v>
      </c>
      <c r="K433" s="152">
        <f t="shared" ref="K433" si="975">J433</f>
        <v>0.1</v>
      </c>
      <c r="L433" s="152">
        <f t="shared" ref="L433" si="976">K433</f>
        <v>0.1</v>
      </c>
      <c r="M433" s="167"/>
      <c r="N433" s="94"/>
      <c r="O433" s="1316"/>
      <c r="S433" s="95"/>
    </row>
    <row r="434" spans="1:19">
      <c r="A434" s="160" t="s">
        <v>557</v>
      </c>
      <c r="B434" s="291" t="s">
        <v>482</v>
      </c>
      <c r="C434" s="154"/>
      <c r="D434" s="154"/>
      <c r="E434" s="89">
        <f>E432*E433</f>
        <v>31.6</v>
      </c>
      <c r="F434" s="89">
        <f t="shared" ref="F434:J434" si="977">F432*F433</f>
        <v>29.3</v>
      </c>
      <c r="G434" s="89">
        <f t="shared" si="977"/>
        <v>27.3</v>
      </c>
      <c r="H434" s="89">
        <f t="shared" si="977"/>
        <v>26.5</v>
      </c>
      <c r="I434" s="89">
        <f t="shared" si="977"/>
        <v>25.900000000000002</v>
      </c>
      <c r="J434" s="89">
        <f t="shared" si="977"/>
        <v>25.3</v>
      </c>
      <c r="K434" s="89">
        <f t="shared" ref="K434:L434" si="978">K432*K433</f>
        <v>24.900000000000002</v>
      </c>
      <c r="L434" s="89">
        <f t="shared" si="978"/>
        <v>24.5</v>
      </c>
      <c r="M434" s="167">
        <f t="shared" ref="M434" si="979">SUM(F434:H434)</f>
        <v>83.1</v>
      </c>
      <c r="N434" s="94">
        <f t="shared" ref="N434" si="980">SUM(F434:J434)</f>
        <v>134.30000000000001</v>
      </c>
      <c r="O434" s="1316">
        <f t="shared" si="903"/>
        <v>100.60000000000001</v>
      </c>
      <c r="S434" s="95"/>
    </row>
    <row r="435" spans="1:19">
      <c r="A435" s="160" t="s">
        <v>558</v>
      </c>
      <c r="B435" s="291" t="s">
        <v>462</v>
      </c>
      <c r="C435" s="266"/>
      <c r="D435" s="154"/>
      <c r="E435" s="152">
        <f t="shared" ref="E435:J435" si="981">E229</f>
        <v>0.75</v>
      </c>
      <c r="F435" s="152">
        <f t="shared" si="981"/>
        <v>0.8</v>
      </c>
      <c r="G435" s="152">
        <f t="shared" si="981"/>
        <v>0.85</v>
      </c>
      <c r="H435" s="152">
        <f t="shared" si="981"/>
        <v>0.9</v>
      </c>
      <c r="I435" s="152">
        <f t="shared" si="981"/>
        <v>0.89999999999999991</v>
      </c>
      <c r="J435" s="152">
        <f t="shared" si="981"/>
        <v>0.9</v>
      </c>
      <c r="K435" s="152">
        <f t="shared" ref="K435:L435" si="982">K229</f>
        <v>0.9</v>
      </c>
      <c r="L435" s="152">
        <f t="shared" si="982"/>
        <v>0.89999999999999991</v>
      </c>
      <c r="M435" s="167"/>
      <c r="N435" s="94"/>
      <c r="O435" s="1316"/>
      <c r="S435" s="95"/>
    </row>
    <row r="436" spans="1:19">
      <c r="A436" s="160" t="s">
        <v>559</v>
      </c>
      <c r="B436" s="291" t="s">
        <v>480</v>
      </c>
      <c r="C436" s="266"/>
      <c r="D436" s="154"/>
      <c r="E436" s="89">
        <f>E434*E435</f>
        <v>23.700000000000003</v>
      </c>
      <c r="F436" s="89">
        <f t="shared" ref="F436:J436" si="983">F434*F435</f>
        <v>23.44</v>
      </c>
      <c r="G436" s="89">
        <f t="shared" si="983"/>
        <v>23.204999999999998</v>
      </c>
      <c r="H436" s="89">
        <f t="shared" si="983"/>
        <v>23.85</v>
      </c>
      <c r="I436" s="89">
        <f t="shared" si="983"/>
        <v>23.31</v>
      </c>
      <c r="J436" s="89">
        <f t="shared" si="983"/>
        <v>22.77</v>
      </c>
      <c r="K436" s="89">
        <f t="shared" ref="K436:L436" si="984">K434*K435</f>
        <v>22.410000000000004</v>
      </c>
      <c r="L436" s="89">
        <f t="shared" si="984"/>
        <v>22.049999999999997</v>
      </c>
      <c r="M436" s="167">
        <f t="shared" ref="M436" si="985">SUM(F436:H436)</f>
        <v>70.495000000000005</v>
      </c>
      <c r="N436" s="94">
        <f t="shared" ref="N436" si="986">SUM(F436:J436)</f>
        <v>116.575</v>
      </c>
      <c r="O436" s="1316">
        <f t="shared" si="903"/>
        <v>90.54</v>
      </c>
      <c r="S436" s="95"/>
    </row>
    <row r="437" spans="1:19">
      <c r="A437" s="160" t="s">
        <v>560</v>
      </c>
      <c r="B437" s="293" t="s">
        <v>464</v>
      </c>
      <c r="C437" s="154"/>
      <c r="D437" s="154"/>
      <c r="E437" s="152">
        <f t="shared" ref="E437:J437" si="987">E231</f>
        <v>0.02</v>
      </c>
      <c r="F437" s="152">
        <f t="shared" si="987"/>
        <v>0.02</v>
      </c>
      <c r="G437" s="152">
        <f t="shared" si="987"/>
        <v>0.02</v>
      </c>
      <c r="H437" s="152">
        <f t="shared" si="987"/>
        <v>0.02</v>
      </c>
      <c r="I437" s="152">
        <f t="shared" si="987"/>
        <v>0.02</v>
      </c>
      <c r="J437" s="152">
        <f t="shared" si="987"/>
        <v>0.02</v>
      </c>
      <c r="K437" s="152">
        <f t="shared" ref="K437:L437" si="988">K231</f>
        <v>0.02</v>
      </c>
      <c r="L437" s="152">
        <f t="shared" si="988"/>
        <v>0.02</v>
      </c>
      <c r="M437" s="167"/>
      <c r="N437" s="94"/>
      <c r="O437" s="1316">
        <f t="shared" si="903"/>
        <v>0.08</v>
      </c>
      <c r="S437" s="95"/>
    </row>
    <row r="438" spans="1:19">
      <c r="A438" s="160" t="s">
        <v>561</v>
      </c>
      <c r="B438" s="291" t="s">
        <v>465</v>
      </c>
      <c r="C438" s="266"/>
      <c r="D438" s="266"/>
      <c r="E438" s="89">
        <f>E436+E436*E437</f>
        <v>24.174000000000003</v>
      </c>
      <c r="F438" s="89">
        <f t="shared" ref="F438:J438" si="989">F436+F436*F437</f>
        <v>23.908800000000003</v>
      </c>
      <c r="G438" s="89">
        <f t="shared" si="989"/>
        <v>23.669099999999997</v>
      </c>
      <c r="H438" s="89">
        <f t="shared" si="989"/>
        <v>24.327000000000002</v>
      </c>
      <c r="I438" s="89">
        <f t="shared" si="989"/>
        <v>23.776199999999999</v>
      </c>
      <c r="J438" s="89">
        <f t="shared" si="989"/>
        <v>23.2254</v>
      </c>
      <c r="K438" s="89">
        <f t="shared" ref="K438:L438" si="990">K436+K436*K437</f>
        <v>22.858200000000004</v>
      </c>
      <c r="L438" s="89">
        <f t="shared" si="990"/>
        <v>22.490999999999996</v>
      </c>
      <c r="M438" s="167">
        <f t="shared" ref="M438" si="991">SUM(F438:H438)</f>
        <v>71.904899999999998</v>
      </c>
      <c r="N438" s="94">
        <f t="shared" ref="N438" si="992">SUM(F438:J438)</f>
        <v>118.90649999999999</v>
      </c>
      <c r="O438" s="1316">
        <f t="shared" si="903"/>
        <v>92.350800000000007</v>
      </c>
      <c r="S438" s="95"/>
    </row>
    <row r="439" spans="1:19">
      <c r="A439" s="160" t="s">
        <v>562</v>
      </c>
      <c r="B439" s="291" t="s">
        <v>820</v>
      </c>
      <c r="C439" s="266"/>
      <c r="D439" s="266"/>
      <c r="E439" s="287">
        <f>E233</f>
        <v>1</v>
      </c>
      <c r="F439" s="287">
        <f>E439</f>
        <v>1</v>
      </c>
      <c r="G439" s="287">
        <f>F439</f>
        <v>1</v>
      </c>
      <c r="H439" s="287">
        <f t="shared" ref="H439:J439" si="993">G439</f>
        <v>1</v>
      </c>
      <c r="I439" s="287">
        <f t="shared" si="993"/>
        <v>1</v>
      </c>
      <c r="J439" s="287">
        <f t="shared" si="993"/>
        <v>1</v>
      </c>
      <c r="K439" s="287">
        <f t="shared" ref="K439" si="994">J439</f>
        <v>1</v>
      </c>
      <c r="L439" s="287">
        <f t="shared" ref="L439" si="995">K439</f>
        <v>1</v>
      </c>
      <c r="M439" s="167"/>
      <c r="N439" s="94"/>
      <c r="O439" s="1316"/>
      <c r="S439" s="95"/>
    </row>
    <row r="440" spans="1:19">
      <c r="A440" s="160" t="s">
        <v>563</v>
      </c>
      <c r="B440" s="291" t="s">
        <v>821</v>
      </c>
      <c r="C440" s="154"/>
      <c r="D440" s="154"/>
      <c r="E440" s="89">
        <f>E438*E439</f>
        <v>24.174000000000003</v>
      </c>
      <c r="F440" s="89">
        <f t="shared" ref="F440:J440" si="996">F438*F439</f>
        <v>23.908800000000003</v>
      </c>
      <c r="G440" s="89">
        <f t="shared" si="996"/>
        <v>23.669099999999997</v>
      </c>
      <c r="H440" s="89">
        <f t="shared" si="996"/>
        <v>24.327000000000002</v>
      </c>
      <c r="I440" s="89">
        <f t="shared" si="996"/>
        <v>23.776199999999999</v>
      </c>
      <c r="J440" s="89">
        <f t="shared" si="996"/>
        <v>23.2254</v>
      </c>
      <c r="K440" s="89">
        <f t="shared" ref="K440:L440" si="997">K438*K439</f>
        <v>22.858200000000004</v>
      </c>
      <c r="L440" s="89">
        <f t="shared" si="997"/>
        <v>22.490999999999996</v>
      </c>
      <c r="M440" s="167">
        <f t="shared" ref="M440" si="998">SUM(F440:H440)</f>
        <v>71.904899999999998</v>
      </c>
      <c r="N440" s="94">
        <f t="shared" ref="N440" si="999">SUM(F440:J440)</f>
        <v>118.90649999999999</v>
      </c>
      <c r="O440" s="1316">
        <f t="shared" si="903"/>
        <v>92.350800000000007</v>
      </c>
      <c r="S440" s="95"/>
    </row>
    <row r="441" spans="1:19">
      <c r="A441" s="162">
        <v>3.5</v>
      </c>
      <c r="B441" s="161" t="s">
        <v>459</v>
      </c>
      <c r="C441" s="154"/>
      <c r="D441" s="154"/>
      <c r="E441" s="89"/>
      <c r="F441" s="89"/>
      <c r="G441" s="89"/>
      <c r="H441" s="89"/>
      <c r="I441" s="89"/>
      <c r="J441" s="89"/>
      <c r="K441" s="89"/>
      <c r="L441" s="89"/>
      <c r="M441" s="167"/>
      <c r="N441" s="94"/>
      <c r="O441" s="1316">
        <f t="shared" si="903"/>
        <v>0</v>
      </c>
      <c r="S441" s="95"/>
    </row>
    <row r="442" spans="1:19">
      <c r="A442" s="160" t="s">
        <v>564</v>
      </c>
      <c r="B442" s="291" t="s">
        <v>312</v>
      </c>
      <c r="C442" s="266"/>
      <c r="D442" s="266"/>
      <c r="E442" s="89">
        <f t="shared" ref="E442:J442" si="1000">E185</f>
        <v>316</v>
      </c>
      <c r="F442" s="89">
        <f t="shared" si="1000"/>
        <v>293</v>
      </c>
      <c r="G442" s="89">
        <f t="shared" si="1000"/>
        <v>273</v>
      </c>
      <c r="H442" s="89">
        <f t="shared" si="1000"/>
        <v>265</v>
      </c>
      <c r="I442" s="89">
        <f t="shared" si="1000"/>
        <v>259</v>
      </c>
      <c r="J442" s="89">
        <f t="shared" si="1000"/>
        <v>253</v>
      </c>
      <c r="K442" s="89">
        <f t="shared" ref="K442:L442" si="1001">K185</f>
        <v>249</v>
      </c>
      <c r="L442" s="89">
        <f t="shared" si="1001"/>
        <v>245</v>
      </c>
      <c r="M442" s="167">
        <f t="shared" ref="M442" si="1002">SUM(F442:H442)</f>
        <v>831</v>
      </c>
      <c r="N442" s="94">
        <f t="shared" ref="N442" si="1003">SUM(F442:J442)</f>
        <v>1343</v>
      </c>
      <c r="O442" s="1316">
        <f t="shared" si="903"/>
        <v>1006</v>
      </c>
      <c r="S442" s="95"/>
    </row>
    <row r="443" spans="1:19">
      <c r="A443" s="160" t="s">
        <v>565</v>
      </c>
      <c r="B443" s="291" t="s">
        <v>483</v>
      </c>
      <c r="C443" s="266"/>
      <c r="D443" s="266"/>
      <c r="E443" s="152">
        <v>0</v>
      </c>
      <c r="F443" s="152">
        <f>E443</f>
        <v>0</v>
      </c>
      <c r="G443" s="152">
        <f t="shared" ref="G443:J443" si="1004">F443</f>
        <v>0</v>
      </c>
      <c r="H443" s="152">
        <f t="shared" si="1004"/>
        <v>0</v>
      </c>
      <c r="I443" s="152">
        <f t="shared" si="1004"/>
        <v>0</v>
      </c>
      <c r="J443" s="152">
        <f t="shared" si="1004"/>
        <v>0</v>
      </c>
      <c r="K443" s="152">
        <f t="shared" ref="K443" si="1005">J443</f>
        <v>0</v>
      </c>
      <c r="L443" s="152">
        <f t="shared" ref="L443" si="1006">K443</f>
        <v>0</v>
      </c>
      <c r="M443" s="167"/>
      <c r="N443" s="94"/>
      <c r="O443" s="1316">
        <f t="shared" si="903"/>
        <v>0</v>
      </c>
      <c r="S443" s="95"/>
    </row>
    <row r="444" spans="1:19">
      <c r="A444" s="160" t="s">
        <v>566</v>
      </c>
      <c r="B444" s="291" t="s">
        <v>484</v>
      </c>
      <c r="C444" s="154"/>
      <c r="D444" s="154"/>
      <c r="E444" s="89">
        <f>E442*E443</f>
        <v>0</v>
      </c>
      <c r="F444" s="89">
        <f t="shared" ref="F444:J444" si="1007">F442*F443</f>
        <v>0</v>
      </c>
      <c r="G444" s="89">
        <f t="shared" si="1007"/>
        <v>0</v>
      </c>
      <c r="H444" s="89">
        <f t="shared" si="1007"/>
        <v>0</v>
      </c>
      <c r="I444" s="89">
        <f t="shared" si="1007"/>
        <v>0</v>
      </c>
      <c r="J444" s="89">
        <f t="shared" si="1007"/>
        <v>0</v>
      </c>
      <c r="K444" s="89">
        <f t="shared" ref="K444:L444" si="1008">K442*K443</f>
        <v>0</v>
      </c>
      <c r="L444" s="89">
        <f t="shared" si="1008"/>
        <v>0</v>
      </c>
      <c r="M444" s="167">
        <f t="shared" ref="M444" si="1009">SUM(F444:H444)</f>
        <v>0</v>
      </c>
      <c r="N444" s="94">
        <f t="shared" ref="N444" si="1010">SUM(F444:J444)</f>
        <v>0</v>
      </c>
      <c r="O444" s="1316">
        <f t="shared" si="903"/>
        <v>0</v>
      </c>
      <c r="S444" s="95"/>
    </row>
    <row r="445" spans="1:19">
      <c r="A445" s="160" t="s">
        <v>567</v>
      </c>
      <c r="B445" s="291" t="s">
        <v>455</v>
      </c>
      <c r="C445" s="266"/>
      <c r="D445" s="154"/>
      <c r="E445" s="152">
        <f t="shared" ref="E445:J445" si="1011">E238</f>
        <v>0.7</v>
      </c>
      <c r="F445" s="152">
        <f t="shared" si="1011"/>
        <v>0.8</v>
      </c>
      <c r="G445" s="152">
        <f t="shared" si="1011"/>
        <v>0.85</v>
      </c>
      <c r="H445" s="152">
        <f t="shared" si="1011"/>
        <v>0.95</v>
      </c>
      <c r="I445" s="152">
        <f t="shared" si="1011"/>
        <v>0.95</v>
      </c>
      <c r="J445" s="152">
        <f t="shared" si="1011"/>
        <v>0.95</v>
      </c>
      <c r="K445" s="152">
        <f t="shared" ref="K445:L445" si="1012">K238</f>
        <v>0.95</v>
      </c>
      <c r="L445" s="152">
        <f t="shared" si="1012"/>
        <v>0.95</v>
      </c>
      <c r="M445" s="167"/>
      <c r="N445" s="94"/>
      <c r="O445" s="1316"/>
      <c r="S445" s="95"/>
    </row>
    <row r="446" spans="1:19">
      <c r="A446" s="160" t="s">
        <v>568</v>
      </c>
      <c r="B446" s="291" t="s">
        <v>485</v>
      </c>
      <c r="C446" s="266"/>
      <c r="D446" s="154"/>
      <c r="E446" s="89">
        <f>E444*E445</f>
        <v>0</v>
      </c>
      <c r="F446" s="89">
        <f t="shared" ref="F446:J446" si="1013">F444*F445</f>
        <v>0</v>
      </c>
      <c r="G446" s="89">
        <f t="shared" si="1013"/>
        <v>0</v>
      </c>
      <c r="H446" s="89">
        <f t="shared" si="1013"/>
        <v>0</v>
      </c>
      <c r="I446" s="89">
        <f t="shared" si="1013"/>
        <v>0</v>
      </c>
      <c r="J446" s="89">
        <f t="shared" si="1013"/>
        <v>0</v>
      </c>
      <c r="K446" s="89">
        <f t="shared" ref="K446:L446" si="1014">K444*K445</f>
        <v>0</v>
      </c>
      <c r="L446" s="89">
        <f t="shared" si="1014"/>
        <v>0</v>
      </c>
      <c r="M446" s="167">
        <f t="shared" ref="M446" si="1015">SUM(F446:H446)</f>
        <v>0</v>
      </c>
      <c r="N446" s="94">
        <f t="shared" ref="N446" si="1016">SUM(F446:J446)</f>
        <v>0</v>
      </c>
      <c r="O446" s="1316">
        <f t="shared" si="903"/>
        <v>0</v>
      </c>
      <c r="S446" s="95"/>
    </row>
    <row r="447" spans="1:19">
      <c r="A447" s="160" t="s">
        <v>569</v>
      </c>
      <c r="B447" s="293" t="s">
        <v>457</v>
      </c>
      <c r="C447" s="154"/>
      <c r="D447" s="154"/>
      <c r="E447" s="152">
        <f t="shared" ref="E447:J447" si="1017">E240</f>
        <v>0.1</v>
      </c>
      <c r="F447" s="152">
        <f t="shared" si="1017"/>
        <v>0.1</v>
      </c>
      <c r="G447" s="152">
        <f t="shared" si="1017"/>
        <v>0.1</v>
      </c>
      <c r="H447" s="152">
        <f t="shared" si="1017"/>
        <v>0.1</v>
      </c>
      <c r="I447" s="152">
        <f t="shared" si="1017"/>
        <v>0.1</v>
      </c>
      <c r="J447" s="152">
        <f t="shared" si="1017"/>
        <v>0.1</v>
      </c>
      <c r="K447" s="152">
        <f t="shared" ref="K447:L447" si="1018">K240</f>
        <v>0.1</v>
      </c>
      <c r="L447" s="152">
        <f t="shared" si="1018"/>
        <v>0.1</v>
      </c>
      <c r="M447" s="167"/>
      <c r="N447" s="94"/>
      <c r="O447" s="1316">
        <f t="shared" si="903"/>
        <v>0.4</v>
      </c>
      <c r="S447" s="95"/>
    </row>
    <row r="448" spans="1:19">
      <c r="A448" s="160" t="s">
        <v>570</v>
      </c>
      <c r="B448" s="291" t="s">
        <v>458</v>
      </c>
      <c r="C448" s="266"/>
      <c r="D448" s="266"/>
      <c r="E448" s="89">
        <f>E446+E446*E447</f>
        <v>0</v>
      </c>
      <c r="F448" s="89">
        <f t="shared" ref="F448:J448" si="1019">F446+F446*F447</f>
        <v>0</v>
      </c>
      <c r="G448" s="89">
        <f t="shared" si="1019"/>
        <v>0</v>
      </c>
      <c r="H448" s="89">
        <f t="shared" si="1019"/>
        <v>0</v>
      </c>
      <c r="I448" s="89">
        <f t="shared" si="1019"/>
        <v>0</v>
      </c>
      <c r="J448" s="89">
        <f t="shared" si="1019"/>
        <v>0</v>
      </c>
      <c r="K448" s="89">
        <f t="shared" ref="K448:L448" si="1020">K446+K446*K447</f>
        <v>0</v>
      </c>
      <c r="L448" s="89">
        <f t="shared" si="1020"/>
        <v>0</v>
      </c>
      <c r="M448" s="167">
        <f t="shared" ref="M448" si="1021">SUM(F448:H448)</f>
        <v>0</v>
      </c>
      <c r="N448" s="94">
        <f t="shared" ref="N448" si="1022">SUM(F448:J448)</f>
        <v>0</v>
      </c>
      <c r="O448" s="1316">
        <f t="shared" si="903"/>
        <v>0</v>
      </c>
      <c r="S448" s="95"/>
    </row>
    <row r="449" spans="1:19">
      <c r="A449" s="160" t="s">
        <v>571</v>
      </c>
      <c r="B449" s="291" t="s">
        <v>822</v>
      </c>
      <c r="C449" s="266"/>
      <c r="D449" s="266"/>
      <c r="E449" s="287">
        <f t="shared" ref="E449:J449" si="1023">E242</f>
        <v>1</v>
      </c>
      <c r="F449" s="287">
        <f t="shared" si="1023"/>
        <v>1</v>
      </c>
      <c r="G449" s="287">
        <f t="shared" si="1023"/>
        <v>1</v>
      </c>
      <c r="H449" s="287">
        <f t="shared" si="1023"/>
        <v>1</v>
      </c>
      <c r="I449" s="287">
        <f t="shared" si="1023"/>
        <v>1</v>
      </c>
      <c r="J449" s="287">
        <f t="shared" si="1023"/>
        <v>1</v>
      </c>
      <c r="K449" s="287">
        <f t="shared" ref="K449:L449" si="1024">K242</f>
        <v>1</v>
      </c>
      <c r="L449" s="287">
        <f t="shared" si="1024"/>
        <v>1</v>
      </c>
      <c r="M449" s="167"/>
      <c r="N449" s="94"/>
      <c r="O449" s="1316"/>
      <c r="S449" s="95"/>
    </row>
    <row r="450" spans="1:19">
      <c r="A450" s="160" t="s">
        <v>572</v>
      </c>
      <c r="B450" s="291" t="s">
        <v>823</v>
      </c>
      <c r="C450" s="154"/>
      <c r="D450" s="154"/>
      <c r="E450" s="89">
        <f>E448*E449</f>
        <v>0</v>
      </c>
      <c r="F450" s="89">
        <f t="shared" ref="F450:J450" si="1025">F448*F449</f>
        <v>0</v>
      </c>
      <c r="G450" s="89">
        <f t="shared" si="1025"/>
        <v>0</v>
      </c>
      <c r="H450" s="89">
        <f t="shared" si="1025"/>
        <v>0</v>
      </c>
      <c r="I450" s="89">
        <f t="shared" si="1025"/>
        <v>0</v>
      </c>
      <c r="J450" s="89">
        <f t="shared" si="1025"/>
        <v>0</v>
      </c>
      <c r="K450" s="89">
        <f t="shared" ref="K450:L450" si="1026">K448*K449</f>
        <v>0</v>
      </c>
      <c r="L450" s="89">
        <f t="shared" si="1026"/>
        <v>0</v>
      </c>
      <c r="M450" s="167">
        <f t="shared" ref="M450" si="1027">SUM(F450:H450)</f>
        <v>0</v>
      </c>
      <c r="N450" s="94">
        <f t="shared" ref="N450" si="1028">SUM(F450:J450)</f>
        <v>0</v>
      </c>
      <c r="O450" s="1316">
        <f t="shared" si="903"/>
        <v>0</v>
      </c>
      <c r="S450" s="95"/>
    </row>
    <row r="451" spans="1:19">
      <c r="A451" s="162">
        <v>3.6</v>
      </c>
      <c r="B451" s="159" t="s">
        <v>466</v>
      </c>
      <c r="C451" s="154"/>
      <c r="D451" s="154"/>
      <c r="E451" s="89"/>
      <c r="F451" s="89"/>
      <c r="G451" s="89"/>
      <c r="H451" s="89"/>
      <c r="I451" s="89"/>
      <c r="J451" s="89"/>
      <c r="K451" s="89"/>
      <c r="L451" s="89"/>
      <c r="M451" s="167"/>
      <c r="N451" s="94"/>
      <c r="O451" s="1316">
        <f t="shared" si="903"/>
        <v>0</v>
      </c>
      <c r="S451" s="95"/>
    </row>
    <row r="452" spans="1:19">
      <c r="A452" s="160" t="s">
        <v>573</v>
      </c>
      <c r="B452" s="291" t="s">
        <v>312</v>
      </c>
      <c r="C452" s="266"/>
      <c r="D452" s="266"/>
      <c r="E452" s="89">
        <f t="shared" ref="E452:J452" si="1029">E185</f>
        <v>316</v>
      </c>
      <c r="F452" s="89">
        <f t="shared" si="1029"/>
        <v>293</v>
      </c>
      <c r="G452" s="89">
        <f t="shared" si="1029"/>
        <v>273</v>
      </c>
      <c r="H452" s="89">
        <f t="shared" si="1029"/>
        <v>265</v>
      </c>
      <c r="I452" s="89">
        <f t="shared" si="1029"/>
        <v>259</v>
      </c>
      <c r="J452" s="89">
        <f t="shared" si="1029"/>
        <v>253</v>
      </c>
      <c r="K452" s="89">
        <f t="shared" ref="K452:L452" si="1030">K185</f>
        <v>249</v>
      </c>
      <c r="L452" s="89">
        <f t="shared" si="1030"/>
        <v>245</v>
      </c>
      <c r="M452" s="167">
        <f t="shared" ref="M452" si="1031">SUM(F452:H452)</f>
        <v>831</v>
      </c>
      <c r="N452" s="94">
        <f t="shared" ref="N452" si="1032">SUM(F452:J452)</f>
        <v>1343</v>
      </c>
      <c r="O452" s="1316">
        <f t="shared" si="903"/>
        <v>1006</v>
      </c>
      <c r="S452" s="95"/>
    </row>
    <row r="453" spans="1:19">
      <c r="A453" s="160" t="s">
        <v>574</v>
      </c>
      <c r="B453" s="291" t="s">
        <v>495</v>
      </c>
      <c r="C453" s="266"/>
      <c r="D453" s="266"/>
      <c r="E453" s="152">
        <v>0.5</v>
      </c>
      <c r="F453" s="152">
        <f>E453</f>
        <v>0.5</v>
      </c>
      <c r="G453" s="152">
        <f t="shared" ref="G453:J453" si="1033">F453</f>
        <v>0.5</v>
      </c>
      <c r="H453" s="152">
        <f t="shared" si="1033"/>
        <v>0.5</v>
      </c>
      <c r="I453" s="152">
        <f t="shared" si="1033"/>
        <v>0.5</v>
      </c>
      <c r="J453" s="152">
        <f t="shared" si="1033"/>
        <v>0.5</v>
      </c>
      <c r="K453" s="152">
        <f t="shared" ref="K453" si="1034">J453</f>
        <v>0.5</v>
      </c>
      <c r="L453" s="152">
        <f t="shared" ref="L453" si="1035">K453</f>
        <v>0.5</v>
      </c>
      <c r="M453" s="167"/>
      <c r="N453" s="94"/>
      <c r="O453" s="1316"/>
      <c r="S453" s="95"/>
    </row>
    <row r="454" spans="1:19">
      <c r="A454" s="160" t="s">
        <v>575</v>
      </c>
      <c r="B454" s="291" t="s">
        <v>496</v>
      </c>
      <c r="C454" s="154"/>
      <c r="D454" s="154"/>
      <c r="E454" s="89">
        <f>E452*E453</f>
        <v>158</v>
      </c>
      <c r="F454" s="89">
        <f t="shared" ref="F454:J454" si="1036">F452*F453</f>
        <v>146.5</v>
      </c>
      <c r="G454" s="89">
        <f t="shared" si="1036"/>
        <v>136.5</v>
      </c>
      <c r="H454" s="89">
        <f t="shared" si="1036"/>
        <v>132.5</v>
      </c>
      <c r="I454" s="89">
        <f t="shared" si="1036"/>
        <v>129.5</v>
      </c>
      <c r="J454" s="89">
        <f t="shared" si="1036"/>
        <v>126.5</v>
      </c>
      <c r="K454" s="89">
        <f t="shared" ref="K454:L454" si="1037">K452*K453</f>
        <v>124.5</v>
      </c>
      <c r="L454" s="89">
        <f t="shared" si="1037"/>
        <v>122.5</v>
      </c>
      <c r="M454" s="167">
        <f t="shared" ref="M454" si="1038">SUM(F454:H454)</f>
        <v>415.5</v>
      </c>
      <c r="N454" s="94">
        <f t="shared" ref="N454" si="1039">SUM(F454:J454)</f>
        <v>671.5</v>
      </c>
      <c r="O454" s="1316">
        <f t="shared" si="903"/>
        <v>503</v>
      </c>
      <c r="S454" s="95"/>
    </row>
    <row r="455" spans="1:19">
      <c r="A455" s="160" t="s">
        <v>576</v>
      </c>
      <c r="B455" s="291" t="s">
        <v>470</v>
      </c>
      <c r="C455" s="266"/>
      <c r="D455" s="154"/>
      <c r="E455" s="152">
        <f t="shared" ref="E455:J455" si="1040">E247</f>
        <v>0.8</v>
      </c>
      <c r="F455" s="152">
        <f t="shared" si="1040"/>
        <v>0.85</v>
      </c>
      <c r="G455" s="152">
        <f t="shared" si="1040"/>
        <v>0.9</v>
      </c>
      <c r="H455" s="152">
        <f t="shared" si="1040"/>
        <v>0.95</v>
      </c>
      <c r="I455" s="152">
        <f t="shared" si="1040"/>
        <v>0.95</v>
      </c>
      <c r="J455" s="152">
        <f t="shared" si="1040"/>
        <v>0.95</v>
      </c>
      <c r="K455" s="152">
        <f t="shared" ref="K455:L455" si="1041">K247</f>
        <v>0.95</v>
      </c>
      <c r="L455" s="152">
        <f t="shared" si="1041"/>
        <v>0.95</v>
      </c>
      <c r="M455" s="167"/>
      <c r="N455" s="94"/>
      <c r="O455" s="1316"/>
      <c r="S455" s="95"/>
    </row>
    <row r="456" spans="1:19">
      <c r="A456" s="160" t="s">
        <v>577</v>
      </c>
      <c r="B456" s="291" t="s">
        <v>497</v>
      </c>
      <c r="C456" s="266"/>
      <c r="D456" s="154"/>
      <c r="E456" s="89">
        <f>E454*E455</f>
        <v>126.4</v>
      </c>
      <c r="F456" s="89">
        <f t="shared" ref="F456:J456" si="1042">F454*F455</f>
        <v>124.52499999999999</v>
      </c>
      <c r="G456" s="89">
        <f t="shared" si="1042"/>
        <v>122.85000000000001</v>
      </c>
      <c r="H456" s="89">
        <f t="shared" si="1042"/>
        <v>125.875</v>
      </c>
      <c r="I456" s="89">
        <f t="shared" si="1042"/>
        <v>123.02499999999999</v>
      </c>
      <c r="J456" s="89">
        <f t="shared" si="1042"/>
        <v>120.175</v>
      </c>
      <c r="K456" s="89">
        <f t="shared" ref="K456:L456" si="1043">K454*K455</f>
        <v>118.27499999999999</v>
      </c>
      <c r="L456" s="89">
        <f t="shared" si="1043"/>
        <v>116.375</v>
      </c>
      <c r="M456" s="167">
        <f t="shared" ref="M456" si="1044">SUM(F456:H456)</f>
        <v>373.25</v>
      </c>
      <c r="N456" s="94">
        <f t="shared" ref="N456" si="1045">SUM(F456:J456)</f>
        <v>616.44999999999993</v>
      </c>
      <c r="O456" s="1316">
        <f t="shared" si="903"/>
        <v>477.84999999999997</v>
      </c>
      <c r="S456" s="95"/>
    </row>
    <row r="457" spans="1:19">
      <c r="A457" s="160" t="s">
        <v>578</v>
      </c>
      <c r="B457" s="293" t="s">
        <v>472</v>
      </c>
      <c r="C457" s="154"/>
      <c r="D457" s="154"/>
      <c r="E457" s="152">
        <f t="shared" ref="E457:J457" si="1046">E249</f>
        <v>0.02</v>
      </c>
      <c r="F457" s="152">
        <f t="shared" si="1046"/>
        <v>0.02</v>
      </c>
      <c r="G457" s="152">
        <f t="shared" si="1046"/>
        <v>0.02</v>
      </c>
      <c r="H457" s="152">
        <f t="shared" si="1046"/>
        <v>0.02</v>
      </c>
      <c r="I457" s="152">
        <f t="shared" si="1046"/>
        <v>0.02</v>
      </c>
      <c r="J457" s="152">
        <f t="shared" si="1046"/>
        <v>0.02</v>
      </c>
      <c r="K457" s="152">
        <f t="shared" ref="K457:L457" si="1047">K249</f>
        <v>0.02</v>
      </c>
      <c r="L457" s="152">
        <f t="shared" si="1047"/>
        <v>0.02</v>
      </c>
      <c r="M457" s="167"/>
      <c r="N457" s="94"/>
      <c r="O457" s="1316">
        <f t="shared" si="903"/>
        <v>0.08</v>
      </c>
      <c r="S457" s="95"/>
    </row>
    <row r="458" spans="1:19">
      <c r="A458" s="160" t="s">
        <v>579</v>
      </c>
      <c r="B458" s="291" t="s">
        <v>473</v>
      </c>
      <c r="C458" s="266"/>
      <c r="D458" s="266"/>
      <c r="E458" s="89">
        <f>E456+E456*E457</f>
        <v>128.928</v>
      </c>
      <c r="F458" s="89">
        <f t="shared" ref="F458:J458" si="1048">F456+F456*F457</f>
        <v>127.01549999999999</v>
      </c>
      <c r="G458" s="89">
        <f t="shared" si="1048"/>
        <v>125.307</v>
      </c>
      <c r="H458" s="89">
        <f t="shared" si="1048"/>
        <v>128.39250000000001</v>
      </c>
      <c r="I458" s="89">
        <f t="shared" si="1048"/>
        <v>125.48549999999999</v>
      </c>
      <c r="J458" s="89">
        <f t="shared" si="1048"/>
        <v>122.57849999999999</v>
      </c>
      <c r="K458" s="89">
        <f t="shared" ref="K458:L458" si="1049">K456+K456*K457</f>
        <v>120.64049999999999</v>
      </c>
      <c r="L458" s="89">
        <f t="shared" si="1049"/>
        <v>118.7025</v>
      </c>
      <c r="M458" s="167">
        <f t="shared" ref="M458" si="1050">SUM(F458:H458)</f>
        <v>380.71500000000003</v>
      </c>
      <c r="N458" s="94">
        <f t="shared" ref="N458" si="1051">SUM(F458:J458)</f>
        <v>628.779</v>
      </c>
      <c r="O458" s="1316">
        <f t="shared" si="903"/>
        <v>487.40699999999993</v>
      </c>
      <c r="S458" s="95"/>
    </row>
    <row r="459" spans="1:19">
      <c r="A459" s="160" t="s">
        <v>580</v>
      </c>
      <c r="B459" s="291" t="s">
        <v>824</v>
      </c>
      <c r="C459" s="266"/>
      <c r="D459" s="266"/>
      <c r="E459" s="287">
        <f>E251</f>
        <v>1</v>
      </c>
      <c r="F459" s="287">
        <f>E459</f>
        <v>1</v>
      </c>
      <c r="G459" s="287">
        <f>F459</f>
        <v>1</v>
      </c>
      <c r="H459" s="287">
        <f t="shared" ref="H459:J459" si="1052">G459</f>
        <v>1</v>
      </c>
      <c r="I459" s="287">
        <f t="shared" si="1052"/>
        <v>1</v>
      </c>
      <c r="J459" s="287">
        <f t="shared" si="1052"/>
        <v>1</v>
      </c>
      <c r="K459" s="287">
        <f t="shared" ref="K459" si="1053">J459</f>
        <v>1</v>
      </c>
      <c r="L459" s="287">
        <f t="shared" ref="L459" si="1054">K459</f>
        <v>1</v>
      </c>
      <c r="M459" s="167"/>
      <c r="N459" s="94"/>
      <c r="O459" s="1316"/>
      <c r="S459" s="95"/>
    </row>
    <row r="460" spans="1:19">
      <c r="A460" s="160" t="s">
        <v>581</v>
      </c>
      <c r="B460" s="291" t="s">
        <v>825</v>
      </c>
      <c r="C460" s="154"/>
      <c r="D460" s="154"/>
      <c r="E460" s="89">
        <f>E458*E459</f>
        <v>128.928</v>
      </c>
      <c r="F460" s="89">
        <f t="shared" ref="F460:J460" si="1055">F458*F459</f>
        <v>127.01549999999999</v>
      </c>
      <c r="G460" s="89">
        <f t="shared" si="1055"/>
        <v>125.307</v>
      </c>
      <c r="H460" s="89">
        <f t="shared" si="1055"/>
        <v>128.39250000000001</v>
      </c>
      <c r="I460" s="89">
        <f t="shared" si="1055"/>
        <v>125.48549999999999</v>
      </c>
      <c r="J460" s="89">
        <f t="shared" si="1055"/>
        <v>122.57849999999999</v>
      </c>
      <c r="K460" s="89">
        <f t="shared" ref="K460:L460" si="1056">K458*K459</f>
        <v>120.64049999999999</v>
      </c>
      <c r="L460" s="89">
        <f t="shared" si="1056"/>
        <v>118.7025</v>
      </c>
      <c r="M460" s="167">
        <f t="shared" ref="M460" si="1057">SUM(F460:H460)</f>
        <v>380.71500000000003</v>
      </c>
      <c r="N460" s="94">
        <f t="shared" ref="N460" si="1058">SUM(F460:J460)</f>
        <v>628.779</v>
      </c>
      <c r="O460" s="1316">
        <f t="shared" si="903"/>
        <v>487.40699999999993</v>
      </c>
      <c r="S460" s="95"/>
    </row>
    <row r="461" spans="1:19">
      <c r="A461" s="162">
        <v>3.7</v>
      </c>
      <c r="B461" s="161" t="s">
        <v>474</v>
      </c>
      <c r="C461" s="154"/>
      <c r="D461" s="154"/>
      <c r="E461" s="89"/>
      <c r="F461" s="89"/>
      <c r="G461" s="89"/>
      <c r="H461" s="89"/>
      <c r="I461" s="89"/>
      <c r="J461" s="89"/>
      <c r="K461" s="89"/>
      <c r="L461" s="89"/>
      <c r="M461" s="167"/>
      <c r="N461" s="94"/>
      <c r="O461" s="1316">
        <f t="shared" si="903"/>
        <v>0</v>
      </c>
      <c r="S461" s="95"/>
    </row>
    <row r="462" spans="1:19">
      <c r="A462" s="160" t="s">
        <v>582</v>
      </c>
      <c r="B462" s="291" t="s">
        <v>312</v>
      </c>
      <c r="C462" s="266"/>
      <c r="D462" s="266"/>
      <c r="E462" s="89">
        <f t="shared" ref="E462:J462" si="1059">E185</f>
        <v>316</v>
      </c>
      <c r="F462" s="89">
        <f t="shared" si="1059"/>
        <v>293</v>
      </c>
      <c r="G462" s="89">
        <f t="shared" si="1059"/>
        <v>273</v>
      </c>
      <c r="H462" s="89">
        <f t="shared" si="1059"/>
        <v>265</v>
      </c>
      <c r="I462" s="89">
        <f t="shared" si="1059"/>
        <v>259</v>
      </c>
      <c r="J462" s="89">
        <f t="shared" si="1059"/>
        <v>253</v>
      </c>
      <c r="K462" s="89">
        <f t="shared" ref="K462:L462" si="1060">K185</f>
        <v>249</v>
      </c>
      <c r="L462" s="89">
        <f t="shared" si="1060"/>
        <v>245</v>
      </c>
      <c r="M462" s="167">
        <f t="shared" ref="M462" si="1061">SUM(F462:H462)</f>
        <v>831</v>
      </c>
      <c r="N462" s="94">
        <f t="shared" ref="N462" si="1062">SUM(F462:J462)</f>
        <v>1343</v>
      </c>
      <c r="O462" s="1316">
        <f t="shared" si="903"/>
        <v>1006</v>
      </c>
      <c r="S462" s="95"/>
    </row>
    <row r="463" spans="1:19">
      <c r="A463" s="160" t="s">
        <v>583</v>
      </c>
      <c r="B463" s="291" t="s">
        <v>509</v>
      </c>
      <c r="C463" s="266"/>
      <c r="D463" s="266"/>
      <c r="E463" s="152">
        <v>0.5</v>
      </c>
      <c r="F463" s="152">
        <f>E463</f>
        <v>0.5</v>
      </c>
      <c r="G463" s="152">
        <f t="shared" ref="G463:J463" si="1063">F463</f>
        <v>0.5</v>
      </c>
      <c r="H463" s="152">
        <f t="shared" si="1063"/>
        <v>0.5</v>
      </c>
      <c r="I463" s="152">
        <f t="shared" si="1063"/>
        <v>0.5</v>
      </c>
      <c r="J463" s="152">
        <f t="shared" si="1063"/>
        <v>0.5</v>
      </c>
      <c r="K463" s="152">
        <f t="shared" ref="K463" si="1064">J463</f>
        <v>0.5</v>
      </c>
      <c r="L463" s="152">
        <f t="shared" ref="L463" si="1065">K463</f>
        <v>0.5</v>
      </c>
      <c r="M463" s="167"/>
      <c r="N463" s="94"/>
      <c r="O463" s="1316"/>
      <c r="S463" s="95"/>
    </row>
    <row r="464" spans="1:19">
      <c r="A464" s="160" t="s">
        <v>584</v>
      </c>
      <c r="B464" s="291" t="s">
        <v>510</v>
      </c>
      <c r="C464" s="154"/>
      <c r="D464" s="154"/>
      <c r="E464" s="89">
        <f>E462*E463</f>
        <v>158</v>
      </c>
      <c r="F464" s="89">
        <f t="shared" ref="F464:J464" si="1066">F462*F463</f>
        <v>146.5</v>
      </c>
      <c r="G464" s="89">
        <f t="shared" si="1066"/>
        <v>136.5</v>
      </c>
      <c r="H464" s="89">
        <f t="shared" si="1066"/>
        <v>132.5</v>
      </c>
      <c r="I464" s="89">
        <f t="shared" si="1066"/>
        <v>129.5</v>
      </c>
      <c r="J464" s="89">
        <f t="shared" si="1066"/>
        <v>126.5</v>
      </c>
      <c r="K464" s="89">
        <f t="shared" ref="K464:L464" si="1067">K462*K463</f>
        <v>124.5</v>
      </c>
      <c r="L464" s="89">
        <f t="shared" si="1067"/>
        <v>122.5</v>
      </c>
      <c r="M464" s="167">
        <f t="shared" ref="M464" si="1068">SUM(F464:H464)</f>
        <v>415.5</v>
      </c>
      <c r="N464" s="94">
        <f t="shared" ref="N464" si="1069">SUM(F464:J464)</f>
        <v>671.5</v>
      </c>
      <c r="O464" s="1316">
        <f t="shared" si="903"/>
        <v>503</v>
      </c>
      <c r="S464" s="95"/>
    </row>
    <row r="465" spans="1:19">
      <c r="A465" s="160" t="s">
        <v>585</v>
      </c>
      <c r="B465" s="291" t="s">
        <v>455</v>
      </c>
      <c r="C465" s="266"/>
      <c r="D465" s="154"/>
      <c r="E465" s="152">
        <f t="shared" ref="E465:J465" si="1070">E238</f>
        <v>0.7</v>
      </c>
      <c r="F465" s="152">
        <f t="shared" si="1070"/>
        <v>0.8</v>
      </c>
      <c r="G465" s="152">
        <f t="shared" si="1070"/>
        <v>0.85</v>
      </c>
      <c r="H465" s="152">
        <f t="shared" si="1070"/>
        <v>0.95</v>
      </c>
      <c r="I465" s="152">
        <f t="shared" si="1070"/>
        <v>0.95</v>
      </c>
      <c r="J465" s="152">
        <f t="shared" si="1070"/>
        <v>0.95</v>
      </c>
      <c r="K465" s="152">
        <f t="shared" ref="K465:L465" si="1071">K238</f>
        <v>0.95</v>
      </c>
      <c r="L465" s="152">
        <f t="shared" si="1071"/>
        <v>0.95</v>
      </c>
      <c r="M465" s="167"/>
      <c r="N465" s="94"/>
      <c r="O465" s="1316"/>
      <c r="S465" s="95"/>
    </row>
    <row r="466" spans="1:19">
      <c r="A466" s="160" t="s">
        <v>586</v>
      </c>
      <c r="B466" s="291" t="s">
        <v>511</v>
      </c>
      <c r="C466" s="266"/>
      <c r="D466" s="154"/>
      <c r="E466" s="89">
        <f>E464*E465</f>
        <v>110.6</v>
      </c>
      <c r="F466" s="89">
        <f t="shared" ref="F466:J466" si="1072">F464*F465</f>
        <v>117.2</v>
      </c>
      <c r="G466" s="89">
        <f t="shared" si="1072"/>
        <v>116.02499999999999</v>
      </c>
      <c r="H466" s="89">
        <f t="shared" si="1072"/>
        <v>125.875</v>
      </c>
      <c r="I466" s="89">
        <f t="shared" si="1072"/>
        <v>123.02499999999999</v>
      </c>
      <c r="J466" s="89">
        <f t="shared" si="1072"/>
        <v>120.175</v>
      </c>
      <c r="K466" s="89">
        <f t="shared" ref="K466:L466" si="1073">K464*K465</f>
        <v>118.27499999999999</v>
      </c>
      <c r="L466" s="89">
        <f t="shared" si="1073"/>
        <v>116.375</v>
      </c>
      <c r="M466" s="167">
        <f t="shared" ref="M466" si="1074">SUM(F466:H466)</f>
        <v>359.1</v>
      </c>
      <c r="N466" s="94">
        <f t="shared" ref="N466" si="1075">SUM(F466:J466)</f>
        <v>602.29999999999995</v>
      </c>
      <c r="O466" s="1316">
        <f t="shared" si="903"/>
        <v>477.84999999999997</v>
      </c>
      <c r="S466" s="95"/>
    </row>
    <row r="467" spans="1:19">
      <c r="A467" s="160" t="s">
        <v>587</v>
      </c>
      <c r="B467" s="293" t="s">
        <v>478</v>
      </c>
      <c r="C467" s="154"/>
      <c r="D467" s="154"/>
      <c r="E467" s="152">
        <f t="shared" ref="E467:J467" si="1076">E258</f>
        <v>0.1</v>
      </c>
      <c r="F467" s="152">
        <f t="shared" si="1076"/>
        <v>0.1</v>
      </c>
      <c r="G467" s="152">
        <f t="shared" si="1076"/>
        <v>0.1</v>
      </c>
      <c r="H467" s="152">
        <f t="shared" si="1076"/>
        <v>0.1</v>
      </c>
      <c r="I467" s="152">
        <f t="shared" si="1076"/>
        <v>0.1</v>
      </c>
      <c r="J467" s="152">
        <f t="shared" si="1076"/>
        <v>0.1</v>
      </c>
      <c r="K467" s="152">
        <f t="shared" ref="K467:L467" si="1077">K258</f>
        <v>0.1</v>
      </c>
      <c r="L467" s="152">
        <f t="shared" si="1077"/>
        <v>0.1</v>
      </c>
      <c r="M467" s="167"/>
      <c r="N467" s="94"/>
      <c r="O467" s="1316">
        <f t="shared" si="903"/>
        <v>0.4</v>
      </c>
      <c r="S467" s="95"/>
    </row>
    <row r="468" spans="1:19">
      <c r="A468" s="160" t="s">
        <v>588</v>
      </c>
      <c r="B468" s="291" t="s">
        <v>479</v>
      </c>
      <c r="C468" s="266"/>
      <c r="D468" s="266"/>
      <c r="E468" s="89">
        <f>E466+E466*E467</f>
        <v>121.66</v>
      </c>
      <c r="F468" s="89">
        <f t="shared" ref="F468:J468" si="1078">F466+F466*F467</f>
        <v>128.92000000000002</v>
      </c>
      <c r="G468" s="89">
        <f t="shared" si="1078"/>
        <v>127.6275</v>
      </c>
      <c r="H468" s="89">
        <f t="shared" si="1078"/>
        <v>138.46250000000001</v>
      </c>
      <c r="I468" s="89">
        <f t="shared" si="1078"/>
        <v>135.32749999999999</v>
      </c>
      <c r="J468" s="89">
        <f t="shared" si="1078"/>
        <v>132.1925</v>
      </c>
      <c r="K468" s="89">
        <f t="shared" ref="K468:L468" si="1079">K466+K466*K467</f>
        <v>130.10249999999999</v>
      </c>
      <c r="L468" s="89">
        <f t="shared" si="1079"/>
        <v>128.01249999999999</v>
      </c>
      <c r="M468" s="167">
        <f t="shared" ref="M468" si="1080">SUM(F468:H468)</f>
        <v>395.01</v>
      </c>
      <c r="N468" s="94">
        <f t="shared" ref="N468" si="1081">SUM(F468:J468)</f>
        <v>662.53</v>
      </c>
      <c r="O468" s="1316">
        <f t="shared" si="903"/>
        <v>525.63499999999999</v>
      </c>
      <c r="S468" s="95"/>
    </row>
    <row r="469" spans="1:19">
      <c r="A469" s="160" t="s">
        <v>589</v>
      </c>
      <c r="B469" s="291" t="s">
        <v>826</v>
      </c>
      <c r="C469" s="266"/>
      <c r="D469" s="266"/>
      <c r="E469" s="287">
        <f t="shared" ref="E469:J469" si="1082">E260</f>
        <v>1</v>
      </c>
      <c r="F469" s="287">
        <f t="shared" si="1082"/>
        <v>1</v>
      </c>
      <c r="G469" s="287">
        <f t="shared" si="1082"/>
        <v>1</v>
      </c>
      <c r="H469" s="287">
        <f t="shared" si="1082"/>
        <v>1</v>
      </c>
      <c r="I469" s="287">
        <f t="shared" si="1082"/>
        <v>1</v>
      </c>
      <c r="J469" s="287">
        <f t="shared" si="1082"/>
        <v>1</v>
      </c>
      <c r="K469" s="287">
        <f t="shared" ref="K469:L469" si="1083">K260</f>
        <v>1</v>
      </c>
      <c r="L469" s="287">
        <f t="shared" si="1083"/>
        <v>1</v>
      </c>
      <c r="M469" s="167"/>
      <c r="N469" s="94"/>
      <c r="O469" s="1316"/>
      <c r="S469" s="95"/>
    </row>
    <row r="470" spans="1:19">
      <c r="A470" s="160" t="s">
        <v>590</v>
      </c>
      <c r="B470" s="291" t="s">
        <v>827</v>
      </c>
      <c r="C470" s="154"/>
      <c r="D470" s="154"/>
      <c r="E470" s="89">
        <f>E468*E469</f>
        <v>121.66</v>
      </c>
      <c r="F470" s="89">
        <f t="shared" ref="F470:J470" si="1084">F468*F469</f>
        <v>128.92000000000002</v>
      </c>
      <c r="G470" s="89">
        <f t="shared" si="1084"/>
        <v>127.6275</v>
      </c>
      <c r="H470" s="89">
        <f t="shared" si="1084"/>
        <v>138.46250000000001</v>
      </c>
      <c r="I470" s="89">
        <f t="shared" si="1084"/>
        <v>135.32749999999999</v>
      </c>
      <c r="J470" s="89">
        <f t="shared" si="1084"/>
        <v>132.1925</v>
      </c>
      <c r="K470" s="89">
        <f t="shared" ref="K470:L470" si="1085">K468*K469</f>
        <v>130.10249999999999</v>
      </c>
      <c r="L470" s="89">
        <f t="shared" si="1085"/>
        <v>128.01249999999999</v>
      </c>
      <c r="M470" s="167">
        <f t="shared" ref="M470" si="1086">SUM(F470:H470)</f>
        <v>395.01</v>
      </c>
      <c r="N470" s="94">
        <f t="shared" ref="N470" si="1087">SUM(F470:J470)</f>
        <v>662.53</v>
      </c>
      <c r="O470" s="1316">
        <f t="shared" si="903"/>
        <v>525.63499999999999</v>
      </c>
      <c r="S470" s="95"/>
    </row>
    <row r="471" spans="1:19">
      <c r="A471" s="183">
        <v>4</v>
      </c>
      <c r="B471" s="179" t="str">
        <f>B186</f>
        <v>MDR-TB: 'pre-XDR'</v>
      </c>
      <c r="C471" s="290"/>
      <c r="D471" s="290"/>
      <c r="E471" s="184"/>
      <c r="F471" s="184"/>
      <c r="G471" s="184"/>
      <c r="H471" s="184"/>
      <c r="I471" s="184"/>
      <c r="J471" s="184"/>
      <c r="K471" s="184"/>
      <c r="L471" s="184"/>
      <c r="M471" s="180"/>
      <c r="N471" s="181"/>
      <c r="O471" s="1316">
        <f t="shared" si="903"/>
        <v>0</v>
      </c>
      <c r="S471" s="95"/>
    </row>
    <row r="472" spans="1:19">
      <c r="A472" s="162">
        <v>4.0999999999999996</v>
      </c>
      <c r="B472" s="159" t="s">
        <v>284</v>
      </c>
      <c r="C472" s="154"/>
      <c r="D472" s="154"/>
      <c r="E472" s="89"/>
      <c r="F472" s="89"/>
      <c r="G472" s="89"/>
      <c r="H472" s="89"/>
      <c r="I472" s="89"/>
      <c r="J472" s="89"/>
      <c r="K472" s="89"/>
      <c r="L472" s="89"/>
      <c r="M472" s="167"/>
      <c r="N472" s="94"/>
      <c r="O472" s="1316">
        <f t="shared" si="903"/>
        <v>0</v>
      </c>
      <c r="S472" s="95"/>
    </row>
    <row r="473" spans="1:19">
      <c r="A473" s="160" t="s">
        <v>393</v>
      </c>
      <c r="B473" s="291" t="s">
        <v>312</v>
      </c>
      <c r="C473" s="266"/>
      <c r="D473" s="266"/>
      <c r="E473" s="89">
        <f t="shared" ref="E473:J473" si="1088">E186</f>
        <v>111</v>
      </c>
      <c r="F473" s="89">
        <f t="shared" si="1088"/>
        <v>103</v>
      </c>
      <c r="G473" s="89">
        <f t="shared" si="1088"/>
        <v>99</v>
      </c>
      <c r="H473" s="89">
        <f t="shared" si="1088"/>
        <v>99</v>
      </c>
      <c r="I473" s="89">
        <f t="shared" si="1088"/>
        <v>99</v>
      </c>
      <c r="J473" s="89">
        <f t="shared" si="1088"/>
        <v>99</v>
      </c>
      <c r="K473" s="89">
        <f t="shared" ref="K473:L473" si="1089">K186</f>
        <v>96</v>
      </c>
      <c r="L473" s="89">
        <f t="shared" si="1089"/>
        <v>94</v>
      </c>
      <c r="M473" s="167">
        <f t="shared" ref="M473" si="1090">SUM(F473:H473)</f>
        <v>301</v>
      </c>
      <c r="N473" s="94">
        <f t="shared" ref="N473" si="1091">SUM(F473:J473)</f>
        <v>499</v>
      </c>
      <c r="O473" s="1316">
        <f t="shared" si="903"/>
        <v>388</v>
      </c>
      <c r="S473" s="95"/>
    </row>
    <row r="474" spans="1:19">
      <c r="A474" s="160" t="s">
        <v>394</v>
      </c>
      <c r="B474" s="291" t="s">
        <v>313</v>
      </c>
      <c r="C474" s="154"/>
      <c r="D474" s="154"/>
      <c r="E474" s="89">
        <v>24</v>
      </c>
      <c r="F474" s="89">
        <f>E474</f>
        <v>24</v>
      </c>
      <c r="G474" s="89">
        <f t="shared" ref="G474:J474" si="1092">F474</f>
        <v>24</v>
      </c>
      <c r="H474" s="89">
        <f t="shared" si="1092"/>
        <v>24</v>
      </c>
      <c r="I474" s="89">
        <f t="shared" si="1092"/>
        <v>24</v>
      </c>
      <c r="J474" s="89">
        <f t="shared" si="1092"/>
        <v>24</v>
      </c>
      <c r="K474" s="89">
        <f t="shared" ref="K474:K475" si="1093">J474</f>
        <v>24</v>
      </c>
      <c r="L474" s="89">
        <f t="shared" ref="L474:L475" si="1094">K474</f>
        <v>24</v>
      </c>
      <c r="M474" s="167"/>
      <c r="N474" s="94"/>
      <c r="O474" s="1316"/>
      <c r="S474" s="95"/>
    </row>
    <row r="475" spans="1:19">
      <c r="A475" s="160" t="s">
        <v>395</v>
      </c>
      <c r="B475" s="291" t="s">
        <v>418</v>
      </c>
      <c r="C475" s="154"/>
      <c r="D475" s="154"/>
      <c r="E475" s="272">
        <v>0.75</v>
      </c>
      <c r="F475" s="272">
        <f>E475</f>
        <v>0.75</v>
      </c>
      <c r="G475" s="272">
        <f t="shared" ref="G475:J475" si="1095">F475</f>
        <v>0.75</v>
      </c>
      <c r="H475" s="272">
        <f t="shared" si="1095"/>
        <v>0.75</v>
      </c>
      <c r="I475" s="272">
        <f t="shared" si="1095"/>
        <v>0.75</v>
      </c>
      <c r="J475" s="272">
        <f t="shared" si="1095"/>
        <v>0.75</v>
      </c>
      <c r="K475" s="272">
        <f t="shared" si="1093"/>
        <v>0.75</v>
      </c>
      <c r="L475" s="272">
        <f t="shared" si="1094"/>
        <v>0.75</v>
      </c>
      <c r="M475" s="167"/>
      <c r="N475" s="94"/>
      <c r="O475" s="1316"/>
      <c r="S475" s="95"/>
    </row>
    <row r="476" spans="1:19">
      <c r="A476" s="160" t="s">
        <v>396</v>
      </c>
      <c r="B476" s="291" t="s">
        <v>288</v>
      </c>
      <c r="C476" s="154"/>
      <c r="D476" s="154"/>
      <c r="E476" s="152">
        <f t="shared" ref="E476:J476" si="1096">E204/2</f>
        <v>0.06</v>
      </c>
      <c r="F476" s="152">
        <f t="shared" si="1096"/>
        <v>5.5E-2</v>
      </c>
      <c r="G476" s="152">
        <f t="shared" si="1096"/>
        <v>0.05</v>
      </c>
      <c r="H476" s="152">
        <f t="shared" si="1096"/>
        <v>0.05</v>
      </c>
      <c r="I476" s="152">
        <f t="shared" si="1096"/>
        <v>0.05</v>
      </c>
      <c r="J476" s="152">
        <f t="shared" si="1096"/>
        <v>0.05</v>
      </c>
      <c r="K476" s="152">
        <f t="shared" ref="K476" si="1097">K204/2</f>
        <v>0.05</v>
      </c>
      <c r="L476" s="152">
        <v>0.05</v>
      </c>
      <c r="M476" s="167"/>
      <c r="N476" s="94"/>
      <c r="O476" s="1316"/>
      <c r="S476" s="95"/>
    </row>
    <row r="477" spans="1:19">
      <c r="A477" s="160" t="s">
        <v>397</v>
      </c>
      <c r="B477" s="291" t="s">
        <v>286</v>
      </c>
      <c r="C477" s="154"/>
      <c r="D477" s="154"/>
      <c r="E477" s="272">
        <f t="shared" ref="E477:J477" si="1098">E202</f>
        <v>0.95</v>
      </c>
      <c r="F477" s="272">
        <f t="shared" si="1098"/>
        <v>0.95</v>
      </c>
      <c r="G477" s="272">
        <f t="shared" si="1098"/>
        <v>0.95</v>
      </c>
      <c r="H477" s="272">
        <f t="shared" si="1098"/>
        <v>0.95</v>
      </c>
      <c r="I477" s="272">
        <f t="shared" si="1098"/>
        <v>0.95</v>
      </c>
      <c r="J477" s="272">
        <f t="shared" si="1098"/>
        <v>0.95</v>
      </c>
      <c r="K477" s="272">
        <f t="shared" ref="K477:L477" si="1099">K202</f>
        <v>0.95</v>
      </c>
      <c r="L477" s="272">
        <f t="shared" si="1099"/>
        <v>0.95</v>
      </c>
      <c r="M477" s="167"/>
      <c r="N477" s="94"/>
      <c r="O477" s="1316"/>
      <c r="S477" s="95"/>
    </row>
    <row r="478" spans="1:19">
      <c r="A478" s="160" t="s">
        <v>398</v>
      </c>
      <c r="B478" s="291" t="s">
        <v>289</v>
      </c>
      <c r="C478" s="266"/>
      <c r="D478" s="266"/>
      <c r="E478" s="89">
        <f>E473*E474*E475*(1+E476)*E477</f>
        <v>2011.9860000000001</v>
      </c>
      <c r="F478" s="89">
        <f t="shared" ref="F478" si="1100">F473*F474*F475*(1+F476)*F477</f>
        <v>1858.1714999999997</v>
      </c>
      <c r="G478" s="89">
        <f t="shared" ref="G478" si="1101">G473*G474*G475*(1+G476)*G477</f>
        <v>1777.5450000000001</v>
      </c>
      <c r="H478" s="89">
        <f t="shared" ref="H478" si="1102">H473*H474*H475*(1+H476)*H477</f>
        <v>1777.5450000000001</v>
      </c>
      <c r="I478" s="89">
        <f t="shared" ref="I478" si="1103">I473*I474*I475*(1+I476)*I477</f>
        <v>1777.5450000000001</v>
      </c>
      <c r="J478" s="89">
        <f t="shared" ref="J478:L478" si="1104">J473*J474*J475*(1+J476)*J477</f>
        <v>1777.5450000000001</v>
      </c>
      <c r="K478" s="89">
        <f t="shared" si="1104"/>
        <v>1723.68</v>
      </c>
      <c r="L478" s="89">
        <f t="shared" si="1104"/>
        <v>1687.77</v>
      </c>
      <c r="M478" s="167">
        <f t="shared" ref="M478" si="1105">SUM(F478:H478)</f>
        <v>5413.2614999999996</v>
      </c>
      <c r="N478" s="94">
        <f t="shared" ref="N478" si="1106">SUM(F478:J478)</f>
        <v>8968.3515000000007</v>
      </c>
      <c r="O478" s="1316">
        <f t="shared" ref="O478:O539" si="1107">I478+J478+K478+L478</f>
        <v>6966.5400000000009</v>
      </c>
      <c r="S478" s="95"/>
    </row>
    <row r="479" spans="1:19">
      <c r="A479" s="160" t="s">
        <v>399</v>
      </c>
      <c r="B479" s="291" t="s">
        <v>239</v>
      </c>
      <c r="C479" s="266"/>
      <c r="D479" s="266"/>
      <c r="E479" s="287">
        <f t="shared" ref="E479:J479" si="1108">E206</f>
        <v>1.9</v>
      </c>
      <c r="F479" s="287">
        <f t="shared" si="1108"/>
        <v>1.6</v>
      </c>
      <c r="G479" s="287">
        <f t="shared" si="1108"/>
        <v>1.2</v>
      </c>
      <c r="H479" s="287">
        <f t="shared" si="1108"/>
        <v>1</v>
      </c>
      <c r="I479" s="287">
        <f t="shared" si="1108"/>
        <v>1</v>
      </c>
      <c r="J479" s="287">
        <f t="shared" si="1108"/>
        <v>1</v>
      </c>
      <c r="K479" s="287">
        <f t="shared" ref="K479:L479" si="1109">K206</f>
        <v>1</v>
      </c>
      <c r="L479" s="287">
        <f t="shared" si="1109"/>
        <v>1</v>
      </c>
      <c r="M479" s="167"/>
      <c r="N479" s="94"/>
      <c r="O479" s="1316"/>
      <c r="S479" s="95"/>
    </row>
    <row r="480" spans="1:19">
      <c r="A480" s="160" t="s">
        <v>400</v>
      </c>
      <c r="B480" s="291" t="s">
        <v>290</v>
      </c>
      <c r="C480" s="154"/>
      <c r="D480" s="154"/>
      <c r="E480" s="89">
        <f>E478*E479</f>
        <v>3822.7734</v>
      </c>
      <c r="F480" s="89">
        <f t="shared" ref="F480:J480" si="1110">F478*F479</f>
        <v>2973.0743999999995</v>
      </c>
      <c r="G480" s="89">
        <f t="shared" si="1110"/>
        <v>2133.0540000000001</v>
      </c>
      <c r="H480" s="89">
        <f t="shared" si="1110"/>
        <v>1777.5450000000001</v>
      </c>
      <c r="I480" s="89">
        <f t="shared" si="1110"/>
        <v>1777.5450000000001</v>
      </c>
      <c r="J480" s="89">
        <f t="shared" si="1110"/>
        <v>1777.5450000000001</v>
      </c>
      <c r="K480" s="89">
        <f t="shared" ref="K480:L480" si="1111">K478*K479</f>
        <v>1723.68</v>
      </c>
      <c r="L480" s="89">
        <f t="shared" si="1111"/>
        <v>1687.77</v>
      </c>
      <c r="M480" s="167">
        <f t="shared" ref="M480" si="1112">SUM(F480:H480)</f>
        <v>6883.6733999999997</v>
      </c>
      <c r="N480" s="94">
        <f t="shared" ref="N480" si="1113">SUM(F480:J480)</f>
        <v>10438.7634</v>
      </c>
      <c r="O480" s="1316">
        <f t="shared" si="1107"/>
        <v>6966.5400000000009</v>
      </c>
      <c r="S480" s="95"/>
    </row>
    <row r="481" spans="1:19">
      <c r="A481" s="162">
        <v>4.2</v>
      </c>
      <c r="B481" s="159" t="s">
        <v>292</v>
      </c>
      <c r="C481" s="154"/>
      <c r="D481" s="154"/>
      <c r="E481" s="89"/>
      <c r="F481" s="89"/>
      <c r="G481" s="89"/>
      <c r="H481" s="89"/>
      <c r="I481" s="89"/>
      <c r="J481" s="89"/>
      <c r="K481" s="89"/>
      <c r="L481" s="89"/>
      <c r="M481" s="167"/>
      <c r="N481" s="94"/>
      <c r="O481" s="1316">
        <f t="shared" si="1107"/>
        <v>0</v>
      </c>
      <c r="S481" s="95"/>
    </row>
    <row r="482" spans="1:19">
      <c r="A482" s="160" t="s">
        <v>401</v>
      </c>
      <c r="B482" s="291" t="s">
        <v>312</v>
      </c>
      <c r="C482" s="266"/>
      <c r="D482" s="266"/>
      <c r="E482" s="89">
        <f t="shared" ref="E482:J482" si="1114">E186</f>
        <v>111</v>
      </c>
      <c r="F482" s="89">
        <f t="shared" si="1114"/>
        <v>103</v>
      </c>
      <c r="G482" s="89">
        <f t="shared" si="1114"/>
        <v>99</v>
      </c>
      <c r="H482" s="89">
        <f t="shared" si="1114"/>
        <v>99</v>
      </c>
      <c r="I482" s="89">
        <f t="shared" si="1114"/>
        <v>99</v>
      </c>
      <c r="J482" s="89">
        <f t="shared" si="1114"/>
        <v>99</v>
      </c>
      <c r="K482" s="89">
        <f t="shared" ref="K482:L482" si="1115">K186</f>
        <v>96</v>
      </c>
      <c r="L482" s="89">
        <f t="shared" si="1115"/>
        <v>94</v>
      </c>
      <c r="M482" s="167">
        <f t="shared" ref="M482" si="1116">SUM(F482:H482)</f>
        <v>301</v>
      </c>
      <c r="N482" s="94">
        <f t="shared" ref="N482" si="1117">SUM(F482:J482)</f>
        <v>499</v>
      </c>
      <c r="O482" s="1316">
        <f t="shared" si="1107"/>
        <v>388</v>
      </c>
      <c r="S482" s="95"/>
    </row>
    <row r="483" spans="1:19">
      <c r="A483" s="160" t="s">
        <v>402</v>
      </c>
      <c r="B483" s="291" t="s">
        <v>324</v>
      </c>
      <c r="C483" s="266"/>
      <c r="D483" s="266"/>
      <c r="E483" s="272">
        <f t="shared" ref="E483:J483" si="1118">E414</f>
        <v>0</v>
      </c>
      <c r="F483" s="272">
        <f t="shared" si="1118"/>
        <v>0</v>
      </c>
      <c r="G483" s="272">
        <f t="shared" si="1118"/>
        <v>0</v>
      </c>
      <c r="H483" s="272">
        <f t="shared" si="1118"/>
        <v>0</v>
      </c>
      <c r="I483" s="272">
        <f t="shared" si="1118"/>
        <v>0</v>
      </c>
      <c r="J483" s="272">
        <f t="shared" si="1118"/>
        <v>0</v>
      </c>
      <c r="K483" s="272">
        <f t="shared" ref="K483:L483" si="1119">K414</f>
        <v>0</v>
      </c>
      <c r="L483" s="272">
        <f t="shared" si="1119"/>
        <v>0</v>
      </c>
      <c r="M483" s="167"/>
      <c r="N483" s="94"/>
      <c r="O483" s="1316">
        <f t="shared" si="1107"/>
        <v>0</v>
      </c>
      <c r="S483" s="95"/>
    </row>
    <row r="484" spans="1:19">
      <c r="A484" s="160" t="s">
        <v>403</v>
      </c>
      <c r="B484" s="291" t="s">
        <v>314</v>
      </c>
      <c r="C484" s="154"/>
      <c r="D484" s="154"/>
      <c r="E484" s="89">
        <f>E482*E483</f>
        <v>0</v>
      </c>
      <c r="F484" s="89">
        <f t="shared" ref="F484" si="1120">F482*F483</f>
        <v>0</v>
      </c>
      <c r="G484" s="89">
        <f t="shared" ref="G484" si="1121">G482*G483</f>
        <v>0</v>
      </c>
      <c r="H484" s="89">
        <f t="shared" ref="H484" si="1122">H482*H483</f>
        <v>0</v>
      </c>
      <c r="I484" s="89">
        <f t="shared" ref="I484" si="1123">I482*I483</f>
        <v>0</v>
      </c>
      <c r="J484" s="89">
        <f t="shared" ref="J484:L484" si="1124">J482*J483</f>
        <v>0</v>
      </c>
      <c r="K484" s="89">
        <f t="shared" si="1124"/>
        <v>0</v>
      </c>
      <c r="L484" s="89">
        <f t="shared" si="1124"/>
        <v>0</v>
      </c>
      <c r="M484" s="167">
        <f t="shared" ref="M484" si="1125">SUM(F484:H484)</f>
        <v>0</v>
      </c>
      <c r="N484" s="94">
        <f t="shared" ref="N484" si="1126">SUM(F484:J484)</f>
        <v>0</v>
      </c>
      <c r="O484" s="1316">
        <f t="shared" si="1107"/>
        <v>0</v>
      </c>
      <c r="S484" s="95"/>
    </row>
    <row r="485" spans="1:19">
      <c r="A485" s="160" t="s">
        <v>404</v>
      </c>
      <c r="B485" s="291" t="s">
        <v>298</v>
      </c>
      <c r="C485" s="154"/>
      <c r="D485" s="154"/>
      <c r="E485" s="152">
        <f t="shared" ref="E485:J485" si="1127">E213/2</f>
        <v>0.06</v>
      </c>
      <c r="F485" s="152">
        <f t="shared" si="1127"/>
        <v>5.5E-2</v>
      </c>
      <c r="G485" s="152">
        <f t="shared" si="1127"/>
        <v>0.05</v>
      </c>
      <c r="H485" s="152">
        <f t="shared" si="1127"/>
        <v>4.4999999999999998E-2</v>
      </c>
      <c r="I485" s="152">
        <f t="shared" si="1127"/>
        <v>4.2500000000000003E-2</v>
      </c>
      <c r="J485" s="152">
        <f t="shared" si="1127"/>
        <v>0.04</v>
      </c>
      <c r="K485" s="152">
        <f t="shared" ref="K485" si="1128">K213/2</f>
        <v>0.04</v>
      </c>
      <c r="L485" s="152">
        <v>0.04</v>
      </c>
      <c r="M485" s="167"/>
      <c r="N485" s="94"/>
      <c r="O485" s="1316"/>
      <c r="S485" s="95"/>
    </row>
    <row r="486" spans="1:19">
      <c r="A486" s="160" t="s">
        <v>405</v>
      </c>
      <c r="B486" s="291" t="s">
        <v>296</v>
      </c>
      <c r="C486" s="154"/>
      <c r="D486" s="154"/>
      <c r="E486" s="272">
        <f t="shared" ref="E486:J486" si="1129">E211</f>
        <v>0.5</v>
      </c>
      <c r="F486" s="272">
        <f t="shared" si="1129"/>
        <v>0.7</v>
      </c>
      <c r="G486" s="272">
        <f t="shared" si="1129"/>
        <v>0.8</v>
      </c>
      <c r="H486" s="272">
        <f t="shared" si="1129"/>
        <v>0.85</v>
      </c>
      <c r="I486" s="272">
        <f t="shared" si="1129"/>
        <v>0.9</v>
      </c>
      <c r="J486" s="272">
        <f t="shared" si="1129"/>
        <v>0.95</v>
      </c>
      <c r="K486" s="272">
        <f>K211</f>
        <v>0.95</v>
      </c>
      <c r="L486" s="272">
        <v>0.95</v>
      </c>
      <c r="M486" s="167"/>
      <c r="N486" s="94"/>
      <c r="O486" s="1316"/>
      <c r="S486" s="95"/>
    </row>
    <row r="487" spans="1:19">
      <c r="A487" s="160" t="s">
        <v>406</v>
      </c>
      <c r="B487" s="291" t="s">
        <v>299</v>
      </c>
      <c r="C487" s="266"/>
      <c r="D487" s="266"/>
      <c r="E487" s="89">
        <f>E484*(1+E485)*E486</f>
        <v>0</v>
      </c>
      <c r="F487" s="89">
        <f t="shared" ref="F487" si="1130">F484*(1+F485)*F486</f>
        <v>0</v>
      </c>
      <c r="G487" s="89">
        <f t="shared" ref="G487" si="1131">G484*(1+G485)*G486</f>
        <v>0</v>
      </c>
      <c r="H487" s="89">
        <f t="shared" ref="H487" si="1132">H484*(1+H485)*H486</f>
        <v>0</v>
      </c>
      <c r="I487" s="89">
        <f t="shared" ref="I487" si="1133">I484*(1+I485)*I486</f>
        <v>0</v>
      </c>
      <c r="J487" s="89">
        <f t="shared" ref="J487:L487" si="1134">J484*(1+J485)*J486</f>
        <v>0</v>
      </c>
      <c r="K487" s="89">
        <f t="shared" si="1134"/>
        <v>0</v>
      </c>
      <c r="L487" s="89">
        <f t="shared" si="1134"/>
        <v>0</v>
      </c>
      <c r="M487" s="167">
        <f t="shared" ref="M487" si="1135">SUM(F487:H487)</f>
        <v>0</v>
      </c>
      <c r="N487" s="94">
        <f t="shared" ref="N487" si="1136">SUM(F487:J487)</f>
        <v>0</v>
      </c>
      <c r="O487" s="1316">
        <f t="shared" si="1107"/>
        <v>0</v>
      </c>
      <c r="S487" s="95"/>
    </row>
    <row r="488" spans="1:19">
      <c r="A488" s="160" t="s">
        <v>407</v>
      </c>
      <c r="B488" s="291" t="s">
        <v>240</v>
      </c>
      <c r="C488" s="266"/>
      <c r="D488" s="266"/>
      <c r="E488" s="292">
        <f t="shared" ref="E488:J488" si="1137">E215</f>
        <v>1.08</v>
      </c>
      <c r="F488" s="292">
        <f t="shared" si="1137"/>
        <v>1.07</v>
      </c>
      <c r="G488" s="292">
        <f t="shared" si="1137"/>
        <v>1.06</v>
      </c>
      <c r="H488" s="292">
        <f t="shared" si="1137"/>
        <v>1.05</v>
      </c>
      <c r="I488" s="292">
        <f t="shared" si="1137"/>
        <v>1.04</v>
      </c>
      <c r="J488" s="292">
        <f t="shared" si="1137"/>
        <v>1.03</v>
      </c>
      <c r="K488" s="292">
        <f t="shared" ref="K488:L488" si="1138">K215</f>
        <v>1.03</v>
      </c>
      <c r="L488" s="292">
        <f t="shared" si="1138"/>
        <v>1.03</v>
      </c>
      <c r="M488" s="167"/>
      <c r="N488" s="94"/>
      <c r="O488" s="1316"/>
      <c r="S488" s="95"/>
    </row>
    <row r="489" spans="1:19">
      <c r="A489" s="160" t="s">
        <v>408</v>
      </c>
      <c r="B489" s="291" t="s">
        <v>300</v>
      </c>
      <c r="C489" s="154"/>
      <c r="D489" s="154"/>
      <c r="E489" s="89">
        <f>E487*E488</f>
        <v>0</v>
      </c>
      <c r="F489" s="89">
        <f t="shared" ref="F489:J489" si="1139">F487*F488</f>
        <v>0</v>
      </c>
      <c r="G489" s="89">
        <f t="shared" si="1139"/>
        <v>0</v>
      </c>
      <c r="H489" s="89">
        <f t="shared" si="1139"/>
        <v>0</v>
      </c>
      <c r="I489" s="89">
        <f t="shared" si="1139"/>
        <v>0</v>
      </c>
      <c r="J489" s="89">
        <f t="shared" si="1139"/>
        <v>0</v>
      </c>
      <c r="K489" s="89">
        <f t="shared" ref="K489:L489" si="1140">K487*K488</f>
        <v>0</v>
      </c>
      <c r="L489" s="89">
        <f t="shared" si="1140"/>
        <v>0</v>
      </c>
      <c r="M489" s="167">
        <f t="shared" ref="M489" si="1141">SUM(F489:H489)</f>
        <v>0</v>
      </c>
      <c r="N489" s="94">
        <f t="shared" ref="N489" si="1142">SUM(F489:J489)</f>
        <v>0</v>
      </c>
      <c r="O489" s="1316">
        <f t="shared" si="1107"/>
        <v>0</v>
      </c>
      <c r="S489" s="95"/>
    </row>
    <row r="490" spans="1:19">
      <c r="A490" s="162">
        <v>4.3</v>
      </c>
      <c r="B490" s="159" t="s">
        <v>303</v>
      </c>
      <c r="C490" s="154"/>
      <c r="D490" s="154"/>
      <c r="E490" s="89"/>
      <c r="F490" s="89"/>
      <c r="G490" s="89"/>
      <c r="H490" s="89"/>
      <c r="I490" s="89"/>
      <c r="J490" s="89"/>
      <c r="K490" s="89"/>
      <c r="L490" s="89"/>
      <c r="M490" s="167"/>
      <c r="N490" s="94"/>
      <c r="O490" s="1316">
        <f t="shared" si="1107"/>
        <v>0</v>
      </c>
      <c r="S490" s="95"/>
    </row>
    <row r="491" spans="1:19">
      <c r="A491" s="160" t="s">
        <v>409</v>
      </c>
      <c r="B491" s="291" t="s">
        <v>312</v>
      </c>
      <c r="C491" s="266"/>
      <c r="D491" s="266"/>
      <c r="E491" s="89">
        <f t="shared" ref="E491:J491" si="1143">E186</f>
        <v>111</v>
      </c>
      <c r="F491" s="89">
        <f t="shared" si="1143"/>
        <v>103</v>
      </c>
      <c r="G491" s="89">
        <f t="shared" si="1143"/>
        <v>99</v>
      </c>
      <c r="H491" s="89">
        <f t="shared" si="1143"/>
        <v>99</v>
      </c>
      <c r="I491" s="89">
        <f t="shared" si="1143"/>
        <v>99</v>
      </c>
      <c r="J491" s="89">
        <f t="shared" si="1143"/>
        <v>99</v>
      </c>
      <c r="K491" s="89">
        <f t="shared" ref="K491:L491" si="1144">K186</f>
        <v>96</v>
      </c>
      <c r="L491" s="89">
        <f t="shared" si="1144"/>
        <v>94</v>
      </c>
      <c r="M491" s="167">
        <f t="shared" ref="M491" si="1145">SUM(F491:H491)</f>
        <v>301</v>
      </c>
      <c r="N491" s="94">
        <f t="shared" ref="N491" si="1146">SUM(F491:J491)</f>
        <v>499</v>
      </c>
      <c r="O491" s="1316">
        <f t="shared" si="1107"/>
        <v>388</v>
      </c>
      <c r="S491" s="95"/>
    </row>
    <row r="492" spans="1:19">
      <c r="A492" s="160" t="s">
        <v>410</v>
      </c>
      <c r="B492" s="291" t="s">
        <v>323</v>
      </c>
      <c r="C492" s="266"/>
      <c r="D492" s="266"/>
      <c r="E492" s="279">
        <f>E423</f>
        <v>1</v>
      </c>
      <c r="F492" s="279">
        <f>E492</f>
        <v>1</v>
      </c>
      <c r="G492" s="279">
        <f t="shared" ref="G492:J492" si="1147">F492</f>
        <v>1</v>
      </c>
      <c r="H492" s="279">
        <f t="shared" si="1147"/>
        <v>1</v>
      </c>
      <c r="I492" s="279">
        <f t="shared" si="1147"/>
        <v>1</v>
      </c>
      <c r="J492" s="279">
        <f t="shared" si="1147"/>
        <v>1</v>
      </c>
      <c r="K492" s="279">
        <f t="shared" ref="K492" si="1148">J492</f>
        <v>1</v>
      </c>
      <c r="L492" s="279">
        <f t="shared" ref="L492" si="1149">K492</f>
        <v>1</v>
      </c>
      <c r="M492" s="167"/>
      <c r="N492" s="94"/>
      <c r="O492" s="1316"/>
      <c r="S492" s="95"/>
    </row>
    <row r="493" spans="1:19">
      <c r="A493" s="160" t="s">
        <v>411</v>
      </c>
      <c r="B493" s="291" t="s">
        <v>325</v>
      </c>
      <c r="C493" s="154"/>
      <c r="D493" s="154"/>
      <c r="E493" s="89">
        <f>E491*E492</f>
        <v>111</v>
      </c>
      <c r="F493" s="89">
        <f t="shared" ref="F493" si="1150">F491*F492</f>
        <v>103</v>
      </c>
      <c r="G493" s="89">
        <f t="shared" ref="G493" si="1151">G491*G492</f>
        <v>99</v>
      </c>
      <c r="H493" s="89">
        <f t="shared" ref="H493" si="1152">H491*H492</f>
        <v>99</v>
      </c>
      <c r="I493" s="89">
        <f t="shared" ref="I493" si="1153">I491*I492</f>
        <v>99</v>
      </c>
      <c r="J493" s="89">
        <f t="shared" ref="J493:L493" si="1154">J491*J492</f>
        <v>99</v>
      </c>
      <c r="K493" s="89">
        <f t="shared" si="1154"/>
        <v>96</v>
      </c>
      <c r="L493" s="89">
        <f t="shared" si="1154"/>
        <v>94</v>
      </c>
      <c r="M493" s="167">
        <f t="shared" ref="M493" si="1155">SUM(F493:H493)</f>
        <v>301</v>
      </c>
      <c r="N493" s="94">
        <f t="shared" ref="N493" si="1156">SUM(F493:J493)</f>
        <v>499</v>
      </c>
      <c r="O493" s="1316">
        <f t="shared" si="1107"/>
        <v>388</v>
      </c>
      <c r="S493" s="95"/>
    </row>
    <row r="494" spans="1:19">
      <c r="A494" s="160" t="s">
        <v>412</v>
      </c>
      <c r="B494" s="291" t="s">
        <v>305</v>
      </c>
      <c r="C494" s="266"/>
      <c r="D494" s="154"/>
      <c r="E494" s="152">
        <f>E220</f>
        <v>0.75</v>
      </c>
      <c r="F494" s="152">
        <f t="shared" ref="F494:J494" si="1157">F220</f>
        <v>0.8</v>
      </c>
      <c r="G494" s="152">
        <f t="shared" si="1157"/>
        <v>0.85</v>
      </c>
      <c r="H494" s="152">
        <f t="shared" si="1157"/>
        <v>0.9</v>
      </c>
      <c r="I494" s="152">
        <f t="shared" si="1157"/>
        <v>0.89999999999999991</v>
      </c>
      <c r="J494" s="152">
        <f t="shared" si="1157"/>
        <v>0.9</v>
      </c>
      <c r="K494" s="152">
        <f t="shared" ref="K494:L494" si="1158">K220</f>
        <v>0.9</v>
      </c>
      <c r="L494" s="152">
        <f t="shared" si="1158"/>
        <v>0.89999999999999991</v>
      </c>
      <c r="M494" s="167"/>
      <c r="N494" s="94"/>
      <c r="O494" s="1316"/>
      <c r="S494" s="95"/>
    </row>
    <row r="495" spans="1:19">
      <c r="A495" s="160" t="s">
        <v>413</v>
      </c>
      <c r="B495" s="291" t="s">
        <v>326</v>
      </c>
      <c r="C495" s="266"/>
      <c r="D495" s="154"/>
      <c r="E495" s="89">
        <f>E493*E494</f>
        <v>83.25</v>
      </c>
      <c r="F495" s="89">
        <f t="shared" ref="F495:J495" si="1159">F493*F494</f>
        <v>82.4</v>
      </c>
      <c r="G495" s="89">
        <f t="shared" si="1159"/>
        <v>84.149999999999991</v>
      </c>
      <c r="H495" s="89">
        <f t="shared" si="1159"/>
        <v>89.100000000000009</v>
      </c>
      <c r="I495" s="89">
        <f t="shared" si="1159"/>
        <v>89.1</v>
      </c>
      <c r="J495" s="89">
        <f t="shared" si="1159"/>
        <v>89.100000000000009</v>
      </c>
      <c r="K495" s="89">
        <f t="shared" ref="K495:L495" si="1160">K493*K494</f>
        <v>86.4</v>
      </c>
      <c r="L495" s="89">
        <f t="shared" si="1160"/>
        <v>84.6</v>
      </c>
      <c r="M495" s="167">
        <f t="shared" ref="M495" si="1161">SUM(F495:H495)</f>
        <v>255.65000000000003</v>
      </c>
      <c r="N495" s="94">
        <f t="shared" ref="N495" si="1162">SUM(F495:J495)</f>
        <v>433.85</v>
      </c>
      <c r="O495" s="1316">
        <f t="shared" si="1107"/>
        <v>349.20000000000005</v>
      </c>
      <c r="S495" s="95"/>
    </row>
    <row r="496" spans="1:19">
      <c r="A496" s="160" t="s">
        <v>414</v>
      </c>
      <c r="B496" s="293" t="s">
        <v>367</v>
      </c>
      <c r="C496" s="154"/>
      <c r="D496" s="154"/>
      <c r="E496" s="294">
        <f>E474*60%</f>
        <v>14.399999999999999</v>
      </c>
      <c r="F496" s="294">
        <f>E474*65%</f>
        <v>15.600000000000001</v>
      </c>
      <c r="G496" s="294">
        <f>E474*70%</f>
        <v>16.799999999999997</v>
      </c>
      <c r="H496" s="294">
        <f>E474*75%</f>
        <v>18</v>
      </c>
      <c r="I496" s="294">
        <f t="shared" ref="I496" si="1163">H496</f>
        <v>18</v>
      </c>
      <c r="J496" s="294">
        <f t="shared" ref="J496" si="1164">I496</f>
        <v>18</v>
      </c>
      <c r="K496" s="294">
        <f t="shared" ref="K496" si="1165">J496</f>
        <v>18</v>
      </c>
      <c r="L496" s="294">
        <f t="shared" ref="L496" si="1166">K496</f>
        <v>18</v>
      </c>
      <c r="M496" s="167"/>
      <c r="N496" s="94"/>
      <c r="O496" s="1316"/>
      <c r="S496" s="95"/>
    </row>
    <row r="497" spans="1:19">
      <c r="A497" s="160" t="s">
        <v>415</v>
      </c>
      <c r="B497" s="291" t="s">
        <v>308</v>
      </c>
      <c r="C497" s="266"/>
      <c r="D497" s="266"/>
      <c r="E497" s="89">
        <f>E495*E496</f>
        <v>1198.8</v>
      </c>
      <c r="F497" s="89">
        <f t="shared" ref="F497" si="1167">F495*F496</f>
        <v>1285.4400000000003</v>
      </c>
      <c r="G497" s="89">
        <f t="shared" ref="G497" si="1168">G495*G496</f>
        <v>1413.7199999999996</v>
      </c>
      <c r="H497" s="89">
        <f t="shared" ref="H497" si="1169">H495*H496</f>
        <v>1603.8000000000002</v>
      </c>
      <c r="I497" s="89">
        <f t="shared" ref="I497" si="1170">I495*I496</f>
        <v>1603.8</v>
      </c>
      <c r="J497" s="89">
        <f t="shared" ref="J497:L497" si="1171">J495*J496</f>
        <v>1603.8000000000002</v>
      </c>
      <c r="K497" s="89">
        <f t="shared" si="1171"/>
        <v>1555.2</v>
      </c>
      <c r="L497" s="89">
        <f t="shared" si="1171"/>
        <v>1522.8</v>
      </c>
      <c r="M497" s="167">
        <f t="shared" ref="M497" si="1172">SUM(F497:H497)</f>
        <v>4302.96</v>
      </c>
      <c r="N497" s="94">
        <f t="shared" ref="N497" si="1173">SUM(F497:J497)</f>
        <v>7510.56</v>
      </c>
      <c r="O497" s="1316">
        <f t="shared" si="1107"/>
        <v>6285.6</v>
      </c>
      <c r="S497" s="95"/>
    </row>
    <row r="498" spans="1:19">
      <c r="A498" s="160" t="s">
        <v>416</v>
      </c>
      <c r="B498" s="291" t="s">
        <v>828</v>
      </c>
      <c r="C498" s="266"/>
      <c r="D498" s="266"/>
      <c r="E498" s="287">
        <f t="shared" ref="E498:J498" si="1174">E291</f>
        <v>1</v>
      </c>
      <c r="F498" s="287">
        <f t="shared" si="1174"/>
        <v>1</v>
      </c>
      <c r="G498" s="287">
        <f t="shared" si="1174"/>
        <v>1</v>
      </c>
      <c r="H498" s="287">
        <f t="shared" si="1174"/>
        <v>1</v>
      </c>
      <c r="I498" s="287">
        <f t="shared" si="1174"/>
        <v>1</v>
      </c>
      <c r="J498" s="287">
        <f t="shared" si="1174"/>
        <v>1</v>
      </c>
      <c r="K498" s="287">
        <f t="shared" ref="K498:L498" si="1175">K291</f>
        <v>1</v>
      </c>
      <c r="L498" s="287">
        <f t="shared" si="1175"/>
        <v>1</v>
      </c>
      <c r="M498" s="167"/>
      <c r="N498" s="94"/>
      <c r="O498" s="1316"/>
      <c r="S498" s="95"/>
    </row>
    <row r="499" spans="1:19">
      <c r="A499" s="160" t="s">
        <v>417</v>
      </c>
      <c r="B499" s="291" t="s">
        <v>309</v>
      </c>
      <c r="C499" s="154"/>
      <c r="D499" s="154"/>
      <c r="E499" s="89">
        <f>E497*E498</f>
        <v>1198.8</v>
      </c>
      <c r="F499" s="89">
        <f t="shared" ref="F499:J499" si="1176">F497*F498</f>
        <v>1285.4400000000003</v>
      </c>
      <c r="G499" s="89">
        <f t="shared" si="1176"/>
        <v>1413.7199999999996</v>
      </c>
      <c r="H499" s="89">
        <f t="shared" si="1176"/>
        <v>1603.8000000000002</v>
      </c>
      <c r="I499" s="89">
        <f t="shared" si="1176"/>
        <v>1603.8</v>
      </c>
      <c r="J499" s="89">
        <f t="shared" si="1176"/>
        <v>1603.8000000000002</v>
      </c>
      <c r="K499" s="89">
        <f t="shared" ref="K499:L499" si="1177">K497*K498</f>
        <v>1555.2</v>
      </c>
      <c r="L499" s="89">
        <f t="shared" si="1177"/>
        <v>1522.8</v>
      </c>
      <c r="M499" s="167">
        <f t="shared" ref="M499" si="1178">SUM(F499:H499)</f>
        <v>4302.96</v>
      </c>
      <c r="N499" s="94">
        <f t="shared" ref="N499" si="1179">SUM(F499:J499)</f>
        <v>7510.56</v>
      </c>
      <c r="O499" s="1316">
        <f t="shared" si="1107"/>
        <v>6285.6</v>
      </c>
      <c r="S499" s="95"/>
    </row>
    <row r="500" spans="1:19">
      <c r="A500" s="162">
        <v>4.4000000000000004</v>
      </c>
      <c r="B500" s="159" t="s">
        <v>460</v>
      </c>
      <c r="C500" s="154"/>
      <c r="D500" s="154"/>
      <c r="E500" s="89"/>
      <c r="F500" s="89"/>
      <c r="G500" s="89"/>
      <c r="H500" s="89"/>
      <c r="I500" s="89"/>
      <c r="J500" s="89"/>
      <c r="K500" s="89"/>
      <c r="L500" s="89"/>
      <c r="M500" s="167"/>
      <c r="N500" s="94"/>
      <c r="O500" s="1316">
        <f t="shared" si="1107"/>
        <v>0</v>
      </c>
      <c r="S500" s="95"/>
    </row>
    <row r="501" spans="1:19">
      <c r="A501" s="160" t="s">
        <v>591</v>
      </c>
      <c r="B501" s="291" t="s">
        <v>312</v>
      </c>
      <c r="C501" s="266"/>
      <c r="D501" s="266"/>
      <c r="E501" s="89">
        <f t="shared" ref="E501:J501" si="1180">E186</f>
        <v>111</v>
      </c>
      <c r="F501" s="89">
        <f t="shared" si="1180"/>
        <v>103</v>
      </c>
      <c r="G501" s="89">
        <f t="shared" si="1180"/>
        <v>99</v>
      </c>
      <c r="H501" s="89">
        <f t="shared" si="1180"/>
        <v>99</v>
      </c>
      <c r="I501" s="89">
        <f t="shared" si="1180"/>
        <v>99</v>
      </c>
      <c r="J501" s="89">
        <f t="shared" si="1180"/>
        <v>99</v>
      </c>
      <c r="K501" s="89">
        <f t="shared" ref="K501:L501" si="1181">K186</f>
        <v>96</v>
      </c>
      <c r="L501" s="89">
        <f t="shared" si="1181"/>
        <v>94</v>
      </c>
      <c r="M501" s="167">
        <f t="shared" ref="M501" si="1182">SUM(F501:H501)</f>
        <v>301</v>
      </c>
      <c r="N501" s="94">
        <f t="shared" ref="N501" si="1183">SUM(F501:J501)</f>
        <v>499</v>
      </c>
      <c r="O501" s="1316">
        <f t="shared" si="1107"/>
        <v>388</v>
      </c>
      <c r="S501" s="95"/>
    </row>
    <row r="502" spans="1:19">
      <c r="A502" s="160" t="s">
        <v>592</v>
      </c>
      <c r="B502" s="291" t="s">
        <v>481</v>
      </c>
      <c r="C502" s="266"/>
      <c r="D502" s="266"/>
      <c r="E502" s="152">
        <v>0.05</v>
      </c>
      <c r="F502" s="152">
        <f>E502</f>
        <v>0.05</v>
      </c>
      <c r="G502" s="152">
        <f t="shared" ref="G502:J502" si="1184">F502</f>
        <v>0.05</v>
      </c>
      <c r="H502" s="152">
        <f t="shared" si="1184"/>
        <v>0.05</v>
      </c>
      <c r="I502" s="152">
        <f t="shared" si="1184"/>
        <v>0.05</v>
      </c>
      <c r="J502" s="152">
        <f t="shared" si="1184"/>
        <v>0.05</v>
      </c>
      <c r="K502" s="152">
        <f t="shared" ref="K502" si="1185">J502</f>
        <v>0.05</v>
      </c>
      <c r="L502" s="152">
        <f t="shared" ref="L502" si="1186">K502</f>
        <v>0.05</v>
      </c>
      <c r="M502" s="167"/>
      <c r="N502" s="94"/>
      <c r="O502" s="1316">
        <f t="shared" si="1107"/>
        <v>0.2</v>
      </c>
      <c r="S502" s="95"/>
    </row>
    <row r="503" spans="1:19">
      <c r="A503" s="160" t="s">
        <v>593</v>
      </c>
      <c r="B503" s="291" t="s">
        <v>482</v>
      </c>
      <c r="C503" s="154"/>
      <c r="D503" s="154"/>
      <c r="E503" s="89">
        <f>E501*E502</f>
        <v>5.5500000000000007</v>
      </c>
      <c r="F503" s="89">
        <f t="shared" ref="F503:J503" si="1187">F501*F502</f>
        <v>5.15</v>
      </c>
      <c r="G503" s="89">
        <f t="shared" si="1187"/>
        <v>4.95</v>
      </c>
      <c r="H503" s="89">
        <f t="shared" si="1187"/>
        <v>4.95</v>
      </c>
      <c r="I503" s="89">
        <f t="shared" si="1187"/>
        <v>4.95</v>
      </c>
      <c r="J503" s="89">
        <f t="shared" si="1187"/>
        <v>4.95</v>
      </c>
      <c r="K503" s="89">
        <f t="shared" ref="K503:L503" si="1188">K501*K502</f>
        <v>4.8000000000000007</v>
      </c>
      <c r="L503" s="89">
        <f t="shared" si="1188"/>
        <v>4.7</v>
      </c>
      <c r="M503" s="167">
        <f t="shared" ref="M503" si="1189">SUM(F503:H503)</f>
        <v>15.05</v>
      </c>
      <c r="N503" s="94">
        <f t="shared" ref="N503" si="1190">SUM(F503:J503)</f>
        <v>24.95</v>
      </c>
      <c r="O503" s="1316">
        <f t="shared" si="1107"/>
        <v>19.400000000000002</v>
      </c>
      <c r="S503" s="95"/>
    </row>
    <row r="504" spans="1:19">
      <c r="A504" s="160" t="s">
        <v>594</v>
      </c>
      <c r="B504" s="291" t="s">
        <v>462</v>
      </c>
      <c r="C504" s="266"/>
      <c r="D504" s="154"/>
      <c r="E504" s="152">
        <f t="shared" ref="E504:J504" si="1191">E229</f>
        <v>0.75</v>
      </c>
      <c r="F504" s="152">
        <f t="shared" si="1191"/>
        <v>0.8</v>
      </c>
      <c r="G504" s="152">
        <f t="shared" si="1191"/>
        <v>0.85</v>
      </c>
      <c r="H504" s="152">
        <f t="shared" si="1191"/>
        <v>0.9</v>
      </c>
      <c r="I504" s="152">
        <f t="shared" si="1191"/>
        <v>0.89999999999999991</v>
      </c>
      <c r="J504" s="152">
        <f t="shared" si="1191"/>
        <v>0.9</v>
      </c>
      <c r="K504" s="152">
        <f t="shared" ref="K504:L504" si="1192">K229</f>
        <v>0.9</v>
      </c>
      <c r="L504" s="152">
        <f t="shared" si="1192"/>
        <v>0.89999999999999991</v>
      </c>
      <c r="M504" s="167"/>
      <c r="N504" s="94"/>
      <c r="O504" s="1316"/>
      <c r="S504" s="95"/>
    </row>
    <row r="505" spans="1:19">
      <c r="A505" s="160" t="s">
        <v>595</v>
      </c>
      <c r="B505" s="291" t="s">
        <v>480</v>
      </c>
      <c r="C505" s="266"/>
      <c r="D505" s="154"/>
      <c r="E505" s="89">
        <f>E503*E504</f>
        <v>4.1625000000000005</v>
      </c>
      <c r="F505" s="89">
        <f t="shared" ref="F505:J505" si="1193">F503*F504</f>
        <v>4.12</v>
      </c>
      <c r="G505" s="89">
        <f t="shared" si="1193"/>
        <v>4.2075000000000005</v>
      </c>
      <c r="H505" s="89">
        <f t="shared" si="1193"/>
        <v>4.4550000000000001</v>
      </c>
      <c r="I505" s="89">
        <f t="shared" si="1193"/>
        <v>4.4550000000000001</v>
      </c>
      <c r="J505" s="89">
        <f t="shared" si="1193"/>
        <v>4.4550000000000001</v>
      </c>
      <c r="K505" s="89">
        <f t="shared" ref="K505:L505" si="1194">K503*K504</f>
        <v>4.3200000000000012</v>
      </c>
      <c r="L505" s="89">
        <f t="shared" si="1194"/>
        <v>4.2299999999999995</v>
      </c>
      <c r="M505" s="167">
        <f t="shared" ref="M505" si="1195">SUM(F505:H505)</f>
        <v>12.782500000000001</v>
      </c>
      <c r="N505" s="94">
        <f t="shared" ref="N505" si="1196">SUM(F505:J505)</f>
        <v>21.692500000000003</v>
      </c>
      <c r="O505" s="1316">
        <f t="shared" si="1107"/>
        <v>17.46</v>
      </c>
      <c r="S505" s="95"/>
    </row>
    <row r="506" spans="1:19">
      <c r="A506" s="160" t="s">
        <v>596</v>
      </c>
      <c r="B506" s="293" t="s">
        <v>464</v>
      </c>
      <c r="C506" s="154"/>
      <c r="D506" s="154"/>
      <c r="E506" s="152">
        <f t="shared" ref="E506:J506" si="1197">E231</f>
        <v>0.02</v>
      </c>
      <c r="F506" s="152">
        <f t="shared" si="1197"/>
        <v>0.02</v>
      </c>
      <c r="G506" s="152">
        <f t="shared" si="1197"/>
        <v>0.02</v>
      </c>
      <c r="H506" s="152">
        <f t="shared" si="1197"/>
        <v>0.02</v>
      </c>
      <c r="I506" s="152">
        <f t="shared" si="1197"/>
        <v>0.02</v>
      </c>
      <c r="J506" s="152">
        <f t="shared" si="1197"/>
        <v>0.02</v>
      </c>
      <c r="K506" s="152">
        <f t="shared" ref="K506:L506" si="1198">K231</f>
        <v>0.02</v>
      </c>
      <c r="L506" s="152">
        <f t="shared" si="1198"/>
        <v>0.02</v>
      </c>
      <c r="M506" s="167"/>
      <c r="N506" s="94"/>
      <c r="O506" s="1316">
        <f t="shared" si="1107"/>
        <v>0.08</v>
      </c>
      <c r="S506" s="95"/>
    </row>
    <row r="507" spans="1:19">
      <c r="A507" s="160" t="s">
        <v>597</v>
      </c>
      <c r="B507" s="291" t="s">
        <v>465</v>
      </c>
      <c r="C507" s="266"/>
      <c r="D507" s="266"/>
      <c r="E507" s="89">
        <f>E505+E505*E506</f>
        <v>4.2457500000000001</v>
      </c>
      <c r="F507" s="89">
        <f t="shared" ref="F507:J507" si="1199">F505+F505*F506</f>
        <v>4.2023999999999999</v>
      </c>
      <c r="G507" s="89">
        <f t="shared" si="1199"/>
        <v>4.2916500000000006</v>
      </c>
      <c r="H507" s="89">
        <f t="shared" si="1199"/>
        <v>4.5441000000000003</v>
      </c>
      <c r="I507" s="89">
        <f t="shared" si="1199"/>
        <v>4.5441000000000003</v>
      </c>
      <c r="J507" s="89">
        <f t="shared" si="1199"/>
        <v>4.5441000000000003</v>
      </c>
      <c r="K507" s="89">
        <f t="shared" ref="K507:L507" si="1200">K505+K505*K506</f>
        <v>4.4064000000000014</v>
      </c>
      <c r="L507" s="89">
        <f t="shared" si="1200"/>
        <v>4.3145999999999995</v>
      </c>
      <c r="M507" s="167">
        <f t="shared" ref="M507" si="1201">SUM(F507:H507)</f>
        <v>13.038150000000002</v>
      </c>
      <c r="N507" s="94">
        <f t="shared" ref="N507" si="1202">SUM(F507:J507)</f>
        <v>22.126350000000002</v>
      </c>
      <c r="O507" s="1316">
        <f t="shared" si="1107"/>
        <v>17.809200000000001</v>
      </c>
      <c r="S507" s="95"/>
    </row>
    <row r="508" spans="1:19">
      <c r="A508" s="160" t="s">
        <v>598</v>
      </c>
      <c r="B508" s="291" t="s">
        <v>820</v>
      </c>
      <c r="C508" s="266"/>
      <c r="D508" s="266"/>
      <c r="E508" s="287">
        <f>E233</f>
        <v>1</v>
      </c>
      <c r="F508" s="287">
        <f>E508</f>
        <v>1</v>
      </c>
      <c r="G508" s="287">
        <f>F508</f>
        <v>1</v>
      </c>
      <c r="H508" s="287">
        <f t="shared" ref="H508:J508" si="1203">G508</f>
        <v>1</v>
      </c>
      <c r="I508" s="287">
        <f t="shared" si="1203"/>
        <v>1</v>
      </c>
      <c r="J508" s="287">
        <f t="shared" si="1203"/>
        <v>1</v>
      </c>
      <c r="K508" s="287">
        <f t="shared" ref="K508" si="1204">J508</f>
        <v>1</v>
      </c>
      <c r="L508" s="287">
        <f t="shared" ref="L508" si="1205">K508</f>
        <v>1</v>
      </c>
      <c r="M508" s="167"/>
      <c r="N508" s="94"/>
      <c r="O508" s="1316"/>
      <c r="S508" s="95"/>
    </row>
    <row r="509" spans="1:19">
      <c r="A509" s="160" t="s">
        <v>599</v>
      </c>
      <c r="B509" s="291" t="s">
        <v>821</v>
      </c>
      <c r="C509" s="154"/>
      <c r="D509" s="154"/>
      <c r="E509" s="89">
        <f>E507*E508</f>
        <v>4.2457500000000001</v>
      </c>
      <c r="F509" s="89">
        <f t="shared" ref="F509:J509" si="1206">F507*F508</f>
        <v>4.2023999999999999</v>
      </c>
      <c r="G509" s="89">
        <f t="shared" si="1206"/>
        <v>4.2916500000000006</v>
      </c>
      <c r="H509" s="89">
        <f t="shared" si="1206"/>
        <v>4.5441000000000003</v>
      </c>
      <c r="I509" s="89">
        <f t="shared" si="1206"/>
        <v>4.5441000000000003</v>
      </c>
      <c r="J509" s="89">
        <f t="shared" si="1206"/>
        <v>4.5441000000000003</v>
      </c>
      <c r="K509" s="89">
        <f t="shared" ref="K509:L509" si="1207">K507*K508</f>
        <v>4.4064000000000014</v>
      </c>
      <c r="L509" s="89">
        <f t="shared" si="1207"/>
        <v>4.3145999999999995</v>
      </c>
      <c r="M509" s="167">
        <f t="shared" ref="M509" si="1208">SUM(F509:H509)</f>
        <v>13.038150000000002</v>
      </c>
      <c r="N509" s="94">
        <f t="shared" ref="N509" si="1209">SUM(F509:J509)</f>
        <v>22.126350000000002</v>
      </c>
      <c r="O509" s="1316">
        <f t="shared" si="1107"/>
        <v>17.809200000000001</v>
      </c>
      <c r="S509" s="95"/>
    </row>
    <row r="510" spans="1:19">
      <c r="A510" s="162">
        <v>4.5</v>
      </c>
      <c r="B510" s="161" t="s">
        <v>459</v>
      </c>
      <c r="C510" s="154"/>
      <c r="D510" s="154"/>
      <c r="E510" s="89"/>
      <c r="F510" s="89"/>
      <c r="G510" s="89"/>
      <c r="H510" s="89"/>
      <c r="I510" s="89"/>
      <c r="J510" s="89"/>
      <c r="K510" s="89"/>
      <c r="L510" s="89"/>
      <c r="M510" s="167"/>
      <c r="N510" s="94"/>
      <c r="O510" s="1316">
        <f t="shared" si="1107"/>
        <v>0</v>
      </c>
      <c r="S510" s="95"/>
    </row>
    <row r="511" spans="1:19">
      <c r="A511" s="160" t="s">
        <v>600</v>
      </c>
      <c r="B511" s="291" t="s">
        <v>312</v>
      </c>
      <c r="C511" s="266"/>
      <c r="D511" s="266"/>
      <c r="E511" s="89">
        <f t="shared" ref="E511:J511" si="1210">E186</f>
        <v>111</v>
      </c>
      <c r="F511" s="89">
        <f t="shared" si="1210"/>
        <v>103</v>
      </c>
      <c r="G511" s="89">
        <f t="shared" si="1210"/>
        <v>99</v>
      </c>
      <c r="H511" s="89">
        <f t="shared" si="1210"/>
        <v>99</v>
      </c>
      <c r="I511" s="89">
        <f t="shared" si="1210"/>
        <v>99</v>
      </c>
      <c r="J511" s="89">
        <f t="shared" si="1210"/>
        <v>99</v>
      </c>
      <c r="K511" s="89">
        <f t="shared" ref="K511:L511" si="1211">K186</f>
        <v>96</v>
      </c>
      <c r="L511" s="89">
        <f t="shared" si="1211"/>
        <v>94</v>
      </c>
      <c r="M511" s="167">
        <f t="shared" ref="M511" si="1212">SUM(F511:H511)</f>
        <v>301</v>
      </c>
      <c r="N511" s="94">
        <f t="shared" ref="N511" si="1213">SUM(F511:J511)</f>
        <v>499</v>
      </c>
      <c r="O511" s="1316">
        <f t="shared" si="1107"/>
        <v>388</v>
      </c>
      <c r="S511" s="95"/>
    </row>
    <row r="512" spans="1:19">
      <c r="A512" s="160" t="s">
        <v>601</v>
      </c>
      <c r="B512" s="291" t="s">
        <v>483</v>
      </c>
      <c r="C512" s="266"/>
      <c r="D512" s="266"/>
      <c r="E512" s="152">
        <v>0</v>
      </c>
      <c r="F512" s="152">
        <f>E512</f>
        <v>0</v>
      </c>
      <c r="G512" s="152">
        <f t="shared" ref="G512:J512" si="1214">F512</f>
        <v>0</v>
      </c>
      <c r="H512" s="152">
        <f t="shared" si="1214"/>
        <v>0</v>
      </c>
      <c r="I512" s="152">
        <f t="shared" si="1214"/>
        <v>0</v>
      </c>
      <c r="J512" s="152">
        <f t="shared" si="1214"/>
        <v>0</v>
      </c>
      <c r="K512" s="152">
        <f t="shared" ref="K512" si="1215">J512</f>
        <v>0</v>
      </c>
      <c r="L512" s="152">
        <f t="shared" ref="L512" si="1216">K512</f>
        <v>0</v>
      </c>
      <c r="M512" s="167"/>
      <c r="N512" s="94"/>
      <c r="O512" s="1316">
        <f t="shared" si="1107"/>
        <v>0</v>
      </c>
      <c r="S512" s="95"/>
    </row>
    <row r="513" spans="1:19">
      <c r="A513" s="160" t="s">
        <v>602</v>
      </c>
      <c r="B513" s="291" t="s">
        <v>484</v>
      </c>
      <c r="C513" s="154"/>
      <c r="D513" s="154"/>
      <c r="E513" s="89">
        <f>E511*E512</f>
        <v>0</v>
      </c>
      <c r="F513" s="89">
        <f t="shared" ref="F513:J513" si="1217">F511*F512</f>
        <v>0</v>
      </c>
      <c r="G513" s="89">
        <f t="shared" si="1217"/>
        <v>0</v>
      </c>
      <c r="H513" s="89">
        <f t="shared" si="1217"/>
        <v>0</v>
      </c>
      <c r="I513" s="89">
        <f t="shared" si="1217"/>
        <v>0</v>
      </c>
      <c r="J513" s="89">
        <f t="shared" si="1217"/>
        <v>0</v>
      </c>
      <c r="K513" s="89">
        <f t="shared" ref="K513:L513" si="1218">K511*K512</f>
        <v>0</v>
      </c>
      <c r="L513" s="89">
        <f t="shared" si="1218"/>
        <v>0</v>
      </c>
      <c r="M513" s="167">
        <f t="shared" ref="M513" si="1219">SUM(F513:H513)</f>
        <v>0</v>
      </c>
      <c r="N513" s="94">
        <f t="shared" ref="N513" si="1220">SUM(F513:J513)</f>
        <v>0</v>
      </c>
      <c r="O513" s="1316">
        <f t="shared" si="1107"/>
        <v>0</v>
      </c>
      <c r="S513" s="95"/>
    </row>
    <row r="514" spans="1:19">
      <c r="A514" s="160" t="s">
        <v>603</v>
      </c>
      <c r="B514" s="291" t="s">
        <v>455</v>
      </c>
      <c r="C514" s="266"/>
      <c r="D514" s="154"/>
      <c r="E514" s="152">
        <f t="shared" ref="E514:J514" si="1221">E238</f>
        <v>0.7</v>
      </c>
      <c r="F514" s="152">
        <f t="shared" si="1221"/>
        <v>0.8</v>
      </c>
      <c r="G514" s="152">
        <f t="shared" si="1221"/>
        <v>0.85</v>
      </c>
      <c r="H514" s="152">
        <f t="shared" si="1221"/>
        <v>0.95</v>
      </c>
      <c r="I514" s="152">
        <f t="shared" si="1221"/>
        <v>0.95</v>
      </c>
      <c r="J514" s="152">
        <f t="shared" si="1221"/>
        <v>0.95</v>
      </c>
      <c r="K514" s="152">
        <f t="shared" ref="K514:L514" si="1222">K238</f>
        <v>0.95</v>
      </c>
      <c r="L514" s="152">
        <f t="shared" si="1222"/>
        <v>0.95</v>
      </c>
      <c r="M514" s="167"/>
      <c r="N514" s="94"/>
      <c r="O514" s="1316"/>
      <c r="S514" s="95"/>
    </row>
    <row r="515" spans="1:19">
      <c r="A515" s="160" t="s">
        <v>604</v>
      </c>
      <c r="B515" s="291" t="s">
        <v>485</v>
      </c>
      <c r="C515" s="266"/>
      <c r="D515" s="154"/>
      <c r="E515" s="89">
        <f>E513*E514</f>
        <v>0</v>
      </c>
      <c r="F515" s="89">
        <f t="shared" ref="F515:J515" si="1223">F513*F514</f>
        <v>0</v>
      </c>
      <c r="G515" s="89">
        <f t="shared" si="1223"/>
        <v>0</v>
      </c>
      <c r="H515" s="89">
        <f t="shared" si="1223"/>
        <v>0</v>
      </c>
      <c r="I515" s="89">
        <f t="shared" si="1223"/>
        <v>0</v>
      </c>
      <c r="J515" s="89">
        <f t="shared" si="1223"/>
        <v>0</v>
      </c>
      <c r="K515" s="89">
        <f t="shared" ref="K515:L515" si="1224">K513*K514</f>
        <v>0</v>
      </c>
      <c r="L515" s="89">
        <f t="shared" si="1224"/>
        <v>0</v>
      </c>
      <c r="M515" s="167">
        <f t="shared" ref="M515" si="1225">SUM(F515:H515)</f>
        <v>0</v>
      </c>
      <c r="N515" s="94">
        <f t="shared" ref="N515" si="1226">SUM(F515:J515)</f>
        <v>0</v>
      </c>
      <c r="O515" s="1316">
        <f t="shared" si="1107"/>
        <v>0</v>
      </c>
      <c r="S515" s="95"/>
    </row>
    <row r="516" spans="1:19">
      <c r="A516" s="160" t="s">
        <v>605</v>
      </c>
      <c r="B516" s="293" t="s">
        <v>457</v>
      </c>
      <c r="C516" s="154"/>
      <c r="D516" s="154"/>
      <c r="E516" s="152">
        <f t="shared" ref="E516:J516" si="1227">E240</f>
        <v>0.1</v>
      </c>
      <c r="F516" s="152">
        <f t="shared" si="1227"/>
        <v>0.1</v>
      </c>
      <c r="G516" s="152">
        <f t="shared" si="1227"/>
        <v>0.1</v>
      </c>
      <c r="H516" s="152">
        <f t="shared" si="1227"/>
        <v>0.1</v>
      </c>
      <c r="I516" s="152">
        <f t="shared" si="1227"/>
        <v>0.1</v>
      </c>
      <c r="J516" s="152">
        <f t="shared" si="1227"/>
        <v>0.1</v>
      </c>
      <c r="K516" s="152">
        <f t="shared" ref="K516:L516" si="1228">K240</f>
        <v>0.1</v>
      </c>
      <c r="L516" s="152">
        <f t="shared" si="1228"/>
        <v>0.1</v>
      </c>
      <c r="M516" s="167"/>
      <c r="N516" s="94"/>
      <c r="O516" s="1316">
        <f t="shared" si="1107"/>
        <v>0.4</v>
      </c>
      <c r="S516" s="95"/>
    </row>
    <row r="517" spans="1:19">
      <c r="A517" s="160" t="s">
        <v>606</v>
      </c>
      <c r="B517" s="291" t="s">
        <v>458</v>
      </c>
      <c r="C517" s="266"/>
      <c r="D517" s="266"/>
      <c r="E517" s="89">
        <f>E515+E515*E516</f>
        <v>0</v>
      </c>
      <c r="F517" s="89">
        <f t="shared" ref="F517:J517" si="1229">F515+F515*F516</f>
        <v>0</v>
      </c>
      <c r="G517" s="89">
        <f t="shared" si="1229"/>
        <v>0</v>
      </c>
      <c r="H517" s="89">
        <f t="shared" si="1229"/>
        <v>0</v>
      </c>
      <c r="I517" s="89">
        <f t="shared" si="1229"/>
        <v>0</v>
      </c>
      <c r="J517" s="89">
        <f t="shared" si="1229"/>
        <v>0</v>
      </c>
      <c r="K517" s="89">
        <f t="shared" ref="K517:L517" si="1230">K515+K515*K516</f>
        <v>0</v>
      </c>
      <c r="L517" s="89">
        <f t="shared" si="1230"/>
        <v>0</v>
      </c>
      <c r="M517" s="167">
        <f t="shared" ref="M517" si="1231">SUM(F517:H517)</f>
        <v>0</v>
      </c>
      <c r="N517" s="94">
        <f t="shared" ref="N517" si="1232">SUM(F517:J517)</f>
        <v>0</v>
      </c>
      <c r="O517" s="1316">
        <f t="shared" si="1107"/>
        <v>0</v>
      </c>
      <c r="S517" s="95"/>
    </row>
    <row r="518" spans="1:19">
      <c r="A518" s="160" t="s">
        <v>607</v>
      </c>
      <c r="B518" s="291" t="s">
        <v>822</v>
      </c>
      <c r="C518" s="266"/>
      <c r="D518" s="266"/>
      <c r="E518" s="287">
        <f t="shared" ref="E518:J518" si="1233">E242</f>
        <v>1</v>
      </c>
      <c r="F518" s="287">
        <f t="shared" si="1233"/>
        <v>1</v>
      </c>
      <c r="G518" s="287">
        <f t="shared" si="1233"/>
        <v>1</v>
      </c>
      <c r="H518" s="287">
        <f t="shared" si="1233"/>
        <v>1</v>
      </c>
      <c r="I518" s="287">
        <f t="shared" si="1233"/>
        <v>1</v>
      </c>
      <c r="J518" s="287">
        <f t="shared" si="1233"/>
        <v>1</v>
      </c>
      <c r="K518" s="287">
        <f t="shared" ref="K518:L518" si="1234">K242</f>
        <v>1</v>
      </c>
      <c r="L518" s="287">
        <f t="shared" si="1234"/>
        <v>1</v>
      </c>
      <c r="M518" s="167"/>
      <c r="N518" s="94"/>
      <c r="O518" s="1316"/>
      <c r="S518" s="95"/>
    </row>
    <row r="519" spans="1:19">
      <c r="A519" s="160" t="s">
        <v>608</v>
      </c>
      <c r="B519" s="291" t="s">
        <v>823</v>
      </c>
      <c r="C519" s="154"/>
      <c r="D519" s="154"/>
      <c r="E519" s="89">
        <f>E517*E518</f>
        <v>0</v>
      </c>
      <c r="F519" s="89">
        <f t="shared" ref="F519:J519" si="1235">F517*F518</f>
        <v>0</v>
      </c>
      <c r="G519" s="89">
        <f t="shared" si="1235"/>
        <v>0</v>
      </c>
      <c r="H519" s="89">
        <f t="shared" si="1235"/>
        <v>0</v>
      </c>
      <c r="I519" s="89">
        <f t="shared" si="1235"/>
        <v>0</v>
      </c>
      <c r="J519" s="89">
        <f t="shared" si="1235"/>
        <v>0</v>
      </c>
      <c r="K519" s="89">
        <f t="shared" ref="K519:L519" si="1236">K517*K518</f>
        <v>0</v>
      </c>
      <c r="L519" s="89">
        <f t="shared" si="1236"/>
        <v>0</v>
      </c>
      <c r="M519" s="167">
        <f t="shared" ref="M519" si="1237">SUM(F519:H519)</f>
        <v>0</v>
      </c>
      <c r="N519" s="94">
        <f t="shared" ref="N519" si="1238">SUM(F519:J519)</f>
        <v>0</v>
      </c>
      <c r="O519" s="1316">
        <f t="shared" si="1107"/>
        <v>0</v>
      </c>
      <c r="S519" s="95"/>
    </row>
    <row r="520" spans="1:19">
      <c r="A520" s="162">
        <v>4.5999999999999996</v>
      </c>
      <c r="B520" s="159" t="s">
        <v>466</v>
      </c>
      <c r="C520" s="154"/>
      <c r="D520" s="154"/>
      <c r="E520" s="89"/>
      <c r="F520" s="89"/>
      <c r="G520" s="89"/>
      <c r="H520" s="89"/>
      <c r="I520" s="89"/>
      <c r="J520" s="89"/>
      <c r="K520" s="89"/>
      <c r="L520" s="89"/>
      <c r="M520" s="167"/>
      <c r="N520" s="94"/>
      <c r="O520" s="1316">
        <f t="shared" si="1107"/>
        <v>0</v>
      </c>
      <c r="S520" s="95"/>
    </row>
    <row r="521" spans="1:19">
      <c r="A521" s="160" t="s">
        <v>609</v>
      </c>
      <c r="B521" s="291" t="s">
        <v>312</v>
      </c>
      <c r="C521" s="266"/>
      <c r="D521" s="266"/>
      <c r="E521" s="89">
        <f t="shared" ref="E521:J521" si="1239">E186</f>
        <v>111</v>
      </c>
      <c r="F521" s="89">
        <f t="shared" si="1239"/>
        <v>103</v>
      </c>
      <c r="G521" s="89">
        <f t="shared" si="1239"/>
        <v>99</v>
      </c>
      <c r="H521" s="89">
        <f t="shared" si="1239"/>
        <v>99</v>
      </c>
      <c r="I521" s="89">
        <f t="shared" si="1239"/>
        <v>99</v>
      </c>
      <c r="J521" s="89">
        <f t="shared" si="1239"/>
        <v>99</v>
      </c>
      <c r="K521" s="89">
        <f t="shared" ref="K521:L521" si="1240">K186</f>
        <v>96</v>
      </c>
      <c r="L521" s="89">
        <f t="shared" si="1240"/>
        <v>94</v>
      </c>
      <c r="M521" s="167">
        <f t="shared" ref="M521" si="1241">SUM(F521:H521)</f>
        <v>301</v>
      </c>
      <c r="N521" s="94">
        <f t="shared" ref="N521" si="1242">SUM(F521:J521)</f>
        <v>499</v>
      </c>
      <c r="O521" s="1316">
        <f t="shared" si="1107"/>
        <v>388</v>
      </c>
      <c r="S521" s="95"/>
    </row>
    <row r="522" spans="1:19">
      <c r="A522" s="160" t="s">
        <v>610</v>
      </c>
      <c r="B522" s="291" t="s">
        <v>495</v>
      </c>
      <c r="C522" s="266"/>
      <c r="D522" s="266"/>
      <c r="E522" s="152">
        <v>0.8</v>
      </c>
      <c r="F522" s="152">
        <f>E522</f>
        <v>0.8</v>
      </c>
      <c r="G522" s="152">
        <f t="shared" ref="G522:J522" si="1243">F522</f>
        <v>0.8</v>
      </c>
      <c r="H522" s="152">
        <f t="shared" si="1243"/>
        <v>0.8</v>
      </c>
      <c r="I522" s="152">
        <f t="shared" si="1243"/>
        <v>0.8</v>
      </c>
      <c r="J522" s="152">
        <f t="shared" si="1243"/>
        <v>0.8</v>
      </c>
      <c r="K522" s="152">
        <f t="shared" ref="K522" si="1244">J522</f>
        <v>0.8</v>
      </c>
      <c r="L522" s="152">
        <f t="shared" ref="L522" si="1245">K522</f>
        <v>0.8</v>
      </c>
      <c r="M522" s="167"/>
      <c r="N522" s="94"/>
      <c r="O522" s="1316"/>
      <c r="S522" s="95"/>
    </row>
    <row r="523" spans="1:19">
      <c r="A523" s="160" t="s">
        <v>611</v>
      </c>
      <c r="B523" s="291" t="s">
        <v>496</v>
      </c>
      <c r="C523" s="154"/>
      <c r="D523" s="154"/>
      <c r="E523" s="89">
        <f>E521*E522</f>
        <v>88.800000000000011</v>
      </c>
      <c r="F523" s="89">
        <f t="shared" ref="F523:J523" si="1246">F521*F522</f>
        <v>82.4</v>
      </c>
      <c r="G523" s="89">
        <f t="shared" si="1246"/>
        <v>79.2</v>
      </c>
      <c r="H523" s="89">
        <f t="shared" si="1246"/>
        <v>79.2</v>
      </c>
      <c r="I523" s="89">
        <f t="shared" si="1246"/>
        <v>79.2</v>
      </c>
      <c r="J523" s="89">
        <f t="shared" si="1246"/>
        <v>79.2</v>
      </c>
      <c r="K523" s="89">
        <f t="shared" ref="K523:L523" si="1247">K521*K522</f>
        <v>76.800000000000011</v>
      </c>
      <c r="L523" s="89">
        <f t="shared" si="1247"/>
        <v>75.2</v>
      </c>
      <c r="M523" s="167">
        <f t="shared" ref="M523" si="1248">SUM(F523:H523)</f>
        <v>240.8</v>
      </c>
      <c r="N523" s="94">
        <f t="shared" ref="N523" si="1249">SUM(F523:J523)</f>
        <v>399.2</v>
      </c>
      <c r="O523" s="1316">
        <f t="shared" si="1107"/>
        <v>310.40000000000003</v>
      </c>
      <c r="S523" s="95"/>
    </row>
    <row r="524" spans="1:19">
      <c r="A524" s="160" t="s">
        <v>612</v>
      </c>
      <c r="B524" s="291" t="s">
        <v>470</v>
      </c>
      <c r="C524" s="266"/>
      <c r="D524" s="154"/>
      <c r="E524" s="152">
        <f t="shared" ref="E524:J524" si="1250">E247</f>
        <v>0.8</v>
      </c>
      <c r="F524" s="152">
        <f t="shared" si="1250"/>
        <v>0.85</v>
      </c>
      <c r="G524" s="152">
        <f t="shared" si="1250"/>
        <v>0.9</v>
      </c>
      <c r="H524" s="152">
        <f t="shared" si="1250"/>
        <v>0.95</v>
      </c>
      <c r="I524" s="152">
        <f t="shared" si="1250"/>
        <v>0.95</v>
      </c>
      <c r="J524" s="152">
        <f t="shared" si="1250"/>
        <v>0.95</v>
      </c>
      <c r="K524" s="152">
        <f t="shared" ref="K524:L524" si="1251">K247</f>
        <v>0.95</v>
      </c>
      <c r="L524" s="152">
        <f t="shared" si="1251"/>
        <v>0.95</v>
      </c>
      <c r="M524" s="167"/>
      <c r="N524" s="94"/>
      <c r="O524" s="1316"/>
      <c r="S524" s="95"/>
    </row>
    <row r="525" spans="1:19">
      <c r="A525" s="160" t="s">
        <v>613</v>
      </c>
      <c r="B525" s="291" t="s">
        <v>497</v>
      </c>
      <c r="C525" s="266"/>
      <c r="D525" s="154"/>
      <c r="E525" s="89">
        <f>E523*E524</f>
        <v>71.040000000000006</v>
      </c>
      <c r="F525" s="89">
        <f t="shared" ref="F525:J525" si="1252">F523*F524</f>
        <v>70.040000000000006</v>
      </c>
      <c r="G525" s="89">
        <f t="shared" si="1252"/>
        <v>71.28</v>
      </c>
      <c r="H525" s="89">
        <f t="shared" si="1252"/>
        <v>75.239999999999995</v>
      </c>
      <c r="I525" s="89">
        <f t="shared" si="1252"/>
        <v>75.239999999999995</v>
      </c>
      <c r="J525" s="89">
        <f t="shared" si="1252"/>
        <v>75.239999999999995</v>
      </c>
      <c r="K525" s="89">
        <f t="shared" ref="K525:L525" si="1253">K523*K524</f>
        <v>72.960000000000008</v>
      </c>
      <c r="L525" s="89">
        <f t="shared" si="1253"/>
        <v>71.44</v>
      </c>
      <c r="M525" s="167">
        <f t="shared" ref="M525" si="1254">SUM(F525:H525)</f>
        <v>216.56</v>
      </c>
      <c r="N525" s="94">
        <f t="shared" ref="N525" si="1255">SUM(F525:J525)</f>
        <v>367.04</v>
      </c>
      <c r="O525" s="1316">
        <f t="shared" si="1107"/>
        <v>294.88</v>
      </c>
      <c r="S525" s="95"/>
    </row>
    <row r="526" spans="1:19">
      <c r="A526" s="160" t="s">
        <v>614</v>
      </c>
      <c r="B526" s="293" t="s">
        <v>472</v>
      </c>
      <c r="C526" s="154"/>
      <c r="D526" s="154"/>
      <c r="E526" s="152">
        <f t="shared" ref="E526:J526" si="1256">E249</f>
        <v>0.02</v>
      </c>
      <c r="F526" s="152">
        <f t="shared" si="1256"/>
        <v>0.02</v>
      </c>
      <c r="G526" s="152">
        <f t="shared" si="1256"/>
        <v>0.02</v>
      </c>
      <c r="H526" s="152">
        <f t="shared" si="1256"/>
        <v>0.02</v>
      </c>
      <c r="I526" s="152">
        <f t="shared" si="1256"/>
        <v>0.02</v>
      </c>
      <c r="J526" s="152">
        <f t="shared" si="1256"/>
        <v>0.02</v>
      </c>
      <c r="K526" s="152">
        <f t="shared" ref="K526:L526" si="1257">K249</f>
        <v>0.02</v>
      </c>
      <c r="L526" s="152">
        <f t="shared" si="1257"/>
        <v>0.02</v>
      </c>
      <c r="M526" s="167"/>
      <c r="N526" s="94"/>
      <c r="O526" s="1316">
        <f t="shared" si="1107"/>
        <v>0.08</v>
      </c>
      <c r="S526" s="95"/>
    </row>
    <row r="527" spans="1:19">
      <c r="A527" s="160" t="s">
        <v>615</v>
      </c>
      <c r="B527" s="291" t="s">
        <v>473</v>
      </c>
      <c r="C527" s="266"/>
      <c r="D527" s="266"/>
      <c r="E527" s="89">
        <f>E525+E525*E526</f>
        <v>72.460800000000006</v>
      </c>
      <c r="F527" s="89">
        <f t="shared" ref="F527:J527" si="1258">F525+F525*F526</f>
        <v>71.44080000000001</v>
      </c>
      <c r="G527" s="89">
        <f t="shared" si="1258"/>
        <v>72.705600000000004</v>
      </c>
      <c r="H527" s="89">
        <f t="shared" si="1258"/>
        <v>76.744799999999998</v>
      </c>
      <c r="I527" s="89">
        <f t="shared" si="1258"/>
        <v>76.744799999999998</v>
      </c>
      <c r="J527" s="89">
        <f t="shared" si="1258"/>
        <v>76.744799999999998</v>
      </c>
      <c r="K527" s="89">
        <f t="shared" ref="K527:L527" si="1259">K525+K525*K526</f>
        <v>74.419200000000004</v>
      </c>
      <c r="L527" s="89">
        <f t="shared" si="1259"/>
        <v>72.868799999999993</v>
      </c>
      <c r="M527" s="167">
        <f t="shared" ref="M527" si="1260">SUM(F527:H527)</f>
        <v>220.89120000000003</v>
      </c>
      <c r="N527" s="94">
        <f t="shared" ref="N527" si="1261">SUM(F527:J527)</f>
        <v>374.38080000000002</v>
      </c>
      <c r="O527" s="1316">
        <f t="shared" si="1107"/>
        <v>300.77760000000001</v>
      </c>
      <c r="S527" s="95"/>
    </row>
    <row r="528" spans="1:19">
      <c r="A528" s="160" t="s">
        <v>616</v>
      </c>
      <c r="B528" s="291" t="s">
        <v>824</v>
      </c>
      <c r="C528" s="266"/>
      <c r="D528" s="266"/>
      <c r="E528" s="287">
        <f>E251</f>
        <v>1</v>
      </c>
      <c r="F528" s="287">
        <f>E528</f>
        <v>1</v>
      </c>
      <c r="G528" s="287">
        <f>F528</f>
        <v>1</v>
      </c>
      <c r="H528" s="287">
        <f t="shared" ref="H528:J528" si="1262">G528</f>
        <v>1</v>
      </c>
      <c r="I528" s="287">
        <f t="shared" si="1262"/>
        <v>1</v>
      </c>
      <c r="J528" s="287">
        <f t="shared" si="1262"/>
        <v>1</v>
      </c>
      <c r="K528" s="287">
        <f t="shared" ref="K528" si="1263">J528</f>
        <v>1</v>
      </c>
      <c r="L528" s="287">
        <f t="shared" ref="L528" si="1264">K528</f>
        <v>1</v>
      </c>
      <c r="M528" s="167"/>
      <c r="N528" s="94"/>
      <c r="O528" s="1316"/>
      <c r="S528" s="95"/>
    </row>
    <row r="529" spans="1:19">
      <c r="A529" s="160" t="s">
        <v>617</v>
      </c>
      <c r="B529" s="291" t="s">
        <v>825</v>
      </c>
      <c r="C529" s="154"/>
      <c r="D529" s="154"/>
      <c r="E529" s="89">
        <f>E527*E528</f>
        <v>72.460800000000006</v>
      </c>
      <c r="F529" s="89">
        <f t="shared" ref="F529:J529" si="1265">F527*F528</f>
        <v>71.44080000000001</v>
      </c>
      <c r="G529" s="89">
        <f t="shared" si="1265"/>
        <v>72.705600000000004</v>
      </c>
      <c r="H529" s="89">
        <f t="shared" si="1265"/>
        <v>76.744799999999998</v>
      </c>
      <c r="I529" s="89">
        <f t="shared" si="1265"/>
        <v>76.744799999999998</v>
      </c>
      <c r="J529" s="89">
        <f t="shared" si="1265"/>
        <v>76.744799999999998</v>
      </c>
      <c r="K529" s="89">
        <f t="shared" ref="K529:L529" si="1266">K527*K528</f>
        <v>74.419200000000004</v>
      </c>
      <c r="L529" s="89">
        <f t="shared" si="1266"/>
        <v>72.868799999999993</v>
      </c>
      <c r="M529" s="167">
        <f t="shared" ref="M529" si="1267">SUM(F529:H529)</f>
        <v>220.89120000000003</v>
      </c>
      <c r="N529" s="94">
        <f t="shared" ref="N529" si="1268">SUM(F529:J529)</f>
        <v>374.38080000000002</v>
      </c>
      <c r="O529" s="1316">
        <f t="shared" si="1107"/>
        <v>300.77760000000001</v>
      </c>
      <c r="S529" s="95"/>
    </row>
    <row r="530" spans="1:19">
      <c r="A530" s="162">
        <v>4.7</v>
      </c>
      <c r="B530" s="161" t="s">
        <v>474</v>
      </c>
      <c r="C530" s="154"/>
      <c r="D530" s="154"/>
      <c r="E530" s="89"/>
      <c r="F530" s="89"/>
      <c r="G530" s="89"/>
      <c r="H530" s="89"/>
      <c r="I530" s="89"/>
      <c r="J530" s="89"/>
      <c r="K530" s="89"/>
      <c r="L530" s="89"/>
      <c r="M530" s="167"/>
      <c r="N530" s="94"/>
      <c r="O530" s="1316">
        <f t="shared" si="1107"/>
        <v>0</v>
      </c>
      <c r="S530" s="95"/>
    </row>
    <row r="531" spans="1:19">
      <c r="A531" s="160" t="s">
        <v>618</v>
      </c>
      <c r="B531" s="291" t="s">
        <v>312</v>
      </c>
      <c r="C531" s="266"/>
      <c r="D531" s="266"/>
      <c r="E531" s="89">
        <f t="shared" ref="E531:J531" si="1269">E186</f>
        <v>111</v>
      </c>
      <c r="F531" s="89">
        <f t="shared" si="1269"/>
        <v>103</v>
      </c>
      <c r="G531" s="89">
        <f t="shared" si="1269"/>
        <v>99</v>
      </c>
      <c r="H531" s="89">
        <f t="shared" si="1269"/>
        <v>99</v>
      </c>
      <c r="I531" s="89">
        <f t="shared" si="1269"/>
        <v>99</v>
      </c>
      <c r="J531" s="89">
        <f t="shared" si="1269"/>
        <v>99</v>
      </c>
      <c r="K531" s="89">
        <f t="shared" ref="K531:L531" si="1270">K186</f>
        <v>96</v>
      </c>
      <c r="L531" s="89">
        <f t="shared" si="1270"/>
        <v>94</v>
      </c>
      <c r="M531" s="167">
        <f t="shared" ref="M531" si="1271">SUM(F531:H531)</f>
        <v>301</v>
      </c>
      <c r="N531" s="94">
        <f t="shared" ref="N531" si="1272">SUM(F531:J531)</f>
        <v>499</v>
      </c>
      <c r="O531" s="1316">
        <f t="shared" si="1107"/>
        <v>388</v>
      </c>
      <c r="S531" s="95"/>
    </row>
    <row r="532" spans="1:19">
      <c r="A532" s="160" t="s">
        <v>619</v>
      </c>
      <c r="B532" s="291" t="s">
        <v>509</v>
      </c>
      <c r="C532" s="266"/>
      <c r="D532" s="266"/>
      <c r="E532" s="152">
        <v>0.8</v>
      </c>
      <c r="F532" s="152">
        <f>E532</f>
        <v>0.8</v>
      </c>
      <c r="G532" s="152">
        <f t="shared" ref="G532:J532" si="1273">F532</f>
        <v>0.8</v>
      </c>
      <c r="H532" s="152">
        <f t="shared" si="1273"/>
        <v>0.8</v>
      </c>
      <c r="I532" s="152">
        <f t="shared" si="1273"/>
        <v>0.8</v>
      </c>
      <c r="J532" s="152">
        <f t="shared" si="1273"/>
        <v>0.8</v>
      </c>
      <c r="K532" s="152">
        <f t="shared" ref="K532" si="1274">J532</f>
        <v>0.8</v>
      </c>
      <c r="L532" s="152">
        <f t="shared" ref="L532" si="1275">K532</f>
        <v>0.8</v>
      </c>
      <c r="M532" s="167"/>
      <c r="N532" s="94"/>
      <c r="O532" s="1316"/>
      <c r="S532" s="95"/>
    </row>
    <row r="533" spans="1:19">
      <c r="A533" s="160" t="s">
        <v>620</v>
      </c>
      <c r="B533" s="291" t="s">
        <v>510</v>
      </c>
      <c r="C533" s="154"/>
      <c r="D533" s="154"/>
      <c r="E533" s="89">
        <f>E531*E532</f>
        <v>88.800000000000011</v>
      </c>
      <c r="F533" s="89">
        <f t="shared" ref="F533:J533" si="1276">F531*F532</f>
        <v>82.4</v>
      </c>
      <c r="G533" s="89">
        <f t="shared" si="1276"/>
        <v>79.2</v>
      </c>
      <c r="H533" s="89">
        <f t="shared" si="1276"/>
        <v>79.2</v>
      </c>
      <c r="I533" s="89">
        <f t="shared" si="1276"/>
        <v>79.2</v>
      </c>
      <c r="J533" s="89">
        <f t="shared" si="1276"/>
        <v>79.2</v>
      </c>
      <c r="K533" s="89">
        <f t="shared" ref="K533:L533" si="1277">K531*K532</f>
        <v>76.800000000000011</v>
      </c>
      <c r="L533" s="89">
        <f t="shared" si="1277"/>
        <v>75.2</v>
      </c>
      <c r="M533" s="167">
        <f t="shared" ref="M533" si="1278">SUM(F533:H533)</f>
        <v>240.8</v>
      </c>
      <c r="N533" s="94">
        <f t="shared" ref="N533" si="1279">SUM(F533:J533)</f>
        <v>399.2</v>
      </c>
      <c r="O533" s="1316">
        <f t="shared" si="1107"/>
        <v>310.40000000000003</v>
      </c>
      <c r="S533" s="95"/>
    </row>
    <row r="534" spans="1:19">
      <c r="A534" s="160" t="s">
        <v>621</v>
      </c>
      <c r="B534" s="291" t="s">
        <v>455</v>
      </c>
      <c r="C534" s="266"/>
      <c r="D534" s="154"/>
      <c r="E534" s="152">
        <f t="shared" ref="E534:J534" si="1280">E238</f>
        <v>0.7</v>
      </c>
      <c r="F534" s="152">
        <f t="shared" si="1280"/>
        <v>0.8</v>
      </c>
      <c r="G534" s="152">
        <f t="shared" si="1280"/>
        <v>0.85</v>
      </c>
      <c r="H534" s="152">
        <f t="shared" si="1280"/>
        <v>0.95</v>
      </c>
      <c r="I534" s="152">
        <f t="shared" si="1280"/>
        <v>0.95</v>
      </c>
      <c r="J534" s="152">
        <f t="shared" si="1280"/>
        <v>0.95</v>
      </c>
      <c r="K534" s="152">
        <f t="shared" ref="K534:L534" si="1281">K238</f>
        <v>0.95</v>
      </c>
      <c r="L534" s="152">
        <f t="shared" si="1281"/>
        <v>0.95</v>
      </c>
      <c r="M534" s="167"/>
      <c r="N534" s="94"/>
      <c r="O534" s="1316"/>
      <c r="S534" s="95"/>
    </row>
    <row r="535" spans="1:19">
      <c r="A535" s="160" t="s">
        <v>622</v>
      </c>
      <c r="B535" s="291" t="s">
        <v>511</v>
      </c>
      <c r="C535" s="266"/>
      <c r="D535" s="154"/>
      <c r="E535" s="89">
        <f>E533*E534</f>
        <v>62.160000000000004</v>
      </c>
      <c r="F535" s="89">
        <f t="shared" ref="F535:J535" si="1282">F533*F534</f>
        <v>65.92</v>
      </c>
      <c r="G535" s="89">
        <f t="shared" si="1282"/>
        <v>67.320000000000007</v>
      </c>
      <c r="H535" s="89">
        <f t="shared" si="1282"/>
        <v>75.239999999999995</v>
      </c>
      <c r="I535" s="89">
        <f t="shared" si="1282"/>
        <v>75.239999999999995</v>
      </c>
      <c r="J535" s="89">
        <f t="shared" si="1282"/>
        <v>75.239999999999995</v>
      </c>
      <c r="K535" s="89">
        <f t="shared" ref="K535:L535" si="1283">K533*K534</f>
        <v>72.960000000000008</v>
      </c>
      <c r="L535" s="89">
        <f t="shared" si="1283"/>
        <v>71.44</v>
      </c>
      <c r="M535" s="167">
        <f t="shared" ref="M535" si="1284">SUM(F535:H535)</f>
        <v>208.48000000000002</v>
      </c>
      <c r="N535" s="94">
        <f t="shared" ref="N535" si="1285">SUM(F535:J535)</f>
        <v>358.96000000000004</v>
      </c>
      <c r="O535" s="1316">
        <f t="shared" si="1107"/>
        <v>294.88</v>
      </c>
      <c r="S535" s="95"/>
    </row>
    <row r="536" spans="1:19">
      <c r="A536" s="160" t="s">
        <v>623</v>
      </c>
      <c r="B536" s="293" t="s">
        <v>478</v>
      </c>
      <c r="C536" s="154"/>
      <c r="D536" s="154"/>
      <c r="E536" s="152">
        <f t="shared" ref="E536:J536" si="1286">E258</f>
        <v>0.1</v>
      </c>
      <c r="F536" s="152">
        <f t="shared" si="1286"/>
        <v>0.1</v>
      </c>
      <c r="G536" s="152">
        <f t="shared" si="1286"/>
        <v>0.1</v>
      </c>
      <c r="H536" s="152">
        <f t="shared" si="1286"/>
        <v>0.1</v>
      </c>
      <c r="I536" s="152">
        <f t="shared" si="1286"/>
        <v>0.1</v>
      </c>
      <c r="J536" s="152">
        <f t="shared" si="1286"/>
        <v>0.1</v>
      </c>
      <c r="K536" s="152">
        <f t="shared" ref="K536:L536" si="1287">K258</f>
        <v>0.1</v>
      </c>
      <c r="L536" s="152">
        <f t="shared" si="1287"/>
        <v>0.1</v>
      </c>
      <c r="M536" s="167"/>
      <c r="N536" s="94"/>
      <c r="O536" s="1316">
        <f t="shared" si="1107"/>
        <v>0.4</v>
      </c>
      <c r="S536" s="95"/>
    </row>
    <row r="537" spans="1:19">
      <c r="A537" s="160" t="s">
        <v>624</v>
      </c>
      <c r="B537" s="291" t="s">
        <v>479</v>
      </c>
      <c r="C537" s="266"/>
      <c r="D537" s="266"/>
      <c r="E537" s="89">
        <f>E535+E535*E536</f>
        <v>68.376000000000005</v>
      </c>
      <c r="F537" s="89">
        <f t="shared" ref="F537:J537" si="1288">F535+F535*F536</f>
        <v>72.512</v>
      </c>
      <c r="G537" s="89">
        <f t="shared" si="1288"/>
        <v>74.052000000000007</v>
      </c>
      <c r="H537" s="89">
        <f t="shared" si="1288"/>
        <v>82.763999999999996</v>
      </c>
      <c r="I537" s="89">
        <f t="shared" si="1288"/>
        <v>82.763999999999996</v>
      </c>
      <c r="J537" s="89">
        <f t="shared" si="1288"/>
        <v>82.763999999999996</v>
      </c>
      <c r="K537" s="89">
        <f t="shared" ref="K537:L537" si="1289">K535+K535*K536</f>
        <v>80.256000000000014</v>
      </c>
      <c r="L537" s="89">
        <f t="shared" si="1289"/>
        <v>78.584000000000003</v>
      </c>
      <c r="M537" s="167">
        <f t="shared" ref="M537" si="1290">SUM(F537:H537)</f>
        <v>229.32800000000003</v>
      </c>
      <c r="N537" s="94">
        <f t="shared" ref="N537" si="1291">SUM(F537:J537)</f>
        <v>394.85600000000005</v>
      </c>
      <c r="O537" s="1316">
        <f t="shared" si="1107"/>
        <v>324.36799999999999</v>
      </c>
      <c r="S537" s="95"/>
    </row>
    <row r="538" spans="1:19">
      <c r="A538" s="160" t="s">
        <v>625</v>
      </c>
      <c r="B538" s="291" t="s">
        <v>826</v>
      </c>
      <c r="C538" s="266"/>
      <c r="D538" s="266"/>
      <c r="E538" s="287">
        <f t="shared" ref="E538:J538" si="1292">E260</f>
        <v>1</v>
      </c>
      <c r="F538" s="287">
        <f t="shared" si="1292"/>
        <v>1</v>
      </c>
      <c r="G538" s="287">
        <f t="shared" si="1292"/>
        <v>1</v>
      </c>
      <c r="H538" s="287">
        <f t="shared" si="1292"/>
        <v>1</v>
      </c>
      <c r="I538" s="287">
        <f t="shared" si="1292"/>
        <v>1</v>
      </c>
      <c r="J538" s="287">
        <f t="shared" si="1292"/>
        <v>1</v>
      </c>
      <c r="K538" s="287">
        <f t="shared" ref="K538:L538" si="1293">K260</f>
        <v>1</v>
      </c>
      <c r="L538" s="287">
        <f t="shared" si="1293"/>
        <v>1</v>
      </c>
      <c r="M538" s="167"/>
      <c r="N538" s="94"/>
      <c r="O538" s="1316"/>
      <c r="S538" s="95"/>
    </row>
    <row r="539" spans="1:19">
      <c r="A539" s="160" t="s">
        <v>626</v>
      </c>
      <c r="B539" s="291" t="s">
        <v>827</v>
      </c>
      <c r="C539" s="154"/>
      <c r="D539" s="154"/>
      <c r="E539" s="89">
        <f>E537*E538</f>
        <v>68.376000000000005</v>
      </c>
      <c r="F539" s="89">
        <f t="shared" ref="F539:J539" si="1294">F537*F538</f>
        <v>72.512</v>
      </c>
      <c r="G539" s="89">
        <f t="shared" si="1294"/>
        <v>74.052000000000007</v>
      </c>
      <c r="H539" s="89">
        <f t="shared" si="1294"/>
        <v>82.763999999999996</v>
      </c>
      <c r="I539" s="89">
        <f t="shared" si="1294"/>
        <v>82.763999999999996</v>
      </c>
      <c r="J539" s="89">
        <f t="shared" si="1294"/>
        <v>82.763999999999996</v>
      </c>
      <c r="K539" s="89">
        <f t="shared" ref="K539:L539" si="1295">K537*K538</f>
        <v>80.256000000000014</v>
      </c>
      <c r="L539" s="89">
        <f t="shared" si="1295"/>
        <v>78.584000000000003</v>
      </c>
      <c r="M539" s="167">
        <f t="shared" ref="M539" si="1296">SUM(F539:H539)</f>
        <v>229.32800000000003</v>
      </c>
      <c r="N539" s="94">
        <f t="shared" ref="N539" si="1297">SUM(F539:J539)</f>
        <v>394.85600000000005</v>
      </c>
      <c r="O539" s="1316">
        <f t="shared" si="1107"/>
        <v>324.36799999999999</v>
      </c>
      <c r="S539" s="95"/>
    </row>
    <row r="540" spans="1:19">
      <c r="A540" s="183">
        <v>5</v>
      </c>
      <c r="B540" s="179" t="str">
        <f>B187</f>
        <v>MDR-TB: XDR</v>
      </c>
      <c r="C540" s="290"/>
      <c r="D540" s="290"/>
      <c r="E540" s="184"/>
      <c r="F540" s="184"/>
      <c r="G540" s="184"/>
      <c r="H540" s="184"/>
      <c r="I540" s="184"/>
      <c r="J540" s="184"/>
      <c r="K540" s="184"/>
      <c r="L540" s="184"/>
      <c r="M540" s="180"/>
      <c r="N540" s="181"/>
      <c r="O540" s="1316">
        <f t="shared" ref="O540:O602" si="1298">I540+J540+K540+L540</f>
        <v>0</v>
      </c>
      <c r="S540" s="95"/>
    </row>
    <row r="541" spans="1:19">
      <c r="A541" s="162">
        <v>5.0999999999999996</v>
      </c>
      <c r="B541" s="159" t="s">
        <v>284</v>
      </c>
      <c r="C541" s="154"/>
      <c r="D541" s="154"/>
      <c r="E541" s="89"/>
      <c r="F541" s="89"/>
      <c r="G541" s="89"/>
      <c r="H541" s="89"/>
      <c r="I541" s="89"/>
      <c r="J541" s="89"/>
      <c r="K541" s="89"/>
      <c r="L541" s="89"/>
      <c r="M541" s="167"/>
      <c r="N541" s="94"/>
      <c r="O541" s="1316">
        <f t="shared" si="1298"/>
        <v>0</v>
      </c>
      <c r="S541" s="95"/>
    </row>
    <row r="542" spans="1:19">
      <c r="A542" s="160" t="s">
        <v>419</v>
      </c>
      <c r="B542" s="291" t="s">
        <v>312</v>
      </c>
      <c r="C542" s="266"/>
      <c r="D542" s="266"/>
      <c r="E542" s="89">
        <f t="shared" ref="E542:J542" si="1299">E187</f>
        <v>27</v>
      </c>
      <c r="F542" s="89">
        <f t="shared" si="1299"/>
        <v>27</v>
      </c>
      <c r="G542" s="89">
        <f t="shared" si="1299"/>
        <v>26</v>
      </c>
      <c r="H542" s="89">
        <f t="shared" si="1299"/>
        <v>27</v>
      </c>
      <c r="I542" s="89">
        <f t="shared" si="1299"/>
        <v>28</v>
      </c>
      <c r="J542" s="89">
        <f t="shared" si="1299"/>
        <v>28</v>
      </c>
      <c r="K542" s="89">
        <f t="shared" ref="K542:L542" si="1300">K187</f>
        <v>28</v>
      </c>
      <c r="L542" s="89">
        <f t="shared" si="1300"/>
        <v>27</v>
      </c>
      <c r="M542" s="167">
        <f t="shared" ref="M542" si="1301">SUM(F542:H542)</f>
        <v>80</v>
      </c>
      <c r="N542" s="94">
        <f t="shared" ref="N542" si="1302">SUM(F542:J542)</f>
        <v>136</v>
      </c>
      <c r="O542" s="1316">
        <f t="shared" si="1298"/>
        <v>111</v>
      </c>
      <c r="S542" s="95"/>
    </row>
    <row r="543" spans="1:19">
      <c r="A543" s="160" t="s">
        <v>420</v>
      </c>
      <c r="B543" s="291" t="s">
        <v>313</v>
      </c>
      <c r="C543" s="154"/>
      <c r="D543" s="154"/>
      <c r="E543" s="89">
        <f t="shared" ref="E543:J543" si="1303">E474</f>
        <v>24</v>
      </c>
      <c r="F543" s="89">
        <f t="shared" si="1303"/>
        <v>24</v>
      </c>
      <c r="G543" s="89">
        <f t="shared" si="1303"/>
        <v>24</v>
      </c>
      <c r="H543" s="89">
        <f t="shared" si="1303"/>
        <v>24</v>
      </c>
      <c r="I543" s="89">
        <f t="shared" si="1303"/>
        <v>24</v>
      </c>
      <c r="J543" s="89">
        <f t="shared" si="1303"/>
        <v>24</v>
      </c>
      <c r="K543" s="89">
        <f t="shared" ref="K543:L543" si="1304">K474</f>
        <v>24</v>
      </c>
      <c r="L543" s="89">
        <f t="shared" si="1304"/>
        <v>24</v>
      </c>
      <c r="M543" s="167"/>
      <c r="N543" s="94"/>
      <c r="O543" s="1316"/>
      <c r="S543" s="95"/>
    </row>
    <row r="544" spans="1:19">
      <c r="A544" s="160" t="s">
        <v>421</v>
      </c>
      <c r="B544" s="291" t="s">
        <v>418</v>
      </c>
      <c r="C544" s="154"/>
      <c r="D544" s="154"/>
      <c r="E544" s="272">
        <v>0.7</v>
      </c>
      <c r="F544" s="272">
        <f>E544</f>
        <v>0.7</v>
      </c>
      <c r="G544" s="272">
        <f t="shared" ref="G544:J544" si="1305">F544</f>
        <v>0.7</v>
      </c>
      <c r="H544" s="272">
        <f t="shared" si="1305"/>
        <v>0.7</v>
      </c>
      <c r="I544" s="272">
        <f t="shared" si="1305"/>
        <v>0.7</v>
      </c>
      <c r="J544" s="272">
        <f t="shared" si="1305"/>
        <v>0.7</v>
      </c>
      <c r="K544" s="272">
        <f t="shared" ref="K544" si="1306">J544</f>
        <v>0.7</v>
      </c>
      <c r="L544" s="272">
        <f t="shared" ref="L544" si="1307">K544</f>
        <v>0.7</v>
      </c>
      <c r="M544" s="167"/>
      <c r="N544" s="94"/>
      <c r="O544" s="1316"/>
      <c r="S544" s="95"/>
    </row>
    <row r="545" spans="1:19">
      <c r="A545" s="160" t="s">
        <v>422</v>
      </c>
      <c r="B545" s="291" t="s">
        <v>288</v>
      </c>
      <c r="C545" s="154"/>
      <c r="D545" s="154"/>
      <c r="E545" s="152">
        <f t="shared" ref="E545:J545" si="1308">E204/2</f>
        <v>0.06</v>
      </c>
      <c r="F545" s="152">
        <f t="shared" si="1308"/>
        <v>5.5E-2</v>
      </c>
      <c r="G545" s="152">
        <f t="shared" si="1308"/>
        <v>0.05</v>
      </c>
      <c r="H545" s="152">
        <f t="shared" si="1308"/>
        <v>0.05</v>
      </c>
      <c r="I545" s="152">
        <f t="shared" si="1308"/>
        <v>0.05</v>
      </c>
      <c r="J545" s="152">
        <f t="shared" si="1308"/>
        <v>0.05</v>
      </c>
      <c r="K545" s="152">
        <f t="shared" ref="K545" si="1309">K204/2</f>
        <v>0.05</v>
      </c>
      <c r="L545" s="152">
        <v>0.05</v>
      </c>
      <c r="M545" s="167"/>
      <c r="N545" s="94"/>
      <c r="O545" s="1316"/>
      <c r="S545" s="95"/>
    </row>
    <row r="546" spans="1:19">
      <c r="A546" s="160" t="s">
        <v>423</v>
      </c>
      <c r="B546" s="291" t="s">
        <v>286</v>
      </c>
      <c r="C546" s="154"/>
      <c r="D546" s="154"/>
      <c r="E546" s="272">
        <f t="shared" ref="E546:J546" si="1310">E202</f>
        <v>0.95</v>
      </c>
      <c r="F546" s="272">
        <f t="shared" si="1310"/>
        <v>0.95</v>
      </c>
      <c r="G546" s="272">
        <f t="shared" si="1310"/>
        <v>0.95</v>
      </c>
      <c r="H546" s="272">
        <f t="shared" si="1310"/>
        <v>0.95</v>
      </c>
      <c r="I546" s="272">
        <f t="shared" si="1310"/>
        <v>0.95</v>
      </c>
      <c r="J546" s="272">
        <f t="shared" si="1310"/>
        <v>0.95</v>
      </c>
      <c r="K546" s="272">
        <f t="shared" ref="K546:L546" si="1311">K202</f>
        <v>0.95</v>
      </c>
      <c r="L546" s="272">
        <f t="shared" si="1311"/>
        <v>0.95</v>
      </c>
      <c r="M546" s="167"/>
      <c r="N546" s="94"/>
      <c r="O546" s="1316"/>
      <c r="S546" s="95"/>
    </row>
    <row r="547" spans="1:19">
      <c r="A547" s="160" t="s">
        <v>424</v>
      </c>
      <c r="B547" s="291" t="s">
        <v>289</v>
      </c>
      <c r="C547" s="266"/>
      <c r="D547" s="266"/>
      <c r="E547" s="89">
        <f>E542*E543*E544*(1+E545)*E546</f>
        <v>456.77519999999993</v>
      </c>
      <c r="F547" s="89">
        <f t="shared" ref="F547:J547" si="1312">F542*F543*F544*(1+F545)*F546</f>
        <v>454.62059999999991</v>
      </c>
      <c r="G547" s="89">
        <f t="shared" si="1312"/>
        <v>435.70799999999997</v>
      </c>
      <c r="H547" s="89">
        <f t="shared" si="1312"/>
        <v>452.46599999999995</v>
      </c>
      <c r="I547" s="89">
        <f t="shared" si="1312"/>
        <v>469.22399999999999</v>
      </c>
      <c r="J547" s="89">
        <f t="shared" si="1312"/>
        <v>469.22399999999999</v>
      </c>
      <c r="K547" s="89">
        <f t="shared" ref="K547:L547" si="1313">K542*K543*K544*(1+K545)*K546</f>
        <v>469.22399999999999</v>
      </c>
      <c r="L547" s="89">
        <f t="shared" si="1313"/>
        <v>452.46599999999995</v>
      </c>
      <c r="M547" s="167">
        <f t="shared" ref="M547" si="1314">SUM(F547:H547)</f>
        <v>1342.7945999999997</v>
      </c>
      <c r="N547" s="94">
        <f t="shared" ref="N547" si="1315">SUM(F547:J547)</f>
        <v>2281.2425999999996</v>
      </c>
      <c r="O547" s="1316">
        <f t="shared" si="1298"/>
        <v>1860.1379999999999</v>
      </c>
      <c r="S547" s="95"/>
    </row>
    <row r="548" spans="1:19">
      <c r="A548" s="160" t="s">
        <v>425</v>
      </c>
      <c r="B548" s="291" t="s">
        <v>239</v>
      </c>
      <c r="C548" s="266"/>
      <c r="D548" s="266"/>
      <c r="E548" s="287">
        <f t="shared" ref="E548:J548" si="1316">E206</f>
        <v>1.9</v>
      </c>
      <c r="F548" s="287">
        <f t="shared" si="1316"/>
        <v>1.6</v>
      </c>
      <c r="G548" s="287">
        <f t="shared" si="1316"/>
        <v>1.2</v>
      </c>
      <c r="H548" s="287">
        <f t="shared" si="1316"/>
        <v>1</v>
      </c>
      <c r="I548" s="287">
        <f t="shared" si="1316"/>
        <v>1</v>
      </c>
      <c r="J548" s="287">
        <f t="shared" si="1316"/>
        <v>1</v>
      </c>
      <c r="K548" s="287">
        <f t="shared" ref="K548:L548" si="1317">K206</f>
        <v>1</v>
      </c>
      <c r="L548" s="287">
        <f t="shared" si="1317"/>
        <v>1</v>
      </c>
      <c r="M548" s="167"/>
      <c r="N548" s="94"/>
      <c r="O548" s="1316"/>
      <c r="S548" s="95"/>
    </row>
    <row r="549" spans="1:19">
      <c r="A549" s="160" t="s">
        <v>426</v>
      </c>
      <c r="B549" s="291" t="s">
        <v>290</v>
      </c>
      <c r="C549" s="154"/>
      <c r="D549" s="154"/>
      <c r="E549" s="89">
        <f>E547*E548</f>
        <v>867.87287999999978</v>
      </c>
      <c r="F549" s="89">
        <f t="shared" ref="F549:J549" si="1318">F547*F548</f>
        <v>727.3929599999999</v>
      </c>
      <c r="G549" s="89">
        <f t="shared" si="1318"/>
        <v>522.8495999999999</v>
      </c>
      <c r="H549" s="89">
        <f t="shared" si="1318"/>
        <v>452.46599999999995</v>
      </c>
      <c r="I549" s="89">
        <f t="shared" si="1318"/>
        <v>469.22399999999999</v>
      </c>
      <c r="J549" s="89">
        <f t="shared" si="1318"/>
        <v>469.22399999999999</v>
      </c>
      <c r="K549" s="89">
        <f t="shared" ref="K549:L549" si="1319">K547*K548</f>
        <v>469.22399999999999</v>
      </c>
      <c r="L549" s="89">
        <f t="shared" si="1319"/>
        <v>452.46599999999995</v>
      </c>
      <c r="M549" s="167">
        <f t="shared" ref="M549" si="1320">SUM(F549:H549)</f>
        <v>1702.7085599999996</v>
      </c>
      <c r="N549" s="94">
        <f t="shared" ref="N549" si="1321">SUM(F549:J549)</f>
        <v>2641.1565599999999</v>
      </c>
      <c r="O549" s="1316">
        <f t="shared" si="1298"/>
        <v>1860.1379999999999</v>
      </c>
      <c r="S549" s="95"/>
    </row>
    <row r="550" spans="1:19">
      <c r="A550" s="162">
        <v>5.2</v>
      </c>
      <c r="B550" s="159" t="s">
        <v>292</v>
      </c>
      <c r="C550" s="154"/>
      <c r="D550" s="154"/>
      <c r="E550" s="89"/>
      <c r="F550" s="89"/>
      <c r="G550" s="89"/>
      <c r="H550" s="89"/>
      <c r="I550" s="89"/>
      <c r="J550" s="89"/>
      <c r="K550" s="89"/>
      <c r="L550" s="89"/>
      <c r="M550" s="167"/>
      <c r="N550" s="94"/>
      <c r="O550" s="1316">
        <f t="shared" si="1298"/>
        <v>0</v>
      </c>
      <c r="S550" s="95"/>
    </row>
    <row r="551" spans="1:19">
      <c r="A551" s="160" t="s">
        <v>427</v>
      </c>
      <c r="B551" s="291" t="s">
        <v>312</v>
      </c>
      <c r="C551" s="266"/>
      <c r="D551" s="266"/>
      <c r="E551" s="89">
        <f t="shared" ref="E551:J551" si="1322">E187</f>
        <v>27</v>
      </c>
      <c r="F551" s="89">
        <f t="shared" si="1322"/>
        <v>27</v>
      </c>
      <c r="G551" s="89">
        <f t="shared" si="1322"/>
        <v>26</v>
      </c>
      <c r="H551" s="89">
        <f t="shared" si="1322"/>
        <v>27</v>
      </c>
      <c r="I551" s="89">
        <f t="shared" si="1322"/>
        <v>28</v>
      </c>
      <c r="J551" s="89">
        <f t="shared" si="1322"/>
        <v>28</v>
      </c>
      <c r="K551" s="89">
        <f t="shared" ref="K551:L551" si="1323">K187</f>
        <v>28</v>
      </c>
      <c r="L551" s="89">
        <f t="shared" si="1323"/>
        <v>27</v>
      </c>
      <c r="M551" s="167">
        <f t="shared" ref="M551" si="1324">SUM(F551:H551)</f>
        <v>80</v>
      </c>
      <c r="N551" s="94">
        <f t="shared" ref="N551" si="1325">SUM(F551:J551)</f>
        <v>136</v>
      </c>
      <c r="O551" s="1316">
        <f t="shared" si="1298"/>
        <v>111</v>
      </c>
      <c r="S551" s="95"/>
    </row>
    <row r="552" spans="1:19">
      <c r="A552" s="160" t="s">
        <v>428</v>
      </c>
      <c r="B552" s="291" t="s">
        <v>324</v>
      </c>
      <c r="C552" s="266"/>
      <c r="D552" s="266"/>
      <c r="E552" s="272">
        <f t="shared" ref="E552:J552" si="1326">E414</f>
        <v>0</v>
      </c>
      <c r="F552" s="272">
        <f t="shared" si="1326"/>
        <v>0</v>
      </c>
      <c r="G552" s="272">
        <f t="shared" si="1326"/>
        <v>0</v>
      </c>
      <c r="H552" s="272">
        <f t="shared" si="1326"/>
        <v>0</v>
      </c>
      <c r="I552" s="272">
        <f t="shared" si="1326"/>
        <v>0</v>
      </c>
      <c r="J552" s="272">
        <f t="shared" si="1326"/>
        <v>0</v>
      </c>
      <c r="K552" s="272">
        <f t="shared" ref="K552:L552" si="1327">K414</f>
        <v>0</v>
      </c>
      <c r="L552" s="272">
        <f t="shared" si="1327"/>
        <v>0</v>
      </c>
      <c r="M552" s="167"/>
      <c r="N552" s="94"/>
      <c r="O552" s="1316">
        <f t="shared" si="1298"/>
        <v>0</v>
      </c>
      <c r="S552" s="95"/>
    </row>
    <row r="553" spans="1:19">
      <c r="A553" s="160" t="s">
        <v>429</v>
      </c>
      <c r="B553" s="291" t="s">
        <v>314</v>
      </c>
      <c r="C553" s="154"/>
      <c r="D553" s="154"/>
      <c r="E553" s="89">
        <f>E551*E552</f>
        <v>0</v>
      </c>
      <c r="F553" s="89">
        <f t="shared" ref="F553:J553" si="1328">F551*F552</f>
        <v>0</v>
      </c>
      <c r="G553" s="89">
        <f t="shared" si="1328"/>
        <v>0</v>
      </c>
      <c r="H553" s="89">
        <f t="shared" si="1328"/>
        <v>0</v>
      </c>
      <c r="I553" s="89">
        <f t="shared" si="1328"/>
        <v>0</v>
      </c>
      <c r="J553" s="89">
        <f t="shared" si="1328"/>
        <v>0</v>
      </c>
      <c r="K553" s="89">
        <f t="shared" ref="K553:L553" si="1329">K551*K552</f>
        <v>0</v>
      </c>
      <c r="L553" s="89">
        <f t="shared" si="1329"/>
        <v>0</v>
      </c>
      <c r="M553" s="167">
        <f t="shared" ref="M553" si="1330">SUM(F553:H553)</f>
        <v>0</v>
      </c>
      <c r="N553" s="94">
        <f t="shared" ref="N553" si="1331">SUM(F553:J553)</f>
        <v>0</v>
      </c>
      <c r="O553" s="1316">
        <f t="shared" si="1298"/>
        <v>0</v>
      </c>
      <c r="S553" s="95"/>
    </row>
    <row r="554" spans="1:19">
      <c r="A554" s="160" t="s">
        <v>430</v>
      </c>
      <c r="B554" s="291" t="s">
        <v>298</v>
      </c>
      <c r="C554" s="154"/>
      <c r="D554" s="154"/>
      <c r="E554" s="152">
        <f t="shared" ref="E554:J554" si="1332">E213/2</f>
        <v>0.06</v>
      </c>
      <c r="F554" s="152">
        <f t="shared" si="1332"/>
        <v>5.5E-2</v>
      </c>
      <c r="G554" s="152">
        <f t="shared" si="1332"/>
        <v>0.05</v>
      </c>
      <c r="H554" s="152">
        <f t="shared" si="1332"/>
        <v>4.4999999999999998E-2</v>
      </c>
      <c r="I554" s="152">
        <f t="shared" si="1332"/>
        <v>4.2500000000000003E-2</v>
      </c>
      <c r="J554" s="152">
        <f t="shared" si="1332"/>
        <v>0.04</v>
      </c>
      <c r="K554" s="152">
        <f t="shared" ref="K554" si="1333">K213/2</f>
        <v>0.04</v>
      </c>
      <c r="L554" s="152">
        <v>0.04</v>
      </c>
      <c r="M554" s="167"/>
      <c r="N554" s="94"/>
      <c r="O554" s="1316"/>
      <c r="S554" s="95"/>
    </row>
    <row r="555" spans="1:19">
      <c r="A555" s="160" t="s">
        <v>431</v>
      </c>
      <c r="B555" s="291" t="s">
        <v>296</v>
      </c>
      <c r="C555" s="154"/>
      <c r="D555" s="154"/>
      <c r="E555" s="272">
        <f t="shared" ref="E555:J555" si="1334">E211</f>
        <v>0.5</v>
      </c>
      <c r="F555" s="272">
        <f t="shared" si="1334"/>
        <v>0.7</v>
      </c>
      <c r="G555" s="272">
        <f t="shared" si="1334"/>
        <v>0.8</v>
      </c>
      <c r="H555" s="272">
        <f t="shared" si="1334"/>
        <v>0.85</v>
      </c>
      <c r="I555" s="272">
        <f t="shared" si="1334"/>
        <v>0.9</v>
      </c>
      <c r="J555" s="272">
        <f t="shared" si="1334"/>
        <v>0.95</v>
      </c>
      <c r="K555" s="272">
        <f>K211</f>
        <v>0.95</v>
      </c>
      <c r="L555" s="272">
        <v>0.95</v>
      </c>
      <c r="M555" s="167"/>
      <c r="N555" s="94"/>
      <c r="O555" s="1316"/>
      <c r="S555" s="95"/>
    </row>
    <row r="556" spans="1:19">
      <c r="A556" s="160" t="s">
        <v>432</v>
      </c>
      <c r="B556" s="291" t="s">
        <v>299</v>
      </c>
      <c r="C556" s="266"/>
      <c r="D556" s="266"/>
      <c r="E556" s="89">
        <f>E553*(1+E554)*E555</f>
        <v>0</v>
      </c>
      <c r="F556" s="89">
        <f t="shared" ref="F556" si="1335">F553*(1+F554)*F555</f>
        <v>0</v>
      </c>
      <c r="G556" s="89">
        <f t="shared" ref="G556" si="1336">G553*(1+G554)*G555</f>
        <v>0</v>
      </c>
      <c r="H556" s="89">
        <f t="shared" ref="H556" si="1337">H553*(1+H554)*H555</f>
        <v>0</v>
      </c>
      <c r="I556" s="89">
        <f t="shared" ref="I556" si="1338">I553*(1+I554)*I555</f>
        <v>0</v>
      </c>
      <c r="J556" s="89">
        <f t="shared" ref="J556:L556" si="1339">J553*(1+J554)*J555</f>
        <v>0</v>
      </c>
      <c r="K556" s="89">
        <f t="shared" si="1339"/>
        <v>0</v>
      </c>
      <c r="L556" s="89">
        <f t="shared" si="1339"/>
        <v>0</v>
      </c>
      <c r="M556" s="167">
        <f t="shared" ref="M556" si="1340">SUM(F556:H556)</f>
        <v>0</v>
      </c>
      <c r="N556" s="94">
        <f t="shared" ref="N556" si="1341">SUM(F556:J556)</f>
        <v>0</v>
      </c>
      <c r="O556" s="1316">
        <f t="shared" si="1298"/>
        <v>0</v>
      </c>
      <c r="S556" s="95"/>
    </row>
    <row r="557" spans="1:19">
      <c r="A557" s="160" t="s">
        <v>433</v>
      </c>
      <c r="B557" s="291" t="s">
        <v>240</v>
      </c>
      <c r="C557" s="266"/>
      <c r="D557" s="266"/>
      <c r="E557" s="292">
        <f t="shared" ref="E557:J557" si="1342">E215</f>
        <v>1.08</v>
      </c>
      <c r="F557" s="292">
        <f t="shared" si="1342"/>
        <v>1.07</v>
      </c>
      <c r="G557" s="292">
        <f t="shared" si="1342"/>
        <v>1.06</v>
      </c>
      <c r="H557" s="292">
        <f t="shared" si="1342"/>
        <v>1.05</v>
      </c>
      <c r="I557" s="292">
        <f t="shared" si="1342"/>
        <v>1.04</v>
      </c>
      <c r="J557" s="292">
        <f t="shared" si="1342"/>
        <v>1.03</v>
      </c>
      <c r="K557" s="292">
        <f t="shared" ref="K557:L557" si="1343">K215</f>
        <v>1.03</v>
      </c>
      <c r="L557" s="292">
        <f t="shared" si="1343"/>
        <v>1.03</v>
      </c>
      <c r="M557" s="167"/>
      <c r="N557" s="94"/>
      <c r="O557" s="1316"/>
      <c r="S557" s="95"/>
    </row>
    <row r="558" spans="1:19">
      <c r="A558" s="160" t="s">
        <v>434</v>
      </c>
      <c r="B558" s="291" t="s">
        <v>300</v>
      </c>
      <c r="C558" s="154"/>
      <c r="D558" s="154"/>
      <c r="E558" s="89">
        <f>E556*E557</f>
        <v>0</v>
      </c>
      <c r="F558" s="89">
        <f t="shared" ref="F558:J558" si="1344">F556*F557</f>
        <v>0</v>
      </c>
      <c r="G558" s="89">
        <f t="shared" si="1344"/>
        <v>0</v>
      </c>
      <c r="H558" s="89">
        <f t="shared" si="1344"/>
        <v>0</v>
      </c>
      <c r="I558" s="89">
        <f t="shared" si="1344"/>
        <v>0</v>
      </c>
      <c r="J558" s="89">
        <f t="shared" si="1344"/>
        <v>0</v>
      </c>
      <c r="K558" s="89">
        <f t="shared" ref="K558:L558" si="1345">K556*K557</f>
        <v>0</v>
      </c>
      <c r="L558" s="89">
        <f t="shared" si="1345"/>
        <v>0</v>
      </c>
      <c r="M558" s="167">
        <f t="shared" ref="M558" si="1346">SUM(F558:H558)</f>
        <v>0</v>
      </c>
      <c r="N558" s="94">
        <f t="shared" ref="N558" si="1347">SUM(F558:J558)</f>
        <v>0</v>
      </c>
      <c r="O558" s="1316">
        <f t="shared" si="1298"/>
        <v>0</v>
      </c>
      <c r="S558" s="95"/>
    </row>
    <row r="559" spans="1:19">
      <c r="A559" s="162">
        <v>5.3</v>
      </c>
      <c r="B559" s="159" t="s">
        <v>303</v>
      </c>
      <c r="C559" s="154"/>
      <c r="D559" s="154"/>
      <c r="E559" s="89"/>
      <c r="F559" s="89"/>
      <c r="G559" s="89"/>
      <c r="H559" s="89"/>
      <c r="I559" s="89"/>
      <c r="J559" s="89"/>
      <c r="K559" s="89"/>
      <c r="L559" s="89"/>
      <c r="M559" s="167"/>
      <c r="N559" s="94"/>
      <c r="O559" s="1316">
        <f t="shared" si="1298"/>
        <v>0</v>
      </c>
      <c r="S559" s="95"/>
    </row>
    <row r="560" spans="1:19">
      <c r="A560" s="160" t="s">
        <v>435</v>
      </c>
      <c r="B560" s="291" t="s">
        <v>312</v>
      </c>
      <c r="C560" s="266"/>
      <c r="D560" s="266"/>
      <c r="E560" s="89">
        <f t="shared" ref="E560:J560" si="1348">E187</f>
        <v>27</v>
      </c>
      <c r="F560" s="89">
        <f t="shared" si="1348"/>
        <v>27</v>
      </c>
      <c r="G560" s="89">
        <f t="shared" si="1348"/>
        <v>26</v>
      </c>
      <c r="H560" s="89">
        <f t="shared" si="1348"/>
        <v>27</v>
      </c>
      <c r="I560" s="89">
        <f t="shared" si="1348"/>
        <v>28</v>
      </c>
      <c r="J560" s="89">
        <f t="shared" si="1348"/>
        <v>28</v>
      </c>
      <c r="K560" s="89">
        <f t="shared" ref="K560:L560" si="1349">K187</f>
        <v>28</v>
      </c>
      <c r="L560" s="89">
        <f t="shared" si="1349"/>
        <v>27</v>
      </c>
      <c r="M560" s="167">
        <f t="shared" ref="M560" si="1350">SUM(F560:H560)</f>
        <v>80</v>
      </c>
      <c r="N560" s="94">
        <f t="shared" ref="N560" si="1351">SUM(F560:J560)</f>
        <v>136</v>
      </c>
      <c r="O560" s="1316">
        <f t="shared" si="1298"/>
        <v>111</v>
      </c>
      <c r="S560" s="95"/>
    </row>
    <row r="561" spans="1:19">
      <c r="A561" s="160" t="s">
        <v>436</v>
      </c>
      <c r="B561" s="291" t="s">
        <v>323</v>
      </c>
      <c r="C561" s="266"/>
      <c r="D561" s="266"/>
      <c r="E561" s="279">
        <f t="shared" ref="E561:J561" si="1352">E423</f>
        <v>1</v>
      </c>
      <c r="F561" s="279">
        <f t="shared" si="1352"/>
        <v>1</v>
      </c>
      <c r="G561" s="279">
        <f t="shared" si="1352"/>
        <v>1</v>
      </c>
      <c r="H561" s="279">
        <f t="shared" si="1352"/>
        <v>1</v>
      </c>
      <c r="I561" s="279">
        <f t="shared" si="1352"/>
        <v>1</v>
      </c>
      <c r="J561" s="279">
        <f t="shared" si="1352"/>
        <v>1</v>
      </c>
      <c r="K561" s="279">
        <f t="shared" ref="K561:L561" si="1353">K423</f>
        <v>1</v>
      </c>
      <c r="L561" s="279">
        <f t="shared" si="1353"/>
        <v>1</v>
      </c>
      <c r="M561" s="167"/>
      <c r="N561" s="94"/>
      <c r="O561" s="1316"/>
      <c r="S561" s="95"/>
    </row>
    <row r="562" spans="1:19">
      <c r="A562" s="160" t="s">
        <v>437</v>
      </c>
      <c r="B562" s="291" t="s">
        <v>325</v>
      </c>
      <c r="C562" s="154"/>
      <c r="D562" s="154"/>
      <c r="E562" s="89">
        <f>E560*E561</f>
        <v>27</v>
      </c>
      <c r="F562" s="89">
        <f t="shared" ref="F562:J562" si="1354">F560*F561</f>
        <v>27</v>
      </c>
      <c r="G562" s="89">
        <f t="shared" si="1354"/>
        <v>26</v>
      </c>
      <c r="H562" s="89">
        <f t="shared" si="1354"/>
        <v>27</v>
      </c>
      <c r="I562" s="89">
        <f t="shared" si="1354"/>
        <v>28</v>
      </c>
      <c r="J562" s="89">
        <f t="shared" si="1354"/>
        <v>28</v>
      </c>
      <c r="K562" s="89">
        <f t="shared" ref="K562:L562" si="1355">K560*K561</f>
        <v>28</v>
      </c>
      <c r="L562" s="89">
        <f t="shared" si="1355"/>
        <v>27</v>
      </c>
      <c r="M562" s="167">
        <f t="shared" ref="M562" si="1356">SUM(F562:H562)</f>
        <v>80</v>
      </c>
      <c r="N562" s="94">
        <f t="shared" ref="N562" si="1357">SUM(F562:J562)</f>
        <v>136</v>
      </c>
      <c r="O562" s="1316">
        <f t="shared" si="1298"/>
        <v>111</v>
      </c>
      <c r="S562" s="95"/>
    </row>
    <row r="563" spans="1:19">
      <c r="A563" s="160" t="s">
        <v>438</v>
      </c>
      <c r="B563" s="291" t="s">
        <v>305</v>
      </c>
      <c r="C563" s="266"/>
      <c r="D563" s="154"/>
      <c r="E563" s="152">
        <f>E220</f>
        <v>0.75</v>
      </c>
      <c r="F563" s="152">
        <f t="shared" ref="F563:J563" si="1358">F220</f>
        <v>0.8</v>
      </c>
      <c r="G563" s="152">
        <f t="shared" si="1358"/>
        <v>0.85</v>
      </c>
      <c r="H563" s="152">
        <f t="shared" si="1358"/>
        <v>0.9</v>
      </c>
      <c r="I563" s="152">
        <f t="shared" si="1358"/>
        <v>0.89999999999999991</v>
      </c>
      <c r="J563" s="152">
        <f t="shared" si="1358"/>
        <v>0.9</v>
      </c>
      <c r="K563" s="152">
        <f t="shared" ref="K563:L563" si="1359">K220</f>
        <v>0.9</v>
      </c>
      <c r="L563" s="152">
        <f t="shared" si="1359"/>
        <v>0.89999999999999991</v>
      </c>
      <c r="M563" s="167"/>
      <c r="N563" s="94"/>
      <c r="O563" s="1316"/>
      <c r="S563" s="95"/>
    </row>
    <row r="564" spans="1:19">
      <c r="A564" s="160" t="s">
        <v>439</v>
      </c>
      <c r="B564" s="291" t="s">
        <v>326</v>
      </c>
      <c r="C564" s="266"/>
      <c r="D564" s="154"/>
      <c r="E564" s="89">
        <f>E562*E563</f>
        <v>20.25</v>
      </c>
      <c r="F564" s="89">
        <f t="shared" ref="F564:J564" si="1360">F562*F563</f>
        <v>21.6</v>
      </c>
      <c r="G564" s="89">
        <f t="shared" si="1360"/>
        <v>22.099999999999998</v>
      </c>
      <c r="H564" s="89">
        <f t="shared" si="1360"/>
        <v>24.3</v>
      </c>
      <c r="I564" s="89">
        <f t="shared" si="1360"/>
        <v>25.199999999999996</v>
      </c>
      <c r="J564" s="89">
        <f t="shared" si="1360"/>
        <v>25.2</v>
      </c>
      <c r="K564" s="89">
        <f t="shared" ref="K564:L564" si="1361">K562*K563</f>
        <v>25.2</v>
      </c>
      <c r="L564" s="89">
        <f t="shared" si="1361"/>
        <v>24.299999999999997</v>
      </c>
      <c r="M564" s="167">
        <f t="shared" ref="M564" si="1362">SUM(F564:H564)</f>
        <v>68</v>
      </c>
      <c r="N564" s="94">
        <f t="shared" ref="N564" si="1363">SUM(F564:J564)</f>
        <v>118.39999999999999</v>
      </c>
      <c r="O564" s="1316">
        <f t="shared" si="1298"/>
        <v>99.899999999999991</v>
      </c>
      <c r="S564" s="95"/>
    </row>
    <row r="565" spans="1:19">
      <c r="A565" s="160" t="s">
        <v>440</v>
      </c>
      <c r="B565" s="293" t="s">
        <v>367</v>
      </c>
      <c r="C565" s="154"/>
      <c r="D565" s="154"/>
      <c r="E565" s="294">
        <f>E543*60%</f>
        <v>14.399999999999999</v>
      </c>
      <c r="F565" s="294">
        <f>E543*65%</f>
        <v>15.600000000000001</v>
      </c>
      <c r="G565" s="294">
        <f>E543*70%</f>
        <v>16.799999999999997</v>
      </c>
      <c r="H565" s="294">
        <f>E543*75%</f>
        <v>18</v>
      </c>
      <c r="I565" s="294">
        <f t="shared" ref="I565" si="1364">H565</f>
        <v>18</v>
      </c>
      <c r="J565" s="294">
        <f t="shared" ref="J565" si="1365">I565</f>
        <v>18</v>
      </c>
      <c r="K565" s="294">
        <f t="shared" ref="K565" si="1366">J565</f>
        <v>18</v>
      </c>
      <c r="L565" s="294">
        <f t="shared" ref="L565" si="1367">K565</f>
        <v>18</v>
      </c>
      <c r="M565" s="167"/>
      <c r="N565" s="94"/>
      <c r="O565" s="1316"/>
      <c r="S565" s="95"/>
    </row>
    <row r="566" spans="1:19">
      <c r="A566" s="160" t="s">
        <v>441</v>
      </c>
      <c r="B566" s="291" t="s">
        <v>308</v>
      </c>
      <c r="C566" s="266"/>
      <c r="D566" s="266"/>
      <c r="E566" s="89">
        <f>E564*E565</f>
        <v>291.59999999999997</v>
      </c>
      <c r="F566" s="89">
        <f t="shared" ref="F566:J566" si="1368">F564*F565</f>
        <v>336.96000000000004</v>
      </c>
      <c r="G566" s="89">
        <f t="shared" si="1368"/>
        <v>371.27999999999992</v>
      </c>
      <c r="H566" s="89">
        <f t="shared" si="1368"/>
        <v>437.40000000000003</v>
      </c>
      <c r="I566" s="89">
        <f t="shared" si="1368"/>
        <v>453.59999999999991</v>
      </c>
      <c r="J566" s="89">
        <f t="shared" si="1368"/>
        <v>453.59999999999997</v>
      </c>
      <c r="K566" s="89">
        <f t="shared" ref="K566:L566" si="1369">K564*K565</f>
        <v>453.59999999999997</v>
      </c>
      <c r="L566" s="89">
        <f t="shared" si="1369"/>
        <v>437.4</v>
      </c>
      <c r="M566" s="167">
        <f t="shared" ref="M566" si="1370">SUM(F566:H566)</f>
        <v>1145.6400000000001</v>
      </c>
      <c r="N566" s="94">
        <f t="shared" ref="N566" si="1371">SUM(F566:J566)</f>
        <v>2052.84</v>
      </c>
      <c r="O566" s="1316">
        <f t="shared" si="1298"/>
        <v>1798.1999999999998</v>
      </c>
      <c r="S566" s="95"/>
    </row>
    <row r="567" spans="1:19">
      <c r="A567" s="160" t="s">
        <v>442</v>
      </c>
      <c r="B567" s="291" t="s">
        <v>828</v>
      </c>
      <c r="C567" s="266"/>
      <c r="D567" s="266"/>
      <c r="E567" s="287">
        <f t="shared" ref="E567:J567" si="1372">E291</f>
        <v>1</v>
      </c>
      <c r="F567" s="287">
        <f t="shared" si="1372"/>
        <v>1</v>
      </c>
      <c r="G567" s="287">
        <f t="shared" si="1372"/>
        <v>1</v>
      </c>
      <c r="H567" s="287">
        <f t="shared" si="1372"/>
        <v>1</v>
      </c>
      <c r="I567" s="287">
        <f t="shared" si="1372"/>
        <v>1</v>
      </c>
      <c r="J567" s="287">
        <f t="shared" si="1372"/>
        <v>1</v>
      </c>
      <c r="K567" s="287">
        <f t="shared" ref="K567:L567" si="1373">K291</f>
        <v>1</v>
      </c>
      <c r="L567" s="287">
        <f t="shared" si="1373"/>
        <v>1</v>
      </c>
      <c r="M567" s="167"/>
      <c r="N567" s="94"/>
      <c r="O567" s="1316"/>
      <c r="S567" s="95"/>
    </row>
    <row r="568" spans="1:19">
      <c r="A568" s="160" t="s">
        <v>443</v>
      </c>
      <c r="B568" s="291" t="s">
        <v>309</v>
      </c>
      <c r="C568" s="154"/>
      <c r="D568" s="154"/>
      <c r="E568" s="89">
        <f>E566*E567</f>
        <v>291.59999999999997</v>
      </c>
      <c r="F568" s="89">
        <f t="shared" ref="F568:J568" si="1374">F566*F567</f>
        <v>336.96000000000004</v>
      </c>
      <c r="G568" s="89">
        <f t="shared" si="1374"/>
        <v>371.27999999999992</v>
      </c>
      <c r="H568" s="89">
        <f t="shared" si="1374"/>
        <v>437.40000000000003</v>
      </c>
      <c r="I568" s="89">
        <f t="shared" si="1374"/>
        <v>453.59999999999991</v>
      </c>
      <c r="J568" s="89">
        <f t="shared" si="1374"/>
        <v>453.59999999999997</v>
      </c>
      <c r="K568" s="89">
        <f t="shared" ref="K568:L568" si="1375">K566*K567</f>
        <v>453.59999999999997</v>
      </c>
      <c r="L568" s="89">
        <f t="shared" si="1375"/>
        <v>437.4</v>
      </c>
      <c r="M568" s="167">
        <f t="shared" ref="M568" si="1376">SUM(F568:H568)</f>
        <v>1145.6400000000001</v>
      </c>
      <c r="N568" s="94">
        <f t="shared" ref="N568" si="1377">SUM(F568:J568)</f>
        <v>2052.84</v>
      </c>
      <c r="O568" s="1316">
        <f t="shared" si="1298"/>
        <v>1798.1999999999998</v>
      </c>
      <c r="S568" s="95"/>
    </row>
    <row r="569" spans="1:19">
      <c r="A569" s="162">
        <v>5.4</v>
      </c>
      <c r="B569" s="159" t="s">
        <v>460</v>
      </c>
      <c r="C569" s="154"/>
      <c r="D569" s="154"/>
      <c r="E569" s="89"/>
      <c r="F569" s="89"/>
      <c r="G569" s="89"/>
      <c r="H569" s="89"/>
      <c r="I569" s="89"/>
      <c r="J569" s="89"/>
      <c r="K569" s="89"/>
      <c r="L569" s="89"/>
      <c r="M569" s="167"/>
      <c r="N569" s="94"/>
      <c r="O569" s="1316">
        <f t="shared" si="1298"/>
        <v>0</v>
      </c>
      <c r="S569" s="95"/>
    </row>
    <row r="570" spans="1:19">
      <c r="A570" s="160" t="s">
        <v>627</v>
      </c>
      <c r="B570" s="291" t="s">
        <v>312</v>
      </c>
      <c r="C570" s="266"/>
      <c r="D570" s="266"/>
      <c r="E570" s="89">
        <f t="shared" ref="E570:J570" si="1378">E187</f>
        <v>27</v>
      </c>
      <c r="F570" s="89">
        <f t="shared" si="1378"/>
        <v>27</v>
      </c>
      <c r="G570" s="89">
        <f t="shared" si="1378"/>
        <v>26</v>
      </c>
      <c r="H570" s="89">
        <f t="shared" si="1378"/>
        <v>27</v>
      </c>
      <c r="I570" s="89">
        <f t="shared" si="1378"/>
        <v>28</v>
      </c>
      <c r="J570" s="89">
        <f t="shared" si="1378"/>
        <v>28</v>
      </c>
      <c r="K570" s="89">
        <f t="shared" ref="K570:L570" si="1379">K187</f>
        <v>28</v>
      </c>
      <c r="L570" s="89">
        <f t="shared" si="1379"/>
        <v>27</v>
      </c>
      <c r="M570" s="167">
        <f t="shared" ref="M570" si="1380">SUM(F570:H570)</f>
        <v>80</v>
      </c>
      <c r="N570" s="94">
        <f t="shared" ref="N570" si="1381">SUM(F570:J570)</f>
        <v>136</v>
      </c>
      <c r="O570" s="1316">
        <f t="shared" si="1298"/>
        <v>111</v>
      </c>
      <c r="S570" s="95"/>
    </row>
    <row r="571" spans="1:19">
      <c r="A571" s="160" t="s">
        <v>628</v>
      </c>
      <c r="B571" s="291" t="s">
        <v>481</v>
      </c>
      <c r="C571" s="266"/>
      <c r="D571" s="266"/>
      <c r="E571" s="152">
        <v>0.05</v>
      </c>
      <c r="F571" s="152">
        <f>E571</f>
        <v>0.05</v>
      </c>
      <c r="G571" s="152">
        <f t="shared" ref="G571:J571" si="1382">F571</f>
        <v>0.05</v>
      </c>
      <c r="H571" s="152">
        <f t="shared" si="1382"/>
        <v>0.05</v>
      </c>
      <c r="I571" s="152">
        <f t="shared" si="1382"/>
        <v>0.05</v>
      </c>
      <c r="J571" s="152">
        <f t="shared" si="1382"/>
        <v>0.05</v>
      </c>
      <c r="K571" s="152">
        <f t="shared" ref="K571" si="1383">J571</f>
        <v>0.05</v>
      </c>
      <c r="L571" s="152">
        <f t="shared" ref="L571" si="1384">K571</f>
        <v>0.05</v>
      </c>
      <c r="M571" s="167"/>
      <c r="N571" s="94"/>
      <c r="O571" s="1316">
        <f t="shared" si="1298"/>
        <v>0.2</v>
      </c>
      <c r="S571" s="95"/>
    </row>
    <row r="572" spans="1:19">
      <c r="A572" s="160" t="s">
        <v>629</v>
      </c>
      <c r="B572" s="291" t="s">
        <v>482</v>
      </c>
      <c r="C572" s="154"/>
      <c r="D572" s="154"/>
      <c r="E572" s="89">
        <f>E570*E571</f>
        <v>1.35</v>
      </c>
      <c r="F572" s="89">
        <f t="shared" ref="F572:J572" si="1385">F570*F571</f>
        <v>1.35</v>
      </c>
      <c r="G572" s="89">
        <f t="shared" si="1385"/>
        <v>1.3</v>
      </c>
      <c r="H572" s="89">
        <f t="shared" si="1385"/>
        <v>1.35</v>
      </c>
      <c r="I572" s="89">
        <f t="shared" si="1385"/>
        <v>1.4000000000000001</v>
      </c>
      <c r="J572" s="89">
        <f t="shared" si="1385"/>
        <v>1.4000000000000001</v>
      </c>
      <c r="K572" s="89">
        <f t="shared" ref="K572:L572" si="1386">K570*K571</f>
        <v>1.4000000000000001</v>
      </c>
      <c r="L572" s="89">
        <f t="shared" si="1386"/>
        <v>1.35</v>
      </c>
      <c r="M572" s="167">
        <f t="shared" ref="M572" si="1387">SUM(F572:H572)</f>
        <v>4</v>
      </c>
      <c r="N572" s="94">
        <f t="shared" ref="N572" si="1388">SUM(F572:J572)</f>
        <v>6.8000000000000007</v>
      </c>
      <c r="O572" s="1316">
        <f t="shared" si="1298"/>
        <v>5.5500000000000007</v>
      </c>
      <c r="S572" s="95"/>
    </row>
    <row r="573" spans="1:19">
      <c r="A573" s="160" t="s">
        <v>630</v>
      </c>
      <c r="B573" s="291" t="s">
        <v>462</v>
      </c>
      <c r="C573" s="266"/>
      <c r="D573" s="154"/>
      <c r="E573" s="152">
        <f t="shared" ref="E573:J573" si="1389">E229</f>
        <v>0.75</v>
      </c>
      <c r="F573" s="152">
        <f t="shared" si="1389"/>
        <v>0.8</v>
      </c>
      <c r="G573" s="152">
        <f t="shared" si="1389"/>
        <v>0.85</v>
      </c>
      <c r="H573" s="152">
        <f t="shared" si="1389"/>
        <v>0.9</v>
      </c>
      <c r="I573" s="152">
        <f t="shared" si="1389"/>
        <v>0.89999999999999991</v>
      </c>
      <c r="J573" s="152">
        <f t="shared" si="1389"/>
        <v>0.9</v>
      </c>
      <c r="K573" s="152">
        <f t="shared" ref="K573:L573" si="1390">K229</f>
        <v>0.9</v>
      </c>
      <c r="L573" s="152">
        <f t="shared" si="1390"/>
        <v>0.89999999999999991</v>
      </c>
      <c r="M573" s="167"/>
      <c r="N573" s="94"/>
      <c r="O573" s="1316"/>
      <c r="S573" s="95"/>
    </row>
    <row r="574" spans="1:19">
      <c r="A574" s="160" t="s">
        <v>631</v>
      </c>
      <c r="B574" s="291" t="s">
        <v>480</v>
      </c>
      <c r="C574" s="266"/>
      <c r="D574" s="154"/>
      <c r="E574" s="89">
        <f>E572*E573</f>
        <v>1.0125000000000002</v>
      </c>
      <c r="F574" s="89">
        <f t="shared" ref="F574:J574" si="1391">F572*F573</f>
        <v>1.08</v>
      </c>
      <c r="G574" s="89">
        <f t="shared" si="1391"/>
        <v>1.105</v>
      </c>
      <c r="H574" s="89">
        <f t="shared" si="1391"/>
        <v>1.2150000000000001</v>
      </c>
      <c r="I574" s="89">
        <f t="shared" si="1391"/>
        <v>1.26</v>
      </c>
      <c r="J574" s="89">
        <f t="shared" si="1391"/>
        <v>1.2600000000000002</v>
      </c>
      <c r="K574" s="89">
        <f t="shared" ref="K574:L574" si="1392">K572*K573</f>
        <v>1.2600000000000002</v>
      </c>
      <c r="L574" s="89">
        <f t="shared" si="1392"/>
        <v>1.2149999999999999</v>
      </c>
      <c r="M574" s="167">
        <f t="shared" ref="M574" si="1393">SUM(F574:H574)</f>
        <v>3.4000000000000004</v>
      </c>
      <c r="N574" s="94">
        <f t="shared" ref="N574" si="1394">SUM(F574:J574)</f>
        <v>5.92</v>
      </c>
      <c r="O574" s="1316">
        <f t="shared" si="1298"/>
        <v>4.995000000000001</v>
      </c>
      <c r="S574" s="95"/>
    </row>
    <row r="575" spans="1:19">
      <c r="A575" s="160" t="s">
        <v>632</v>
      </c>
      <c r="B575" s="293" t="s">
        <v>464</v>
      </c>
      <c r="C575" s="154"/>
      <c r="D575" s="154"/>
      <c r="E575" s="152">
        <f t="shared" ref="E575:J575" si="1395">E231</f>
        <v>0.02</v>
      </c>
      <c r="F575" s="152">
        <f t="shared" si="1395"/>
        <v>0.02</v>
      </c>
      <c r="G575" s="152">
        <f t="shared" si="1395"/>
        <v>0.02</v>
      </c>
      <c r="H575" s="152">
        <f t="shared" si="1395"/>
        <v>0.02</v>
      </c>
      <c r="I575" s="152">
        <f t="shared" si="1395"/>
        <v>0.02</v>
      </c>
      <c r="J575" s="152">
        <f t="shared" si="1395"/>
        <v>0.02</v>
      </c>
      <c r="K575" s="152">
        <f t="shared" ref="K575:L575" si="1396">K231</f>
        <v>0.02</v>
      </c>
      <c r="L575" s="152">
        <f t="shared" si="1396"/>
        <v>0.02</v>
      </c>
      <c r="M575" s="167"/>
      <c r="N575" s="94"/>
      <c r="O575" s="1316">
        <f t="shared" si="1298"/>
        <v>0.08</v>
      </c>
      <c r="S575" s="95"/>
    </row>
    <row r="576" spans="1:19">
      <c r="A576" s="160" t="s">
        <v>633</v>
      </c>
      <c r="B576" s="291" t="s">
        <v>465</v>
      </c>
      <c r="C576" s="266"/>
      <c r="D576" s="266"/>
      <c r="E576" s="89">
        <f>E574+E574*E575</f>
        <v>1.0327500000000003</v>
      </c>
      <c r="F576" s="89">
        <f t="shared" ref="F576:J576" si="1397">F574+F574*F575</f>
        <v>1.1016000000000001</v>
      </c>
      <c r="G576" s="89">
        <f t="shared" si="1397"/>
        <v>1.1271</v>
      </c>
      <c r="H576" s="89">
        <f t="shared" si="1397"/>
        <v>1.2393000000000001</v>
      </c>
      <c r="I576" s="89">
        <f t="shared" si="1397"/>
        <v>1.2852000000000001</v>
      </c>
      <c r="J576" s="89">
        <f t="shared" si="1397"/>
        <v>1.2852000000000003</v>
      </c>
      <c r="K576" s="89">
        <f t="shared" ref="K576:L576" si="1398">K574+K574*K575</f>
        <v>1.2852000000000003</v>
      </c>
      <c r="L576" s="89">
        <f t="shared" si="1398"/>
        <v>1.2392999999999998</v>
      </c>
      <c r="M576" s="167">
        <f t="shared" ref="M576" si="1399">SUM(F576:H576)</f>
        <v>3.468</v>
      </c>
      <c r="N576" s="94">
        <f t="shared" ref="N576" si="1400">SUM(F576:J576)</f>
        <v>6.0384000000000002</v>
      </c>
      <c r="O576" s="1316">
        <f t="shared" si="1298"/>
        <v>5.0949000000000009</v>
      </c>
      <c r="S576" s="95"/>
    </row>
    <row r="577" spans="1:20">
      <c r="A577" s="160" t="s">
        <v>634</v>
      </c>
      <c r="B577" s="291" t="s">
        <v>820</v>
      </c>
      <c r="C577" s="266"/>
      <c r="D577" s="266"/>
      <c r="E577" s="287">
        <f>E233</f>
        <v>1</v>
      </c>
      <c r="F577" s="287">
        <f>E577</f>
        <v>1</v>
      </c>
      <c r="G577" s="287">
        <f>F577</f>
        <v>1</v>
      </c>
      <c r="H577" s="287">
        <f t="shared" ref="H577:J577" si="1401">G577</f>
        <v>1</v>
      </c>
      <c r="I577" s="287">
        <f t="shared" si="1401"/>
        <v>1</v>
      </c>
      <c r="J577" s="287">
        <f t="shared" si="1401"/>
        <v>1</v>
      </c>
      <c r="K577" s="287">
        <f t="shared" ref="K577" si="1402">J577</f>
        <v>1</v>
      </c>
      <c r="L577" s="287">
        <f t="shared" ref="L577" si="1403">K577</f>
        <v>1</v>
      </c>
      <c r="M577" s="167"/>
      <c r="N577" s="94"/>
      <c r="O577" s="1316"/>
      <c r="S577" s="95"/>
    </row>
    <row r="578" spans="1:20">
      <c r="A578" s="160" t="s">
        <v>635</v>
      </c>
      <c r="B578" s="291" t="s">
        <v>821</v>
      </c>
      <c r="C578" s="154"/>
      <c r="D578" s="154"/>
      <c r="E578" s="89">
        <f>E576*E577</f>
        <v>1.0327500000000003</v>
      </c>
      <c r="F578" s="89">
        <f t="shared" ref="F578:J578" si="1404">F576*F577</f>
        <v>1.1016000000000001</v>
      </c>
      <c r="G578" s="89">
        <f t="shared" si="1404"/>
        <v>1.1271</v>
      </c>
      <c r="H578" s="89">
        <f t="shared" si="1404"/>
        <v>1.2393000000000001</v>
      </c>
      <c r="I578" s="89">
        <f t="shared" si="1404"/>
        <v>1.2852000000000001</v>
      </c>
      <c r="J578" s="89">
        <f t="shared" si="1404"/>
        <v>1.2852000000000003</v>
      </c>
      <c r="K578" s="89">
        <f t="shared" ref="K578:L578" si="1405">K576*K577</f>
        <v>1.2852000000000003</v>
      </c>
      <c r="L578" s="89">
        <f t="shared" si="1405"/>
        <v>1.2392999999999998</v>
      </c>
      <c r="M578" s="167">
        <f t="shared" ref="M578" si="1406">SUM(F578:H578)</f>
        <v>3.468</v>
      </c>
      <c r="N578" s="94">
        <f t="shared" ref="N578" si="1407">SUM(F578:J578)</f>
        <v>6.0384000000000002</v>
      </c>
      <c r="O578" s="1316">
        <f t="shared" si="1298"/>
        <v>5.0949000000000009</v>
      </c>
      <c r="S578" s="95"/>
    </row>
    <row r="579" spans="1:20">
      <c r="A579" s="162">
        <v>5.5</v>
      </c>
      <c r="B579" s="161" t="s">
        <v>459</v>
      </c>
      <c r="C579" s="154"/>
      <c r="D579" s="154"/>
      <c r="E579" s="89"/>
      <c r="F579" s="89"/>
      <c r="G579" s="89"/>
      <c r="H579" s="89"/>
      <c r="I579" s="89"/>
      <c r="J579" s="89"/>
      <c r="K579" s="89"/>
      <c r="L579" s="89"/>
      <c r="M579" s="167"/>
      <c r="N579" s="94"/>
      <c r="O579" s="1316">
        <f t="shared" si="1298"/>
        <v>0</v>
      </c>
      <c r="S579" s="95"/>
    </row>
    <row r="580" spans="1:20">
      <c r="A580" s="160" t="s">
        <v>636</v>
      </c>
      <c r="B580" s="291" t="s">
        <v>312</v>
      </c>
      <c r="C580" s="266"/>
      <c r="D580" s="266"/>
      <c r="E580" s="89">
        <f t="shared" ref="E580:J580" si="1408">E187</f>
        <v>27</v>
      </c>
      <c r="F580" s="89">
        <f t="shared" si="1408"/>
        <v>27</v>
      </c>
      <c r="G580" s="89">
        <f t="shared" si="1408"/>
        <v>26</v>
      </c>
      <c r="H580" s="89">
        <f t="shared" si="1408"/>
        <v>27</v>
      </c>
      <c r="I580" s="89">
        <f t="shared" si="1408"/>
        <v>28</v>
      </c>
      <c r="J580" s="89">
        <f t="shared" si="1408"/>
        <v>28</v>
      </c>
      <c r="K580" s="89">
        <f t="shared" ref="K580:L580" si="1409">K187</f>
        <v>28</v>
      </c>
      <c r="L580" s="89">
        <f t="shared" si="1409"/>
        <v>27</v>
      </c>
      <c r="M580" s="167">
        <f t="shared" ref="M580" si="1410">SUM(F580:H580)</f>
        <v>80</v>
      </c>
      <c r="N580" s="94">
        <f t="shared" ref="N580" si="1411">SUM(F580:J580)</f>
        <v>136</v>
      </c>
      <c r="O580" s="1316">
        <f t="shared" si="1298"/>
        <v>111</v>
      </c>
      <c r="S580" s="95"/>
    </row>
    <row r="581" spans="1:20">
      <c r="A581" s="160" t="s">
        <v>637</v>
      </c>
      <c r="B581" s="291" t="s">
        <v>483</v>
      </c>
      <c r="C581" s="266"/>
      <c r="D581" s="266"/>
      <c r="E581" s="152">
        <v>0</v>
      </c>
      <c r="F581" s="152">
        <f>E581</f>
        <v>0</v>
      </c>
      <c r="G581" s="152">
        <f t="shared" ref="G581:J581" si="1412">F581</f>
        <v>0</v>
      </c>
      <c r="H581" s="152">
        <f t="shared" si="1412"/>
        <v>0</v>
      </c>
      <c r="I581" s="152">
        <f t="shared" si="1412"/>
        <v>0</v>
      </c>
      <c r="J581" s="152">
        <f t="shared" si="1412"/>
        <v>0</v>
      </c>
      <c r="K581" s="152">
        <f t="shared" ref="K581" si="1413">J581</f>
        <v>0</v>
      </c>
      <c r="L581" s="152">
        <f t="shared" ref="L581" si="1414">K581</f>
        <v>0</v>
      </c>
      <c r="M581" s="167"/>
      <c r="N581" s="94"/>
      <c r="O581" s="1316">
        <f t="shared" si="1298"/>
        <v>0</v>
      </c>
      <c r="S581" s="95"/>
    </row>
    <row r="582" spans="1:20">
      <c r="A582" s="160" t="s">
        <v>638</v>
      </c>
      <c r="B582" s="291" t="s">
        <v>484</v>
      </c>
      <c r="C582" s="154"/>
      <c r="D582" s="154"/>
      <c r="E582" s="89">
        <f>E580*E581</f>
        <v>0</v>
      </c>
      <c r="F582" s="89">
        <f t="shared" ref="F582:J582" si="1415">F580*F581</f>
        <v>0</v>
      </c>
      <c r="G582" s="89">
        <f t="shared" si="1415"/>
        <v>0</v>
      </c>
      <c r="H582" s="89">
        <f t="shared" si="1415"/>
        <v>0</v>
      </c>
      <c r="I582" s="89">
        <f t="shared" si="1415"/>
        <v>0</v>
      </c>
      <c r="J582" s="89">
        <f t="shared" si="1415"/>
        <v>0</v>
      </c>
      <c r="K582" s="89">
        <f t="shared" ref="K582:L582" si="1416">K580*K581</f>
        <v>0</v>
      </c>
      <c r="L582" s="89">
        <f t="shared" si="1416"/>
        <v>0</v>
      </c>
      <c r="M582" s="167">
        <f t="shared" ref="M582" si="1417">SUM(F582:H582)</f>
        <v>0</v>
      </c>
      <c r="N582" s="94">
        <f t="shared" ref="N582" si="1418">SUM(F582:J582)</f>
        <v>0</v>
      </c>
      <c r="O582" s="1316">
        <f t="shared" si="1298"/>
        <v>0</v>
      </c>
      <c r="S582" s="95"/>
    </row>
    <row r="583" spans="1:20">
      <c r="A583" s="160" t="s">
        <v>639</v>
      </c>
      <c r="B583" s="291" t="s">
        <v>455</v>
      </c>
      <c r="C583" s="266"/>
      <c r="D583" s="154"/>
      <c r="E583" s="152">
        <f t="shared" ref="E583:J583" si="1419">E238</f>
        <v>0.7</v>
      </c>
      <c r="F583" s="152">
        <f t="shared" si="1419"/>
        <v>0.8</v>
      </c>
      <c r="G583" s="152">
        <f t="shared" si="1419"/>
        <v>0.85</v>
      </c>
      <c r="H583" s="152">
        <f t="shared" si="1419"/>
        <v>0.95</v>
      </c>
      <c r="I583" s="152">
        <f t="shared" si="1419"/>
        <v>0.95</v>
      </c>
      <c r="J583" s="152">
        <f t="shared" si="1419"/>
        <v>0.95</v>
      </c>
      <c r="K583" s="152">
        <f t="shared" ref="K583:L583" si="1420">K238</f>
        <v>0.95</v>
      </c>
      <c r="L583" s="152">
        <f t="shared" si="1420"/>
        <v>0.95</v>
      </c>
      <c r="M583" s="167"/>
      <c r="N583" s="94"/>
      <c r="O583" s="1316"/>
      <c r="S583" s="95"/>
      <c r="T583" s="1103"/>
    </row>
    <row r="584" spans="1:20">
      <c r="A584" s="160" t="s">
        <v>640</v>
      </c>
      <c r="B584" s="291" t="s">
        <v>485</v>
      </c>
      <c r="C584" s="266"/>
      <c r="D584" s="154"/>
      <c r="E584" s="89">
        <f>E582*E583</f>
        <v>0</v>
      </c>
      <c r="F584" s="89">
        <f t="shared" ref="F584:J584" si="1421">F582*F583</f>
        <v>0</v>
      </c>
      <c r="G584" s="89">
        <f t="shared" si="1421"/>
        <v>0</v>
      </c>
      <c r="H584" s="89">
        <f t="shared" si="1421"/>
        <v>0</v>
      </c>
      <c r="I584" s="89">
        <f t="shared" si="1421"/>
        <v>0</v>
      </c>
      <c r="J584" s="89">
        <f t="shared" si="1421"/>
        <v>0</v>
      </c>
      <c r="K584" s="89">
        <f t="shared" ref="K584:L584" si="1422">K582*K583</f>
        <v>0</v>
      </c>
      <c r="L584" s="89">
        <f t="shared" si="1422"/>
        <v>0</v>
      </c>
      <c r="M584" s="167">
        <f t="shared" ref="M584" si="1423">SUM(F584:H584)</f>
        <v>0</v>
      </c>
      <c r="N584" s="94">
        <f t="shared" ref="N584" si="1424">SUM(F584:J584)</f>
        <v>0</v>
      </c>
      <c r="O584" s="1316">
        <f t="shared" si="1298"/>
        <v>0</v>
      </c>
      <c r="S584" s="95"/>
    </row>
    <row r="585" spans="1:20">
      <c r="A585" s="160" t="s">
        <v>641</v>
      </c>
      <c r="B585" s="293" t="s">
        <v>457</v>
      </c>
      <c r="C585" s="154"/>
      <c r="D585" s="154"/>
      <c r="E585" s="152">
        <f t="shared" ref="E585:J585" si="1425">E240</f>
        <v>0.1</v>
      </c>
      <c r="F585" s="152">
        <f t="shared" si="1425"/>
        <v>0.1</v>
      </c>
      <c r="G585" s="152">
        <f t="shared" si="1425"/>
        <v>0.1</v>
      </c>
      <c r="H585" s="152">
        <f t="shared" si="1425"/>
        <v>0.1</v>
      </c>
      <c r="I585" s="152">
        <f t="shared" si="1425"/>
        <v>0.1</v>
      </c>
      <c r="J585" s="152">
        <f t="shared" si="1425"/>
        <v>0.1</v>
      </c>
      <c r="K585" s="152">
        <f t="shared" ref="K585:L585" si="1426">K240</f>
        <v>0.1</v>
      </c>
      <c r="L585" s="152">
        <f t="shared" si="1426"/>
        <v>0.1</v>
      </c>
      <c r="M585" s="167"/>
      <c r="N585" s="94"/>
      <c r="O585" s="1316"/>
      <c r="S585" s="95"/>
    </row>
    <row r="586" spans="1:20">
      <c r="A586" s="160" t="s">
        <v>642</v>
      </c>
      <c r="B586" s="291" t="s">
        <v>458</v>
      </c>
      <c r="C586" s="266"/>
      <c r="D586" s="266"/>
      <c r="E586" s="89">
        <f>E584+E584*E585</f>
        <v>0</v>
      </c>
      <c r="F586" s="89">
        <f t="shared" ref="F586:J586" si="1427">F584+F584*F585</f>
        <v>0</v>
      </c>
      <c r="G586" s="89">
        <f t="shared" si="1427"/>
        <v>0</v>
      </c>
      <c r="H586" s="89">
        <f t="shared" si="1427"/>
        <v>0</v>
      </c>
      <c r="I586" s="89">
        <f t="shared" si="1427"/>
        <v>0</v>
      </c>
      <c r="J586" s="89">
        <f t="shared" si="1427"/>
        <v>0</v>
      </c>
      <c r="K586" s="89">
        <f t="shared" ref="K586:L586" si="1428">K584+K584*K585</f>
        <v>0</v>
      </c>
      <c r="L586" s="89">
        <f t="shared" si="1428"/>
        <v>0</v>
      </c>
      <c r="M586" s="167">
        <f t="shared" ref="M586" si="1429">SUM(F586:H586)</f>
        <v>0</v>
      </c>
      <c r="N586" s="94">
        <f t="shared" ref="N586" si="1430">SUM(F586:J586)</f>
        <v>0</v>
      </c>
      <c r="O586" s="1316"/>
      <c r="S586" s="95"/>
    </row>
    <row r="587" spans="1:20">
      <c r="A587" s="160" t="s">
        <v>643</v>
      </c>
      <c r="B587" s="291" t="s">
        <v>822</v>
      </c>
      <c r="C587" s="266"/>
      <c r="D587" s="266"/>
      <c r="E587" s="287">
        <f t="shared" ref="E587:J587" si="1431">E242</f>
        <v>1</v>
      </c>
      <c r="F587" s="287">
        <f t="shared" si="1431"/>
        <v>1</v>
      </c>
      <c r="G587" s="287">
        <f t="shared" si="1431"/>
        <v>1</v>
      </c>
      <c r="H587" s="287">
        <f t="shared" si="1431"/>
        <v>1</v>
      </c>
      <c r="I587" s="287">
        <f t="shared" si="1431"/>
        <v>1</v>
      </c>
      <c r="J587" s="287">
        <f t="shared" si="1431"/>
        <v>1</v>
      </c>
      <c r="K587" s="287">
        <f t="shared" ref="K587:L587" si="1432">K242</f>
        <v>1</v>
      </c>
      <c r="L587" s="287">
        <f t="shared" si="1432"/>
        <v>1</v>
      </c>
      <c r="M587" s="167"/>
      <c r="N587" s="94"/>
      <c r="O587" s="1316"/>
      <c r="S587" s="95"/>
    </row>
    <row r="588" spans="1:20">
      <c r="A588" s="160" t="s">
        <v>644</v>
      </c>
      <c r="B588" s="291" t="s">
        <v>823</v>
      </c>
      <c r="C588" s="154"/>
      <c r="D588" s="154"/>
      <c r="E588" s="89">
        <f>E586*E587</f>
        <v>0</v>
      </c>
      <c r="F588" s="89">
        <f t="shared" ref="F588:J588" si="1433">F586*F587</f>
        <v>0</v>
      </c>
      <c r="G588" s="89">
        <f t="shared" si="1433"/>
        <v>0</v>
      </c>
      <c r="H588" s="89">
        <f t="shared" si="1433"/>
        <v>0</v>
      </c>
      <c r="I588" s="89">
        <f t="shared" si="1433"/>
        <v>0</v>
      </c>
      <c r="J588" s="89">
        <f t="shared" si="1433"/>
        <v>0</v>
      </c>
      <c r="K588" s="89">
        <f t="shared" ref="K588:L588" si="1434">K586*K587</f>
        <v>0</v>
      </c>
      <c r="L588" s="89">
        <f t="shared" si="1434"/>
        <v>0</v>
      </c>
      <c r="M588" s="167">
        <f t="shared" ref="M588" si="1435">SUM(F588:H588)</f>
        <v>0</v>
      </c>
      <c r="N588" s="94">
        <f t="shared" ref="N588" si="1436">SUM(F588:J588)</f>
        <v>0</v>
      </c>
      <c r="O588" s="1316">
        <f t="shared" si="1298"/>
        <v>0</v>
      </c>
      <c r="S588" s="95"/>
    </row>
    <row r="589" spans="1:20">
      <c r="A589" s="162">
        <v>5.6</v>
      </c>
      <c r="B589" s="159" t="s">
        <v>466</v>
      </c>
      <c r="C589" s="154"/>
      <c r="D589" s="154"/>
      <c r="E589" s="89"/>
      <c r="F589" s="89"/>
      <c r="G589" s="89"/>
      <c r="H589" s="89"/>
      <c r="I589" s="89"/>
      <c r="J589" s="89"/>
      <c r="K589" s="89"/>
      <c r="L589" s="89"/>
      <c r="M589" s="167"/>
      <c r="N589" s="94"/>
      <c r="O589" s="1316">
        <f t="shared" si="1298"/>
        <v>0</v>
      </c>
      <c r="S589" s="95"/>
    </row>
    <row r="590" spans="1:20">
      <c r="A590" s="160" t="s">
        <v>645</v>
      </c>
      <c r="B590" s="291" t="s">
        <v>312</v>
      </c>
      <c r="C590" s="266"/>
      <c r="D590" s="266"/>
      <c r="E590" s="89">
        <f t="shared" ref="E590:J590" si="1437">E187</f>
        <v>27</v>
      </c>
      <c r="F590" s="89">
        <f t="shared" si="1437"/>
        <v>27</v>
      </c>
      <c r="G590" s="89">
        <f t="shared" si="1437"/>
        <v>26</v>
      </c>
      <c r="H590" s="89">
        <f t="shared" si="1437"/>
        <v>27</v>
      </c>
      <c r="I590" s="89">
        <f t="shared" si="1437"/>
        <v>28</v>
      </c>
      <c r="J590" s="89">
        <f t="shared" si="1437"/>
        <v>28</v>
      </c>
      <c r="K590" s="89">
        <f t="shared" ref="K590:L590" si="1438">K187</f>
        <v>28</v>
      </c>
      <c r="L590" s="89">
        <f t="shared" si="1438"/>
        <v>27</v>
      </c>
      <c r="M590" s="167">
        <f t="shared" ref="M590" si="1439">SUM(F590:H590)</f>
        <v>80</v>
      </c>
      <c r="N590" s="94">
        <f t="shared" ref="N590" si="1440">SUM(F590:J590)</f>
        <v>136</v>
      </c>
      <c r="O590" s="1316">
        <f t="shared" si="1298"/>
        <v>111</v>
      </c>
      <c r="S590" s="95"/>
    </row>
    <row r="591" spans="1:20">
      <c r="A591" s="160" t="s">
        <v>646</v>
      </c>
      <c r="B591" s="291" t="s">
        <v>495</v>
      </c>
      <c r="C591" s="266"/>
      <c r="D591" s="266"/>
      <c r="E591" s="152">
        <v>0.3</v>
      </c>
      <c r="F591" s="152">
        <f>E591</f>
        <v>0.3</v>
      </c>
      <c r="G591" s="152">
        <f t="shared" ref="G591:J591" si="1441">F591</f>
        <v>0.3</v>
      </c>
      <c r="H591" s="152">
        <f t="shared" si="1441"/>
        <v>0.3</v>
      </c>
      <c r="I591" s="152">
        <f t="shared" si="1441"/>
        <v>0.3</v>
      </c>
      <c r="J591" s="152">
        <f t="shared" si="1441"/>
        <v>0.3</v>
      </c>
      <c r="K591" s="152">
        <f t="shared" ref="K591" si="1442">J591</f>
        <v>0.3</v>
      </c>
      <c r="L591" s="152">
        <f t="shared" ref="L591" si="1443">K591</f>
        <v>0.3</v>
      </c>
      <c r="M591" s="167"/>
      <c r="N591" s="94"/>
      <c r="O591" s="1316"/>
      <c r="S591" s="95"/>
      <c r="T591" s="1103"/>
    </row>
    <row r="592" spans="1:20">
      <c r="A592" s="160" t="s">
        <v>647</v>
      </c>
      <c r="B592" s="291" t="s">
        <v>496</v>
      </c>
      <c r="C592" s="154"/>
      <c r="D592" s="154"/>
      <c r="E592" s="89">
        <f>E590*E591</f>
        <v>8.1</v>
      </c>
      <c r="F592" s="89">
        <f t="shared" ref="F592:J592" si="1444">F590*F591</f>
        <v>8.1</v>
      </c>
      <c r="G592" s="89">
        <f t="shared" si="1444"/>
        <v>7.8</v>
      </c>
      <c r="H592" s="89">
        <f t="shared" si="1444"/>
        <v>8.1</v>
      </c>
      <c r="I592" s="89">
        <f t="shared" si="1444"/>
        <v>8.4</v>
      </c>
      <c r="J592" s="89">
        <f t="shared" si="1444"/>
        <v>8.4</v>
      </c>
      <c r="K592" s="89">
        <f t="shared" ref="K592:L592" si="1445">K590*K591</f>
        <v>8.4</v>
      </c>
      <c r="L592" s="89">
        <f t="shared" si="1445"/>
        <v>8.1</v>
      </c>
      <c r="M592" s="167">
        <f t="shared" ref="M592" si="1446">SUM(F592:H592)</f>
        <v>24</v>
      </c>
      <c r="N592" s="94">
        <f t="shared" ref="N592" si="1447">SUM(F592:J592)</f>
        <v>40.799999999999997</v>
      </c>
      <c r="O592" s="1316">
        <f t="shared" si="1298"/>
        <v>33.300000000000004</v>
      </c>
      <c r="S592" s="95"/>
      <c r="T592" s="1103"/>
    </row>
    <row r="593" spans="1:20">
      <c r="A593" s="160" t="s">
        <v>648</v>
      </c>
      <c r="B593" s="291" t="s">
        <v>470</v>
      </c>
      <c r="C593" s="266"/>
      <c r="D593" s="154"/>
      <c r="E593" s="152">
        <f t="shared" ref="E593:J593" si="1448">E247</f>
        <v>0.8</v>
      </c>
      <c r="F593" s="152">
        <f t="shared" si="1448"/>
        <v>0.85</v>
      </c>
      <c r="G593" s="152">
        <f t="shared" si="1448"/>
        <v>0.9</v>
      </c>
      <c r="H593" s="152">
        <f t="shared" si="1448"/>
        <v>0.95</v>
      </c>
      <c r="I593" s="152">
        <f t="shared" si="1448"/>
        <v>0.95</v>
      </c>
      <c r="J593" s="152">
        <f t="shared" si="1448"/>
        <v>0.95</v>
      </c>
      <c r="K593" s="152">
        <f t="shared" ref="K593:L593" si="1449">K247</f>
        <v>0.95</v>
      </c>
      <c r="L593" s="152">
        <f t="shared" si="1449"/>
        <v>0.95</v>
      </c>
      <c r="M593" s="167"/>
      <c r="N593" s="94"/>
      <c r="O593" s="1316"/>
      <c r="S593" s="95"/>
      <c r="T593" s="1103"/>
    </row>
    <row r="594" spans="1:20">
      <c r="A594" s="160" t="s">
        <v>649</v>
      </c>
      <c r="B594" s="291" t="s">
        <v>497</v>
      </c>
      <c r="C594" s="266"/>
      <c r="D594" s="154"/>
      <c r="E594" s="89">
        <f>E592*E593</f>
        <v>6.48</v>
      </c>
      <c r="F594" s="89">
        <f t="shared" ref="F594:J594" si="1450">F592*F593</f>
        <v>6.8849999999999998</v>
      </c>
      <c r="G594" s="89">
        <f t="shared" si="1450"/>
        <v>7.02</v>
      </c>
      <c r="H594" s="89">
        <f t="shared" si="1450"/>
        <v>7.6949999999999994</v>
      </c>
      <c r="I594" s="89">
        <f t="shared" si="1450"/>
        <v>7.9799999999999995</v>
      </c>
      <c r="J594" s="89">
        <f t="shared" si="1450"/>
        <v>7.9799999999999995</v>
      </c>
      <c r="K594" s="89">
        <f t="shared" ref="K594:L594" si="1451">K592*K593</f>
        <v>7.9799999999999995</v>
      </c>
      <c r="L594" s="89">
        <f t="shared" si="1451"/>
        <v>7.6949999999999994</v>
      </c>
      <c r="M594" s="167">
        <f t="shared" ref="M594" si="1452">SUM(F594:H594)</f>
        <v>21.599999999999998</v>
      </c>
      <c r="N594" s="94">
        <f t="shared" ref="N594" si="1453">SUM(F594:J594)</f>
        <v>37.559999999999995</v>
      </c>
      <c r="O594" s="1316">
        <f t="shared" si="1298"/>
        <v>31.634999999999998</v>
      </c>
      <c r="S594" s="95"/>
      <c r="T594" s="1103"/>
    </row>
    <row r="595" spans="1:20">
      <c r="A595" s="160" t="s">
        <v>650</v>
      </c>
      <c r="B595" s="293" t="s">
        <v>472</v>
      </c>
      <c r="C595" s="154"/>
      <c r="D595" s="154"/>
      <c r="E595" s="152">
        <f t="shared" ref="E595:J595" si="1454">E249</f>
        <v>0.02</v>
      </c>
      <c r="F595" s="152">
        <f t="shared" si="1454"/>
        <v>0.02</v>
      </c>
      <c r="G595" s="152">
        <f t="shared" si="1454"/>
        <v>0.02</v>
      </c>
      <c r="H595" s="152">
        <f t="shared" si="1454"/>
        <v>0.02</v>
      </c>
      <c r="I595" s="152">
        <f t="shared" si="1454"/>
        <v>0.02</v>
      </c>
      <c r="J595" s="152">
        <f t="shared" si="1454"/>
        <v>0.02</v>
      </c>
      <c r="K595" s="152">
        <f t="shared" ref="K595:L595" si="1455">K249</f>
        <v>0.02</v>
      </c>
      <c r="L595" s="152">
        <f t="shared" si="1455"/>
        <v>0.02</v>
      </c>
      <c r="M595" s="167"/>
      <c r="N595" s="94"/>
      <c r="O595" s="1316">
        <f t="shared" si="1298"/>
        <v>0.08</v>
      </c>
      <c r="S595" s="95"/>
      <c r="T595" s="1103"/>
    </row>
    <row r="596" spans="1:20">
      <c r="A596" s="160" t="s">
        <v>651</v>
      </c>
      <c r="B596" s="291" t="s">
        <v>473</v>
      </c>
      <c r="C596" s="266"/>
      <c r="D596" s="266"/>
      <c r="E596" s="89">
        <f>E594+E594*E595</f>
        <v>6.6096000000000004</v>
      </c>
      <c r="F596" s="89">
        <f t="shared" ref="F596:J596" si="1456">F594+F594*F595</f>
        <v>7.0226999999999995</v>
      </c>
      <c r="G596" s="89">
        <f t="shared" si="1456"/>
        <v>7.1603999999999992</v>
      </c>
      <c r="H596" s="89">
        <f t="shared" si="1456"/>
        <v>7.8488999999999995</v>
      </c>
      <c r="I596" s="89">
        <f t="shared" si="1456"/>
        <v>8.1395999999999997</v>
      </c>
      <c r="J596" s="89">
        <f t="shared" si="1456"/>
        <v>8.1395999999999997</v>
      </c>
      <c r="K596" s="89">
        <f t="shared" ref="K596:L596" si="1457">K594+K594*K595</f>
        <v>8.1395999999999997</v>
      </c>
      <c r="L596" s="89">
        <f t="shared" si="1457"/>
        <v>7.8488999999999995</v>
      </c>
      <c r="M596" s="167">
        <f t="shared" ref="M596" si="1458">SUM(F596:H596)</f>
        <v>22.032</v>
      </c>
      <c r="N596" s="94">
        <f t="shared" ref="N596" si="1459">SUM(F596:J596)</f>
        <v>38.311199999999999</v>
      </c>
      <c r="O596" s="1316">
        <f t="shared" si="1298"/>
        <v>32.267699999999998</v>
      </c>
      <c r="S596" s="95"/>
      <c r="T596" s="1103"/>
    </row>
    <row r="597" spans="1:20">
      <c r="A597" s="160" t="s">
        <v>652</v>
      </c>
      <c r="B597" s="291" t="s">
        <v>824</v>
      </c>
      <c r="C597" s="266"/>
      <c r="D597" s="266"/>
      <c r="E597" s="287">
        <f>E251</f>
        <v>1</v>
      </c>
      <c r="F597" s="287">
        <f>E597</f>
        <v>1</v>
      </c>
      <c r="G597" s="287">
        <f>F597</f>
        <v>1</v>
      </c>
      <c r="H597" s="287">
        <f t="shared" ref="H597:J597" si="1460">G597</f>
        <v>1</v>
      </c>
      <c r="I597" s="287">
        <f t="shared" si="1460"/>
        <v>1</v>
      </c>
      <c r="J597" s="287">
        <f t="shared" si="1460"/>
        <v>1</v>
      </c>
      <c r="K597" s="287">
        <f t="shared" ref="K597" si="1461">J597</f>
        <v>1</v>
      </c>
      <c r="L597" s="287">
        <f t="shared" ref="L597" si="1462">K597</f>
        <v>1</v>
      </c>
      <c r="M597" s="167"/>
      <c r="N597" s="94"/>
      <c r="O597" s="1316"/>
      <c r="S597" s="95"/>
      <c r="T597" s="1103"/>
    </row>
    <row r="598" spans="1:20">
      <c r="A598" s="160" t="s">
        <v>653</v>
      </c>
      <c r="B598" s="291" t="s">
        <v>825</v>
      </c>
      <c r="C598" s="154"/>
      <c r="D598" s="154"/>
      <c r="E598" s="89">
        <f>E596*E597</f>
        <v>6.6096000000000004</v>
      </c>
      <c r="F598" s="89">
        <f t="shared" ref="F598:J598" si="1463">F596*F597</f>
        <v>7.0226999999999995</v>
      </c>
      <c r="G598" s="89">
        <f t="shared" si="1463"/>
        <v>7.1603999999999992</v>
      </c>
      <c r="H598" s="89">
        <f t="shared" si="1463"/>
        <v>7.8488999999999995</v>
      </c>
      <c r="I598" s="89">
        <f t="shared" si="1463"/>
        <v>8.1395999999999997</v>
      </c>
      <c r="J598" s="89">
        <f t="shared" si="1463"/>
        <v>8.1395999999999997</v>
      </c>
      <c r="K598" s="89">
        <f t="shared" ref="K598:L598" si="1464">K596*K597</f>
        <v>8.1395999999999997</v>
      </c>
      <c r="L598" s="89">
        <f t="shared" si="1464"/>
        <v>7.8488999999999995</v>
      </c>
      <c r="M598" s="167">
        <f t="shared" ref="M598" si="1465">SUM(F598:H598)</f>
        <v>22.032</v>
      </c>
      <c r="N598" s="94">
        <f t="shared" ref="N598" si="1466">SUM(F598:J598)</f>
        <v>38.311199999999999</v>
      </c>
      <c r="O598" s="1316">
        <f t="shared" si="1298"/>
        <v>32.267699999999998</v>
      </c>
      <c r="S598" s="95"/>
      <c r="T598" s="1103"/>
    </row>
    <row r="599" spans="1:20">
      <c r="A599" s="162">
        <v>5.7</v>
      </c>
      <c r="B599" s="161" t="s">
        <v>474</v>
      </c>
      <c r="C599" s="154"/>
      <c r="D599" s="154"/>
      <c r="E599" s="89"/>
      <c r="F599" s="89"/>
      <c r="G599" s="89"/>
      <c r="H599" s="89"/>
      <c r="I599" s="89"/>
      <c r="J599" s="89"/>
      <c r="K599" s="89"/>
      <c r="L599" s="89"/>
      <c r="M599" s="167"/>
      <c r="N599" s="94"/>
      <c r="O599" s="1316">
        <f t="shared" si="1298"/>
        <v>0</v>
      </c>
      <c r="S599" s="95"/>
      <c r="T599" s="1103"/>
    </row>
    <row r="600" spans="1:20">
      <c r="A600" s="160" t="s">
        <v>654</v>
      </c>
      <c r="B600" s="291" t="s">
        <v>312</v>
      </c>
      <c r="C600" s="266"/>
      <c r="D600" s="266"/>
      <c r="E600" s="89">
        <f t="shared" ref="E600:J600" si="1467">E187</f>
        <v>27</v>
      </c>
      <c r="F600" s="89">
        <f t="shared" si="1467"/>
        <v>27</v>
      </c>
      <c r="G600" s="89">
        <f t="shared" si="1467"/>
        <v>26</v>
      </c>
      <c r="H600" s="89">
        <f t="shared" si="1467"/>
        <v>27</v>
      </c>
      <c r="I600" s="89">
        <f t="shared" si="1467"/>
        <v>28</v>
      </c>
      <c r="J600" s="89">
        <f t="shared" si="1467"/>
        <v>28</v>
      </c>
      <c r="K600" s="89">
        <f t="shared" ref="K600:L600" si="1468">K187</f>
        <v>28</v>
      </c>
      <c r="L600" s="89">
        <f t="shared" si="1468"/>
        <v>27</v>
      </c>
      <c r="M600" s="167">
        <f t="shared" ref="M600" si="1469">SUM(F600:H600)</f>
        <v>80</v>
      </c>
      <c r="N600" s="94">
        <f t="shared" ref="N600" si="1470">SUM(F600:J600)</f>
        <v>136</v>
      </c>
      <c r="O600" s="1316">
        <f t="shared" si="1298"/>
        <v>111</v>
      </c>
      <c r="S600" s="95"/>
      <c r="T600" s="1103"/>
    </row>
    <row r="601" spans="1:20">
      <c r="A601" s="160" t="s">
        <v>655</v>
      </c>
      <c r="B601" s="291" t="s">
        <v>509</v>
      </c>
      <c r="C601" s="266"/>
      <c r="D601" s="266"/>
      <c r="E601" s="152">
        <v>0</v>
      </c>
      <c r="F601" s="152">
        <f>E601</f>
        <v>0</v>
      </c>
      <c r="G601" s="152">
        <f t="shared" ref="G601:J601" si="1471">F601</f>
        <v>0</v>
      </c>
      <c r="H601" s="152">
        <f t="shared" si="1471"/>
        <v>0</v>
      </c>
      <c r="I601" s="152">
        <f t="shared" si="1471"/>
        <v>0</v>
      </c>
      <c r="J601" s="152">
        <f t="shared" si="1471"/>
        <v>0</v>
      </c>
      <c r="K601" s="152">
        <f t="shared" ref="K601" si="1472">J601</f>
        <v>0</v>
      </c>
      <c r="L601" s="152">
        <f t="shared" ref="L601" si="1473">K601</f>
        <v>0</v>
      </c>
      <c r="M601" s="167"/>
      <c r="N601" s="94"/>
      <c r="O601" s="1316">
        <f t="shared" si="1298"/>
        <v>0</v>
      </c>
      <c r="S601" s="95"/>
      <c r="T601" s="1103"/>
    </row>
    <row r="602" spans="1:20">
      <c r="A602" s="160" t="s">
        <v>656</v>
      </c>
      <c r="B602" s="291" t="s">
        <v>510</v>
      </c>
      <c r="C602" s="154"/>
      <c r="D602" s="154"/>
      <c r="E602" s="89">
        <f>E600*E601</f>
        <v>0</v>
      </c>
      <c r="F602" s="89">
        <f t="shared" ref="F602:J602" si="1474">F600*F601</f>
        <v>0</v>
      </c>
      <c r="G602" s="89">
        <f t="shared" si="1474"/>
        <v>0</v>
      </c>
      <c r="H602" s="89">
        <f t="shared" si="1474"/>
        <v>0</v>
      </c>
      <c r="I602" s="89">
        <f t="shared" si="1474"/>
        <v>0</v>
      </c>
      <c r="J602" s="89">
        <f t="shared" si="1474"/>
        <v>0</v>
      </c>
      <c r="K602" s="89">
        <f t="shared" ref="K602:L602" si="1475">K600*K601</f>
        <v>0</v>
      </c>
      <c r="L602" s="89">
        <f t="shared" si="1475"/>
        <v>0</v>
      </c>
      <c r="M602" s="167">
        <f t="shared" ref="M602" si="1476">SUM(F602:H602)</f>
        <v>0</v>
      </c>
      <c r="N602" s="94">
        <f t="shared" ref="N602" si="1477">SUM(F602:J602)</f>
        <v>0</v>
      </c>
      <c r="O602" s="1316">
        <f t="shared" si="1298"/>
        <v>0</v>
      </c>
      <c r="S602" s="95"/>
      <c r="T602" s="1103"/>
    </row>
    <row r="603" spans="1:20">
      <c r="A603" s="160" t="s">
        <v>657</v>
      </c>
      <c r="B603" s="291" t="s">
        <v>455</v>
      </c>
      <c r="C603" s="266"/>
      <c r="D603" s="154"/>
      <c r="E603" s="152">
        <f t="shared" ref="E603:J603" si="1478">E238</f>
        <v>0.7</v>
      </c>
      <c r="F603" s="152">
        <f t="shared" si="1478"/>
        <v>0.8</v>
      </c>
      <c r="G603" s="152">
        <f t="shared" si="1478"/>
        <v>0.85</v>
      </c>
      <c r="H603" s="152">
        <f t="shared" si="1478"/>
        <v>0.95</v>
      </c>
      <c r="I603" s="152">
        <f t="shared" si="1478"/>
        <v>0.95</v>
      </c>
      <c r="J603" s="152">
        <f t="shared" si="1478"/>
        <v>0.95</v>
      </c>
      <c r="K603" s="152">
        <f t="shared" ref="K603:L603" si="1479">K238</f>
        <v>0.95</v>
      </c>
      <c r="L603" s="152">
        <f t="shared" si="1479"/>
        <v>0.95</v>
      </c>
      <c r="M603" s="167"/>
      <c r="N603" s="94"/>
      <c r="O603" s="1316"/>
      <c r="S603" s="95"/>
      <c r="T603" s="1103"/>
    </row>
    <row r="604" spans="1:20">
      <c r="A604" s="160" t="s">
        <v>658</v>
      </c>
      <c r="B604" s="291" t="s">
        <v>511</v>
      </c>
      <c r="C604" s="266"/>
      <c r="D604" s="154"/>
      <c r="E604" s="89">
        <f>E602*E603</f>
        <v>0</v>
      </c>
      <c r="F604" s="89">
        <f t="shared" ref="F604:J604" si="1480">F602*F603</f>
        <v>0</v>
      </c>
      <c r="G604" s="89">
        <f t="shared" si="1480"/>
        <v>0</v>
      </c>
      <c r="H604" s="89">
        <f t="shared" si="1480"/>
        <v>0</v>
      </c>
      <c r="I604" s="89">
        <f t="shared" si="1480"/>
        <v>0</v>
      </c>
      <c r="J604" s="89">
        <f t="shared" si="1480"/>
        <v>0</v>
      </c>
      <c r="K604" s="89">
        <f t="shared" ref="K604:L604" si="1481">K602*K603</f>
        <v>0</v>
      </c>
      <c r="L604" s="89">
        <f t="shared" si="1481"/>
        <v>0</v>
      </c>
      <c r="M604" s="167">
        <f t="shared" ref="M604" si="1482">SUM(F604:H604)</f>
        <v>0</v>
      </c>
      <c r="N604" s="94">
        <f t="shared" ref="N604" si="1483">SUM(F604:J604)</f>
        <v>0</v>
      </c>
      <c r="O604" s="1316">
        <f t="shared" ref="O604:O667" si="1484">I604+J604+K604+L604</f>
        <v>0</v>
      </c>
      <c r="S604" s="95"/>
      <c r="T604" s="1103"/>
    </row>
    <row r="605" spans="1:20">
      <c r="A605" s="160" t="s">
        <v>659</v>
      </c>
      <c r="B605" s="293" t="s">
        <v>478</v>
      </c>
      <c r="C605" s="154"/>
      <c r="D605" s="154"/>
      <c r="E605" s="152">
        <f t="shared" ref="E605:J605" si="1485">E258</f>
        <v>0.1</v>
      </c>
      <c r="F605" s="152">
        <f t="shared" si="1485"/>
        <v>0.1</v>
      </c>
      <c r="G605" s="152">
        <f t="shared" si="1485"/>
        <v>0.1</v>
      </c>
      <c r="H605" s="152">
        <f t="shared" si="1485"/>
        <v>0.1</v>
      </c>
      <c r="I605" s="152">
        <f t="shared" si="1485"/>
        <v>0.1</v>
      </c>
      <c r="J605" s="152">
        <f t="shared" si="1485"/>
        <v>0.1</v>
      </c>
      <c r="K605" s="152">
        <f t="shared" ref="K605:L605" si="1486">K258</f>
        <v>0.1</v>
      </c>
      <c r="L605" s="152">
        <f t="shared" si="1486"/>
        <v>0.1</v>
      </c>
      <c r="M605" s="167"/>
      <c r="N605" s="94"/>
      <c r="O605" s="1316">
        <f t="shared" si="1484"/>
        <v>0.4</v>
      </c>
      <c r="S605" s="95"/>
      <c r="T605" s="1103"/>
    </row>
    <row r="606" spans="1:20">
      <c r="A606" s="160" t="s">
        <v>660</v>
      </c>
      <c r="B606" s="291" t="s">
        <v>479</v>
      </c>
      <c r="C606" s="266"/>
      <c r="D606" s="266"/>
      <c r="E606" s="89">
        <f>E604+E604*E605</f>
        <v>0</v>
      </c>
      <c r="F606" s="89">
        <f t="shared" ref="F606:J606" si="1487">F604+F604*F605</f>
        <v>0</v>
      </c>
      <c r="G606" s="89">
        <f t="shared" si="1487"/>
        <v>0</v>
      </c>
      <c r="H606" s="89">
        <f t="shared" si="1487"/>
        <v>0</v>
      </c>
      <c r="I606" s="89">
        <f t="shared" si="1487"/>
        <v>0</v>
      </c>
      <c r="J606" s="89">
        <f t="shared" si="1487"/>
        <v>0</v>
      </c>
      <c r="K606" s="89">
        <f t="shared" ref="K606:L606" si="1488">K604+K604*K605</f>
        <v>0</v>
      </c>
      <c r="L606" s="89">
        <f t="shared" si="1488"/>
        <v>0</v>
      </c>
      <c r="M606" s="167">
        <f t="shared" ref="M606" si="1489">SUM(F606:H606)</f>
        <v>0</v>
      </c>
      <c r="N606" s="94">
        <f t="shared" ref="N606" si="1490">SUM(F606:J606)</f>
        <v>0</v>
      </c>
      <c r="O606" s="1316">
        <f t="shared" si="1484"/>
        <v>0</v>
      </c>
      <c r="S606" s="95"/>
      <c r="T606" s="1103"/>
    </row>
    <row r="607" spans="1:20">
      <c r="A607" s="160" t="s">
        <v>661</v>
      </c>
      <c r="B607" s="291" t="s">
        <v>826</v>
      </c>
      <c r="C607" s="266"/>
      <c r="D607" s="266"/>
      <c r="E607" s="287">
        <f t="shared" ref="E607:J607" si="1491">E260</f>
        <v>1</v>
      </c>
      <c r="F607" s="287">
        <f t="shared" si="1491"/>
        <v>1</v>
      </c>
      <c r="G607" s="287">
        <f t="shared" si="1491"/>
        <v>1</v>
      </c>
      <c r="H607" s="287">
        <f t="shared" si="1491"/>
        <v>1</v>
      </c>
      <c r="I607" s="287">
        <f t="shared" si="1491"/>
        <v>1</v>
      </c>
      <c r="J607" s="287">
        <f t="shared" si="1491"/>
        <v>1</v>
      </c>
      <c r="K607" s="287">
        <f t="shared" ref="K607:L607" si="1492">K260</f>
        <v>1</v>
      </c>
      <c r="L607" s="287">
        <f t="shared" si="1492"/>
        <v>1</v>
      </c>
      <c r="M607" s="167"/>
      <c r="N607" s="94"/>
      <c r="O607" s="1316"/>
      <c r="S607" s="95"/>
      <c r="T607" s="1103"/>
    </row>
    <row r="608" spans="1:20">
      <c r="A608" s="160" t="s">
        <v>662</v>
      </c>
      <c r="B608" s="291" t="s">
        <v>827</v>
      </c>
      <c r="C608" s="154"/>
      <c r="D608" s="154"/>
      <c r="E608" s="89">
        <f>E606*E607</f>
        <v>0</v>
      </c>
      <c r="F608" s="89">
        <f t="shared" ref="F608:J608" si="1493">F606*F607</f>
        <v>0</v>
      </c>
      <c r="G608" s="89">
        <f t="shared" si="1493"/>
        <v>0</v>
      </c>
      <c r="H608" s="89">
        <f t="shared" si="1493"/>
        <v>0</v>
      </c>
      <c r="I608" s="89">
        <f t="shared" si="1493"/>
        <v>0</v>
      </c>
      <c r="J608" s="89">
        <f t="shared" si="1493"/>
        <v>0</v>
      </c>
      <c r="K608" s="89">
        <f t="shared" ref="K608:L608" si="1494">K606*K607</f>
        <v>0</v>
      </c>
      <c r="L608" s="89">
        <f t="shared" si="1494"/>
        <v>0</v>
      </c>
      <c r="M608" s="167">
        <f t="shared" ref="M608" si="1495">SUM(F608:H608)</f>
        <v>0</v>
      </c>
      <c r="N608" s="94">
        <f t="shared" ref="N608" si="1496">SUM(F608:J608)</f>
        <v>0</v>
      </c>
      <c r="O608" s="1316">
        <f t="shared" si="1484"/>
        <v>0</v>
      </c>
      <c r="S608" s="95"/>
      <c r="T608" s="1103"/>
    </row>
    <row r="609" spans="1:20">
      <c r="A609" s="183">
        <v>6</v>
      </c>
      <c r="B609" s="179" t="str">
        <f>B188</f>
        <v>Other treatment and palliative care</v>
      </c>
      <c r="C609" s="290"/>
      <c r="D609" s="290"/>
      <c r="E609" s="184"/>
      <c r="F609" s="184"/>
      <c r="G609" s="184"/>
      <c r="H609" s="184"/>
      <c r="I609" s="184"/>
      <c r="J609" s="184"/>
      <c r="K609" s="184"/>
      <c r="L609" s="184"/>
      <c r="M609" s="180"/>
      <c r="N609" s="181"/>
      <c r="O609" s="1316">
        <f t="shared" si="1484"/>
        <v>0</v>
      </c>
      <c r="S609" s="95"/>
      <c r="T609" s="1103"/>
    </row>
    <row r="610" spans="1:20">
      <c r="A610" s="162">
        <v>6.1</v>
      </c>
      <c r="B610" s="159" t="s">
        <v>284</v>
      </c>
      <c r="C610" s="154"/>
      <c r="D610" s="154"/>
      <c r="E610" s="89"/>
      <c r="F610" s="89"/>
      <c r="G610" s="89"/>
      <c r="H610" s="89"/>
      <c r="I610" s="89"/>
      <c r="J610" s="89"/>
      <c r="K610" s="89"/>
      <c r="L610" s="89"/>
      <c r="M610" s="167"/>
      <c r="N610" s="94"/>
      <c r="O610" s="1316">
        <f t="shared" si="1484"/>
        <v>0</v>
      </c>
      <c r="S610" s="95"/>
      <c r="T610" s="1103"/>
    </row>
    <row r="611" spans="1:20">
      <c r="A611" s="160" t="s">
        <v>665</v>
      </c>
      <c r="B611" s="291" t="s">
        <v>312</v>
      </c>
      <c r="C611" s="266"/>
      <c r="D611" s="266"/>
      <c r="E611" s="89">
        <f t="shared" ref="E611:J611" si="1497">E188</f>
        <v>8</v>
      </c>
      <c r="F611" s="89">
        <f t="shared" si="1497"/>
        <v>7.9999999999995453</v>
      </c>
      <c r="G611" s="89">
        <f t="shared" si="1497"/>
        <v>8.9999999999995453</v>
      </c>
      <c r="H611" s="89">
        <f t="shared" si="1497"/>
        <v>9</v>
      </c>
      <c r="I611" s="89">
        <f t="shared" si="1497"/>
        <v>8.0000000000004547</v>
      </c>
      <c r="J611" s="89">
        <f t="shared" si="1497"/>
        <v>9</v>
      </c>
      <c r="K611" s="89">
        <f t="shared" ref="K611:L611" si="1498">K188</f>
        <v>8</v>
      </c>
      <c r="L611" s="89">
        <f t="shared" si="1498"/>
        <v>9</v>
      </c>
      <c r="M611" s="167">
        <f t="shared" ref="M611" si="1499">SUM(F611:H611)</f>
        <v>25.999999999999091</v>
      </c>
      <c r="N611" s="94">
        <f t="shared" ref="N611" si="1500">SUM(F611:J611)</f>
        <v>42.999999999999545</v>
      </c>
      <c r="O611" s="1316">
        <f t="shared" si="1484"/>
        <v>34.000000000000455</v>
      </c>
      <c r="S611" s="95"/>
      <c r="T611" s="1103"/>
    </row>
    <row r="612" spans="1:20">
      <c r="A612" s="160" t="s">
        <v>666</v>
      </c>
      <c r="B612" s="291" t="s">
        <v>313</v>
      </c>
      <c r="C612" s="154"/>
      <c r="D612" s="154"/>
      <c r="E612" s="89">
        <v>2</v>
      </c>
      <c r="F612" s="89">
        <f>E612</f>
        <v>2</v>
      </c>
      <c r="G612" s="89">
        <f t="shared" ref="G612:J613" si="1501">F612</f>
        <v>2</v>
      </c>
      <c r="H612" s="89">
        <f t="shared" si="1501"/>
        <v>2</v>
      </c>
      <c r="I612" s="89">
        <f t="shared" si="1501"/>
        <v>2</v>
      </c>
      <c r="J612" s="89">
        <f t="shared" si="1501"/>
        <v>2</v>
      </c>
      <c r="K612" s="89">
        <f t="shared" ref="K612:K613" si="1502">J612</f>
        <v>2</v>
      </c>
      <c r="L612" s="89">
        <f t="shared" ref="L612:L613" si="1503">K612</f>
        <v>2</v>
      </c>
      <c r="M612" s="167"/>
      <c r="N612" s="94"/>
      <c r="O612" s="1316"/>
      <c r="S612" s="95"/>
      <c r="T612" s="1103"/>
    </row>
    <row r="613" spans="1:20">
      <c r="A613" s="160" t="s">
        <v>667</v>
      </c>
      <c r="B613" s="291" t="s">
        <v>418</v>
      </c>
      <c r="C613" s="154"/>
      <c r="D613" s="154"/>
      <c r="E613" s="272">
        <v>0.9</v>
      </c>
      <c r="F613" s="272">
        <f>E613</f>
        <v>0.9</v>
      </c>
      <c r="G613" s="272">
        <f t="shared" si="1501"/>
        <v>0.9</v>
      </c>
      <c r="H613" s="272">
        <f t="shared" si="1501"/>
        <v>0.9</v>
      </c>
      <c r="I613" s="272">
        <f t="shared" si="1501"/>
        <v>0.9</v>
      </c>
      <c r="J613" s="272">
        <f t="shared" si="1501"/>
        <v>0.9</v>
      </c>
      <c r="K613" s="272">
        <f t="shared" si="1502"/>
        <v>0.9</v>
      </c>
      <c r="L613" s="272">
        <f t="shared" si="1503"/>
        <v>0.9</v>
      </c>
      <c r="M613" s="167"/>
      <c r="N613" s="94"/>
      <c r="O613" s="1316"/>
      <c r="S613" s="95"/>
      <c r="T613" s="1103"/>
    </row>
    <row r="614" spans="1:20">
      <c r="A614" s="160" t="s">
        <v>668</v>
      </c>
      <c r="B614" s="291" t="s">
        <v>288</v>
      </c>
      <c r="C614" s="154"/>
      <c r="D614" s="154"/>
      <c r="E614" s="152">
        <f t="shared" ref="E614:L614" si="1504">E204/2</f>
        <v>0.06</v>
      </c>
      <c r="F614" s="152">
        <f t="shared" si="1504"/>
        <v>5.5E-2</v>
      </c>
      <c r="G614" s="152">
        <f t="shared" si="1504"/>
        <v>0.05</v>
      </c>
      <c r="H614" s="152">
        <f t="shared" si="1504"/>
        <v>0.05</v>
      </c>
      <c r="I614" s="152">
        <f t="shared" si="1504"/>
        <v>0.05</v>
      </c>
      <c r="J614" s="152">
        <f t="shared" si="1504"/>
        <v>0.05</v>
      </c>
      <c r="K614" s="152">
        <f t="shared" si="1504"/>
        <v>0.05</v>
      </c>
      <c r="L614" s="152">
        <f t="shared" si="1504"/>
        <v>0.05</v>
      </c>
      <c r="M614" s="167"/>
      <c r="N614" s="94"/>
      <c r="O614" s="1316"/>
      <c r="S614" s="95"/>
      <c r="T614" s="1103"/>
    </row>
    <row r="615" spans="1:20">
      <c r="A615" s="160" t="s">
        <v>669</v>
      </c>
      <c r="B615" s="291" t="s">
        <v>286</v>
      </c>
      <c r="C615" s="154"/>
      <c r="D615" s="154"/>
      <c r="E615" s="272">
        <f t="shared" ref="E615:J615" si="1505">E202</f>
        <v>0.95</v>
      </c>
      <c r="F615" s="272">
        <f t="shared" si="1505"/>
        <v>0.95</v>
      </c>
      <c r="G615" s="272">
        <f t="shared" si="1505"/>
        <v>0.95</v>
      </c>
      <c r="H615" s="272">
        <f t="shared" si="1505"/>
        <v>0.95</v>
      </c>
      <c r="I615" s="272">
        <f t="shared" si="1505"/>
        <v>0.95</v>
      </c>
      <c r="J615" s="272">
        <f t="shared" si="1505"/>
        <v>0.95</v>
      </c>
      <c r="K615" s="272">
        <f t="shared" ref="K615:L615" si="1506">K202</f>
        <v>0.95</v>
      </c>
      <c r="L615" s="272">
        <f t="shared" si="1506"/>
        <v>0.95</v>
      </c>
      <c r="M615" s="167"/>
      <c r="N615" s="94"/>
      <c r="O615" s="1316"/>
      <c r="S615" s="95"/>
      <c r="T615" s="1103"/>
    </row>
    <row r="616" spans="1:20">
      <c r="A616" s="160" t="s">
        <v>670</v>
      </c>
      <c r="B616" s="291" t="s">
        <v>289</v>
      </c>
      <c r="C616" s="266"/>
      <c r="D616" s="266"/>
      <c r="E616" s="89">
        <f>E611*E612*E613*(1+E614)*E615</f>
        <v>14.5008</v>
      </c>
      <c r="F616" s="89">
        <f t="shared" ref="F616:J616" si="1507">F611*F612*F613*(1+F614)*F615</f>
        <v>14.432399999999177</v>
      </c>
      <c r="G616" s="89">
        <f t="shared" si="1507"/>
        <v>16.159499999999184</v>
      </c>
      <c r="H616" s="89">
        <f t="shared" si="1507"/>
        <v>16.159500000000001</v>
      </c>
      <c r="I616" s="89">
        <f t="shared" si="1507"/>
        <v>14.364000000000818</v>
      </c>
      <c r="J616" s="89">
        <f t="shared" si="1507"/>
        <v>16.159500000000001</v>
      </c>
      <c r="K616" s="89">
        <f t="shared" ref="K616:L616" si="1508">K611*K612*K613*(1+K614)*K615</f>
        <v>14.364000000000001</v>
      </c>
      <c r="L616" s="89">
        <f t="shared" si="1508"/>
        <v>16.159500000000001</v>
      </c>
      <c r="M616" s="167">
        <f t="shared" ref="M616" si="1509">SUM(F616:H616)</f>
        <v>46.751399999998362</v>
      </c>
      <c r="N616" s="94">
        <f t="shared" ref="N616" si="1510">SUM(F616:J616)</f>
        <v>77.274899999999178</v>
      </c>
      <c r="O616" s="1316">
        <f t="shared" si="1484"/>
        <v>61.047000000000821</v>
      </c>
      <c r="S616" s="95"/>
      <c r="T616" s="1103"/>
    </row>
    <row r="617" spans="1:20">
      <c r="A617" s="160" t="s">
        <v>671</v>
      </c>
      <c r="B617" s="291" t="s">
        <v>239</v>
      </c>
      <c r="C617" s="266"/>
      <c r="D617" s="266"/>
      <c r="E617" s="287">
        <f t="shared" ref="E617:J617" si="1511">E206</f>
        <v>1.9</v>
      </c>
      <c r="F617" s="287">
        <f t="shared" si="1511"/>
        <v>1.6</v>
      </c>
      <c r="G617" s="287">
        <f t="shared" si="1511"/>
        <v>1.2</v>
      </c>
      <c r="H617" s="287">
        <f t="shared" si="1511"/>
        <v>1</v>
      </c>
      <c r="I617" s="287">
        <f t="shared" si="1511"/>
        <v>1</v>
      </c>
      <c r="J617" s="287">
        <f t="shared" si="1511"/>
        <v>1</v>
      </c>
      <c r="K617" s="287">
        <f t="shared" ref="K617:L617" si="1512">K206</f>
        <v>1</v>
      </c>
      <c r="L617" s="287">
        <f t="shared" si="1512"/>
        <v>1</v>
      </c>
      <c r="M617" s="167"/>
      <c r="N617" s="94"/>
      <c r="O617" s="1316"/>
      <c r="S617" s="95"/>
      <c r="T617" s="1103"/>
    </row>
    <row r="618" spans="1:20">
      <c r="A618" s="160" t="s">
        <v>672</v>
      </c>
      <c r="B618" s="291" t="s">
        <v>290</v>
      </c>
      <c r="C618" s="154"/>
      <c r="D618" s="154"/>
      <c r="E618" s="89">
        <f>E616*E617</f>
        <v>27.55152</v>
      </c>
      <c r="F618" s="89">
        <f t="shared" ref="F618:J618" si="1513">F616*F617</f>
        <v>23.091839999998683</v>
      </c>
      <c r="G618" s="89">
        <f t="shared" si="1513"/>
        <v>19.39139999999902</v>
      </c>
      <c r="H618" s="89">
        <f t="shared" si="1513"/>
        <v>16.159500000000001</v>
      </c>
      <c r="I618" s="89">
        <f t="shared" si="1513"/>
        <v>14.364000000000818</v>
      </c>
      <c r="J618" s="89">
        <f t="shared" si="1513"/>
        <v>16.159500000000001</v>
      </c>
      <c r="K618" s="89">
        <f t="shared" ref="K618:L618" si="1514">K616*K617</f>
        <v>14.364000000000001</v>
      </c>
      <c r="L618" s="89">
        <f t="shared" si="1514"/>
        <v>16.159500000000001</v>
      </c>
      <c r="M618" s="167">
        <f t="shared" ref="M618" si="1515">SUM(F618:H618)</f>
        <v>58.642739999997708</v>
      </c>
      <c r="N618" s="94">
        <f t="shared" ref="N618" si="1516">SUM(F618:J618)</f>
        <v>89.166239999998538</v>
      </c>
      <c r="O618" s="1316">
        <f t="shared" si="1484"/>
        <v>61.047000000000821</v>
      </c>
      <c r="S618" s="95"/>
      <c r="T618" s="1103"/>
    </row>
    <row r="619" spans="1:20">
      <c r="A619" s="162">
        <v>6.2</v>
      </c>
      <c r="B619" s="159" t="s">
        <v>292</v>
      </c>
      <c r="C619" s="154"/>
      <c r="D619" s="154"/>
      <c r="E619" s="89"/>
      <c r="F619" s="89"/>
      <c r="G619" s="89"/>
      <c r="H619" s="89"/>
      <c r="I619" s="89"/>
      <c r="J619" s="89"/>
      <c r="K619" s="89"/>
      <c r="L619" s="89"/>
      <c r="M619" s="167"/>
      <c r="N619" s="94"/>
      <c r="O619" s="1316">
        <f t="shared" si="1484"/>
        <v>0</v>
      </c>
      <c r="S619" s="95"/>
      <c r="T619" s="1103"/>
    </row>
    <row r="620" spans="1:20">
      <c r="A620" s="160" t="s">
        <v>673</v>
      </c>
      <c r="B620" s="291" t="s">
        <v>312</v>
      </c>
      <c r="C620" s="266"/>
      <c r="D620" s="266"/>
      <c r="E620" s="89">
        <f t="shared" ref="E620:J620" si="1517">E188</f>
        <v>8</v>
      </c>
      <c r="F620" s="89">
        <f t="shared" si="1517"/>
        <v>7.9999999999995453</v>
      </c>
      <c r="G620" s="89">
        <f t="shared" si="1517"/>
        <v>8.9999999999995453</v>
      </c>
      <c r="H620" s="89">
        <f t="shared" si="1517"/>
        <v>9</v>
      </c>
      <c r="I620" s="89">
        <f t="shared" si="1517"/>
        <v>8.0000000000004547</v>
      </c>
      <c r="J620" s="89">
        <f t="shared" si="1517"/>
        <v>9</v>
      </c>
      <c r="K620" s="89">
        <f t="shared" ref="K620:L620" si="1518">K188</f>
        <v>8</v>
      </c>
      <c r="L620" s="89">
        <f t="shared" si="1518"/>
        <v>9</v>
      </c>
      <c r="M620" s="167">
        <f t="shared" ref="M620" si="1519">SUM(F620:H620)</f>
        <v>25.999999999999091</v>
      </c>
      <c r="N620" s="94">
        <f t="shared" ref="N620" si="1520">SUM(F620:J620)</f>
        <v>42.999999999999545</v>
      </c>
      <c r="O620" s="1316">
        <f t="shared" si="1484"/>
        <v>34.000000000000455</v>
      </c>
      <c r="S620" s="95"/>
      <c r="T620" s="1103"/>
    </row>
    <row r="621" spans="1:20">
      <c r="A621" s="160" t="s">
        <v>674</v>
      </c>
      <c r="B621" s="291" t="s">
        <v>324</v>
      </c>
      <c r="C621" s="266"/>
      <c r="D621" s="266"/>
      <c r="E621" s="272">
        <f t="shared" ref="E621:J621" si="1521">E483</f>
        <v>0</v>
      </c>
      <c r="F621" s="272">
        <f t="shared" si="1521"/>
        <v>0</v>
      </c>
      <c r="G621" s="272">
        <f t="shared" si="1521"/>
        <v>0</v>
      </c>
      <c r="H621" s="272">
        <f t="shared" si="1521"/>
        <v>0</v>
      </c>
      <c r="I621" s="272">
        <f t="shared" si="1521"/>
        <v>0</v>
      </c>
      <c r="J621" s="272">
        <f t="shared" si="1521"/>
        <v>0</v>
      </c>
      <c r="K621" s="272">
        <f t="shared" ref="K621:L621" si="1522">K483</f>
        <v>0</v>
      </c>
      <c r="L621" s="272">
        <f t="shared" si="1522"/>
        <v>0</v>
      </c>
      <c r="M621" s="167"/>
      <c r="N621" s="94"/>
      <c r="O621" s="1316">
        <f t="shared" si="1484"/>
        <v>0</v>
      </c>
      <c r="S621" s="95"/>
      <c r="T621" s="1103"/>
    </row>
    <row r="622" spans="1:20">
      <c r="A622" s="160" t="s">
        <v>675</v>
      </c>
      <c r="B622" s="291" t="s">
        <v>314</v>
      </c>
      <c r="C622" s="154"/>
      <c r="D622" s="154"/>
      <c r="E622" s="89">
        <f>E620*E621</f>
        <v>0</v>
      </c>
      <c r="F622" s="89">
        <f t="shared" ref="F622:J622" si="1523">F620*F621</f>
        <v>0</v>
      </c>
      <c r="G622" s="89">
        <f t="shared" si="1523"/>
        <v>0</v>
      </c>
      <c r="H622" s="89">
        <f t="shared" si="1523"/>
        <v>0</v>
      </c>
      <c r="I622" s="89">
        <f t="shared" si="1523"/>
        <v>0</v>
      </c>
      <c r="J622" s="89">
        <f t="shared" si="1523"/>
        <v>0</v>
      </c>
      <c r="K622" s="89">
        <f t="shared" ref="K622:L622" si="1524">K620*K621</f>
        <v>0</v>
      </c>
      <c r="L622" s="89">
        <f t="shared" si="1524"/>
        <v>0</v>
      </c>
      <c r="M622" s="167">
        <f t="shared" ref="M622" si="1525">SUM(F622:H622)</f>
        <v>0</v>
      </c>
      <c r="N622" s="94">
        <f t="shared" ref="N622" si="1526">SUM(F622:J622)</f>
        <v>0</v>
      </c>
      <c r="O622" s="1316">
        <f t="shared" si="1484"/>
        <v>0</v>
      </c>
      <c r="S622" s="95"/>
      <c r="T622" s="1103"/>
    </row>
    <row r="623" spans="1:20">
      <c r="A623" s="160" t="s">
        <v>676</v>
      </c>
      <c r="B623" s="291" t="s">
        <v>298</v>
      </c>
      <c r="C623" s="154"/>
      <c r="D623" s="154"/>
      <c r="E623" s="152">
        <f t="shared" ref="E623:J623" si="1527">E213/2</f>
        <v>0.06</v>
      </c>
      <c r="F623" s="152">
        <f t="shared" si="1527"/>
        <v>5.5E-2</v>
      </c>
      <c r="G623" s="152">
        <f t="shared" si="1527"/>
        <v>0.05</v>
      </c>
      <c r="H623" s="152">
        <f t="shared" si="1527"/>
        <v>4.4999999999999998E-2</v>
      </c>
      <c r="I623" s="152">
        <f t="shared" si="1527"/>
        <v>4.2500000000000003E-2</v>
      </c>
      <c r="J623" s="152">
        <f t="shared" si="1527"/>
        <v>0.04</v>
      </c>
      <c r="K623" s="152">
        <f t="shared" ref="K623:L623" si="1528">K213/2</f>
        <v>0.04</v>
      </c>
      <c r="L623" s="152">
        <f t="shared" si="1528"/>
        <v>0.04</v>
      </c>
      <c r="M623" s="167"/>
      <c r="N623" s="94"/>
      <c r="O623" s="1316"/>
      <c r="S623" s="95"/>
      <c r="T623" s="1103"/>
    </row>
    <row r="624" spans="1:20">
      <c r="A624" s="160" t="s">
        <v>677</v>
      </c>
      <c r="B624" s="291" t="s">
        <v>296</v>
      </c>
      <c r="C624" s="154"/>
      <c r="D624" s="154"/>
      <c r="E624" s="272">
        <f t="shared" ref="E624:J624" si="1529">E211</f>
        <v>0.5</v>
      </c>
      <c r="F624" s="272">
        <f t="shared" si="1529"/>
        <v>0.7</v>
      </c>
      <c r="G624" s="272">
        <f t="shared" si="1529"/>
        <v>0.8</v>
      </c>
      <c r="H624" s="272">
        <f t="shared" si="1529"/>
        <v>0.85</v>
      </c>
      <c r="I624" s="272">
        <f t="shared" si="1529"/>
        <v>0.9</v>
      </c>
      <c r="J624" s="272">
        <f t="shared" si="1529"/>
        <v>0.95</v>
      </c>
      <c r="K624" s="272">
        <f>K211</f>
        <v>0.95</v>
      </c>
      <c r="L624" s="272">
        <f>L211</f>
        <v>0.95</v>
      </c>
      <c r="M624" s="167"/>
      <c r="N624" s="94"/>
      <c r="O624" s="1316"/>
      <c r="S624" s="95"/>
      <c r="T624" s="1103"/>
    </row>
    <row r="625" spans="1:20">
      <c r="A625" s="160" t="s">
        <v>678</v>
      </c>
      <c r="B625" s="291" t="s">
        <v>299</v>
      </c>
      <c r="C625" s="266"/>
      <c r="D625" s="266"/>
      <c r="E625" s="89">
        <f>E622*(1+E623)*E624</f>
        <v>0</v>
      </c>
      <c r="F625" s="89">
        <f t="shared" ref="F625" si="1530">F622*(1+F623)*F624</f>
        <v>0</v>
      </c>
      <c r="G625" s="89">
        <f t="shared" ref="G625" si="1531">G622*(1+G623)*G624</f>
        <v>0</v>
      </c>
      <c r="H625" s="89">
        <f t="shared" ref="H625" si="1532">H622*(1+H623)*H624</f>
        <v>0</v>
      </c>
      <c r="I625" s="89">
        <f t="shared" ref="I625" si="1533">I622*(1+I623)*I624</f>
        <v>0</v>
      </c>
      <c r="J625" s="89">
        <f t="shared" ref="J625:L625" si="1534">J622*(1+J623)*J624</f>
        <v>0</v>
      </c>
      <c r="K625" s="89">
        <f t="shared" si="1534"/>
        <v>0</v>
      </c>
      <c r="L625" s="89">
        <f t="shared" si="1534"/>
        <v>0</v>
      </c>
      <c r="M625" s="167">
        <f t="shared" ref="M625" si="1535">SUM(F625:H625)</f>
        <v>0</v>
      </c>
      <c r="N625" s="94">
        <f t="shared" ref="N625" si="1536">SUM(F625:J625)</f>
        <v>0</v>
      </c>
      <c r="O625" s="1316">
        <f t="shared" si="1484"/>
        <v>0</v>
      </c>
      <c r="S625" s="95"/>
      <c r="T625" s="1103"/>
    </row>
    <row r="626" spans="1:20">
      <c r="A626" s="160" t="s">
        <v>679</v>
      </c>
      <c r="B626" s="291" t="s">
        <v>240</v>
      </c>
      <c r="C626" s="266"/>
      <c r="D626" s="266"/>
      <c r="E626" s="292">
        <f t="shared" ref="E626:J626" si="1537">E215</f>
        <v>1.08</v>
      </c>
      <c r="F626" s="292">
        <f t="shared" si="1537"/>
        <v>1.07</v>
      </c>
      <c r="G626" s="292">
        <f t="shared" si="1537"/>
        <v>1.06</v>
      </c>
      <c r="H626" s="292">
        <f t="shared" si="1537"/>
        <v>1.05</v>
      </c>
      <c r="I626" s="292">
        <f t="shared" si="1537"/>
        <v>1.04</v>
      </c>
      <c r="J626" s="292">
        <f t="shared" si="1537"/>
        <v>1.03</v>
      </c>
      <c r="K626" s="292">
        <f t="shared" ref="K626:L626" si="1538">K215</f>
        <v>1.03</v>
      </c>
      <c r="L626" s="292">
        <f t="shared" si="1538"/>
        <v>1.03</v>
      </c>
      <c r="M626" s="167"/>
      <c r="N626" s="94"/>
      <c r="O626" s="1316"/>
      <c r="S626" s="95"/>
      <c r="T626" s="1103"/>
    </row>
    <row r="627" spans="1:20">
      <c r="A627" s="160" t="s">
        <v>680</v>
      </c>
      <c r="B627" s="291" t="s">
        <v>300</v>
      </c>
      <c r="C627" s="154"/>
      <c r="D627" s="154"/>
      <c r="E627" s="89">
        <f>E625*E626</f>
        <v>0</v>
      </c>
      <c r="F627" s="89">
        <f t="shared" ref="F627:J627" si="1539">F625*F626</f>
        <v>0</v>
      </c>
      <c r="G627" s="89">
        <f t="shared" si="1539"/>
        <v>0</v>
      </c>
      <c r="H627" s="89">
        <f t="shared" si="1539"/>
        <v>0</v>
      </c>
      <c r="I627" s="89">
        <f t="shared" si="1539"/>
        <v>0</v>
      </c>
      <c r="J627" s="89">
        <f t="shared" si="1539"/>
        <v>0</v>
      </c>
      <c r="K627" s="89">
        <f t="shared" ref="K627:L627" si="1540">K625*K626</f>
        <v>0</v>
      </c>
      <c r="L627" s="89">
        <f t="shared" si="1540"/>
        <v>0</v>
      </c>
      <c r="M627" s="167">
        <f t="shared" ref="M627" si="1541">SUM(F627:H627)</f>
        <v>0</v>
      </c>
      <c r="N627" s="94">
        <f t="shared" ref="N627" si="1542">SUM(F627:J627)</f>
        <v>0</v>
      </c>
      <c r="O627" s="1316">
        <f t="shared" si="1484"/>
        <v>0</v>
      </c>
      <c r="S627" s="95"/>
      <c r="T627" s="1103"/>
    </row>
    <row r="628" spans="1:20">
      <c r="A628" s="162">
        <v>6.3</v>
      </c>
      <c r="B628" s="159" t="s">
        <v>303</v>
      </c>
      <c r="C628" s="154"/>
      <c r="D628" s="154"/>
      <c r="E628" s="89"/>
      <c r="F628" s="89"/>
      <c r="G628" s="89"/>
      <c r="H628" s="89"/>
      <c r="I628" s="89"/>
      <c r="J628" s="89"/>
      <c r="K628" s="89"/>
      <c r="L628" s="89"/>
      <c r="M628" s="167"/>
      <c r="N628" s="94"/>
      <c r="O628" s="1316">
        <f t="shared" si="1484"/>
        <v>0</v>
      </c>
      <c r="S628" s="95"/>
      <c r="T628" s="1103"/>
    </row>
    <row r="629" spans="1:20">
      <c r="A629" s="160" t="s">
        <v>681</v>
      </c>
      <c r="B629" s="291" t="s">
        <v>312</v>
      </c>
      <c r="C629" s="266"/>
      <c r="D629" s="266"/>
      <c r="E629" s="89">
        <f t="shared" ref="E629:J629" si="1543">E188</f>
        <v>8</v>
      </c>
      <c r="F629" s="89">
        <f t="shared" si="1543"/>
        <v>7.9999999999995453</v>
      </c>
      <c r="G629" s="89">
        <f t="shared" si="1543"/>
        <v>8.9999999999995453</v>
      </c>
      <c r="H629" s="89">
        <f t="shared" si="1543"/>
        <v>9</v>
      </c>
      <c r="I629" s="89">
        <f t="shared" si="1543"/>
        <v>8.0000000000004547</v>
      </c>
      <c r="J629" s="89">
        <f t="shared" si="1543"/>
        <v>9</v>
      </c>
      <c r="K629" s="89">
        <f t="shared" ref="K629:L629" si="1544">K188</f>
        <v>8</v>
      </c>
      <c r="L629" s="89">
        <f t="shared" si="1544"/>
        <v>9</v>
      </c>
      <c r="M629" s="167">
        <f t="shared" ref="M629" si="1545">SUM(F629:H629)</f>
        <v>25.999999999999091</v>
      </c>
      <c r="N629" s="94">
        <f t="shared" ref="N629" si="1546">SUM(F629:J629)</f>
        <v>42.999999999999545</v>
      </c>
      <c r="O629" s="1316">
        <f t="shared" si="1484"/>
        <v>34.000000000000455</v>
      </c>
      <c r="S629" s="95"/>
      <c r="T629" s="1103"/>
    </row>
    <row r="630" spans="1:20">
      <c r="A630" s="160" t="s">
        <v>682</v>
      </c>
      <c r="B630" s="291" t="s">
        <v>323</v>
      </c>
      <c r="C630" s="266"/>
      <c r="D630" s="266"/>
      <c r="E630" s="279">
        <v>0</v>
      </c>
      <c r="F630" s="279">
        <f>E630</f>
        <v>0</v>
      </c>
      <c r="G630" s="279">
        <f t="shared" ref="G630:J630" si="1547">F630</f>
        <v>0</v>
      </c>
      <c r="H630" s="279">
        <f t="shared" si="1547"/>
        <v>0</v>
      </c>
      <c r="I630" s="279">
        <f t="shared" si="1547"/>
        <v>0</v>
      </c>
      <c r="J630" s="279">
        <f t="shared" si="1547"/>
        <v>0</v>
      </c>
      <c r="K630" s="279">
        <f t="shared" ref="K630" si="1548">J630</f>
        <v>0</v>
      </c>
      <c r="L630" s="279">
        <f t="shared" ref="L630" si="1549">K630</f>
        <v>0</v>
      </c>
      <c r="M630" s="167"/>
      <c r="N630" s="94"/>
      <c r="O630" s="1316">
        <f t="shared" si="1484"/>
        <v>0</v>
      </c>
      <c r="S630" s="95"/>
      <c r="T630" s="1103"/>
    </row>
    <row r="631" spans="1:20">
      <c r="A631" s="160" t="s">
        <v>683</v>
      </c>
      <c r="B631" s="291" t="s">
        <v>325</v>
      </c>
      <c r="C631" s="154"/>
      <c r="D631" s="154"/>
      <c r="E631" s="89">
        <f>E629*E630</f>
        <v>0</v>
      </c>
      <c r="F631" s="89">
        <f t="shared" ref="F631:J631" si="1550">F629*F630</f>
        <v>0</v>
      </c>
      <c r="G631" s="89">
        <f t="shared" si="1550"/>
        <v>0</v>
      </c>
      <c r="H631" s="89">
        <f t="shared" si="1550"/>
        <v>0</v>
      </c>
      <c r="I631" s="89">
        <f t="shared" si="1550"/>
        <v>0</v>
      </c>
      <c r="J631" s="89">
        <f t="shared" si="1550"/>
        <v>0</v>
      </c>
      <c r="K631" s="89">
        <f t="shared" ref="K631:L631" si="1551">K629*K630</f>
        <v>0</v>
      </c>
      <c r="L631" s="89">
        <f t="shared" si="1551"/>
        <v>0</v>
      </c>
      <c r="M631" s="167">
        <f t="shared" ref="M631" si="1552">SUM(F631:H631)</f>
        <v>0</v>
      </c>
      <c r="N631" s="94">
        <f t="shared" ref="N631" si="1553">SUM(F631:J631)</f>
        <v>0</v>
      </c>
      <c r="O631" s="1316">
        <f t="shared" si="1484"/>
        <v>0</v>
      </c>
      <c r="S631" s="95"/>
      <c r="T631" s="1103"/>
    </row>
    <row r="632" spans="1:20">
      <c r="A632" s="160" t="s">
        <v>684</v>
      </c>
      <c r="B632" s="291" t="s">
        <v>305</v>
      </c>
      <c r="C632" s="266"/>
      <c r="D632" s="154"/>
      <c r="E632" s="152">
        <f>E220</f>
        <v>0.75</v>
      </c>
      <c r="F632" s="152">
        <f t="shared" ref="F632:J632" si="1554">F220</f>
        <v>0.8</v>
      </c>
      <c r="G632" s="152">
        <f t="shared" si="1554"/>
        <v>0.85</v>
      </c>
      <c r="H632" s="152">
        <f t="shared" si="1554"/>
        <v>0.9</v>
      </c>
      <c r="I632" s="152">
        <f t="shared" si="1554"/>
        <v>0.89999999999999991</v>
      </c>
      <c r="J632" s="152">
        <f t="shared" si="1554"/>
        <v>0.9</v>
      </c>
      <c r="K632" s="152">
        <f t="shared" ref="K632:L632" si="1555">K220</f>
        <v>0.9</v>
      </c>
      <c r="L632" s="152">
        <f t="shared" si="1555"/>
        <v>0.89999999999999991</v>
      </c>
      <c r="M632" s="167"/>
      <c r="N632" s="94"/>
      <c r="O632" s="1316"/>
      <c r="S632" s="95"/>
      <c r="T632" s="1103"/>
    </row>
    <row r="633" spans="1:20">
      <c r="A633" s="160" t="s">
        <v>685</v>
      </c>
      <c r="B633" s="291" t="s">
        <v>326</v>
      </c>
      <c r="C633" s="266"/>
      <c r="D633" s="154"/>
      <c r="E633" s="89">
        <f>E631*E632</f>
        <v>0</v>
      </c>
      <c r="F633" s="89">
        <f t="shared" ref="F633:J633" si="1556">F631*F632</f>
        <v>0</v>
      </c>
      <c r="G633" s="89">
        <f t="shared" si="1556"/>
        <v>0</v>
      </c>
      <c r="H633" s="89">
        <f t="shared" si="1556"/>
        <v>0</v>
      </c>
      <c r="I633" s="89">
        <f t="shared" si="1556"/>
        <v>0</v>
      </c>
      <c r="J633" s="89">
        <f t="shared" si="1556"/>
        <v>0</v>
      </c>
      <c r="K633" s="89">
        <f t="shared" ref="K633:L633" si="1557">K631*K632</f>
        <v>0</v>
      </c>
      <c r="L633" s="89">
        <f t="shared" si="1557"/>
        <v>0</v>
      </c>
      <c r="M633" s="167">
        <f t="shared" ref="M633" si="1558">SUM(F633:H633)</f>
        <v>0</v>
      </c>
      <c r="N633" s="94">
        <f t="shared" ref="N633" si="1559">SUM(F633:J633)</f>
        <v>0</v>
      </c>
      <c r="O633" s="1316">
        <f t="shared" si="1484"/>
        <v>0</v>
      </c>
      <c r="S633" s="95"/>
      <c r="T633" s="1103"/>
    </row>
    <row r="634" spans="1:20">
      <c r="A634" s="160" t="s">
        <v>686</v>
      </c>
      <c r="B634" s="293" t="s">
        <v>367</v>
      </c>
      <c r="C634" s="154"/>
      <c r="D634" s="154"/>
      <c r="E634" s="294">
        <f>E612*60%</f>
        <v>1.2</v>
      </c>
      <c r="F634" s="294">
        <f>E612*65%</f>
        <v>1.3</v>
      </c>
      <c r="G634" s="294">
        <f>E612*70%</f>
        <v>1.4</v>
      </c>
      <c r="H634" s="294">
        <f>E612*75%</f>
        <v>1.5</v>
      </c>
      <c r="I634" s="294">
        <f t="shared" ref="I634" si="1560">H634</f>
        <v>1.5</v>
      </c>
      <c r="J634" s="294">
        <f t="shared" ref="J634" si="1561">I634</f>
        <v>1.5</v>
      </c>
      <c r="K634" s="294">
        <f t="shared" ref="K634" si="1562">J634</f>
        <v>1.5</v>
      </c>
      <c r="L634" s="294">
        <f t="shared" ref="L634" si="1563">K634</f>
        <v>1.5</v>
      </c>
      <c r="M634" s="167"/>
      <c r="N634" s="94"/>
      <c r="O634" s="1316"/>
      <c r="S634" s="95"/>
      <c r="T634" s="1103"/>
    </row>
    <row r="635" spans="1:20">
      <c r="A635" s="160" t="s">
        <v>687</v>
      </c>
      <c r="B635" s="291" t="s">
        <v>308</v>
      </c>
      <c r="C635" s="266"/>
      <c r="D635" s="266"/>
      <c r="E635" s="89">
        <f>E633*E634</f>
        <v>0</v>
      </c>
      <c r="F635" s="89">
        <f t="shared" ref="F635:J635" si="1564">F633*F634</f>
        <v>0</v>
      </c>
      <c r="G635" s="89">
        <f t="shared" si="1564"/>
        <v>0</v>
      </c>
      <c r="H635" s="89">
        <f t="shared" si="1564"/>
        <v>0</v>
      </c>
      <c r="I635" s="89">
        <f t="shared" si="1564"/>
        <v>0</v>
      </c>
      <c r="J635" s="89">
        <f t="shared" si="1564"/>
        <v>0</v>
      </c>
      <c r="K635" s="89">
        <f t="shared" ref="K635:L635" si="1565">K633*K634</f>
        <v>0</v>
      </c>
      <c r="L635" s="89">
        <f t="shared" si="1565"/>
        <v>0</v>
      </c>
      <c r="M635" s="167">
        <f t="shared" ref="M635" si="1566">SUM(F635:H635)</f>
        <v>0</v>
      </c>
      <c r="N635" s="94">
        <f t="shared" ref="N635" si="1567">SUM(F635:J635)</f>
        <v>0</v>
      </c>
      <c r="O635" s="1316"/>
      <c r="S635" s="95"/>
      <c r="T635" s="1103"/>
    </row>
    <row r="636" spans="1:20">
      <c r="A636" s="160" t="s">
        <v>688</v>
      </c>
      <c r="B636" s="291" t="s">
        <v>828</v>
      </c>
      <c r="C636" s="266"/>
      <c r="D636" s="266"/>
      <c r="E636" s="287">
        <f>E291</f>
        <v>1</v>
      </c>
      <c r="F636" s="287">
        <f>F360</f>
        <v>1</v>
      </c>
      <c r="G636" s="287">
        <f>G360</f>
        <v>1</v>
      </c>
      <c r="H636" s="287">
        <f>H360</f>
        <v>1</v>
      </c>
      <c r="I636" s="287">
        <f>I360</f>
        <v>1</v>
      </c>
      <c r="J636" s="287">
        <f>J360</f>
        <v>1</v>
      </c>
      <c r="K636" s="287">
        <f t="shared" ref="K636:L636" si="1568">K360</f>
        <v>1</v>
      </c>
      <c r="L636" s="287">
        <f t="shared" si="1568"/>
        <v>1</v>
      </c>
      <c r="M636" s="167"/>
      <c r="N636" s="94"/>
      <c r="O636" s="1316"/>
      <c r="S636" s="95"/>
      <c r="T636" s="1103"/>
    </row>
    <row r="637" spans="1:20">
      <c r="A637" s="160" t="s">
        <v>689</v>
      </c>
      <c r="B637" s="291" t="s">
        <v>309</v>
      </c>
      <c r="C637" s="154"/>
      <c r="D637" s="154"/>
      <c r="E637" s="89">
        <f>E635*E636</f>
        <v>0</v>
      </c>
      <c r="F637" s="89">
        <f t="shared" ref="F637:J637" si="1569">F635*F636</f>
        <v>0</v>
      </c>
      <c r="G637" s="89">
        <f t="shared" si="1569"/>
        <v>0</v>
      </c>
      <c r="H637" s="89">
        <f t="shared" si="1569"/>
        <v>0</v>
      </c>
      <c r="I637" s="89">
        <f t="shared" si="1569"/>
        <v>0</v>
      </c>
      <c r="J637" s="89">
        <f t="shared" si="1569"/>
        <v>0</v>
      </c>
      <c r="K637" s="89">
        <f t="shared" ref="K637:L637" si="1570">K635*K636</f>
        <v>0</v>
      </c>
      <c r="L637" s="89">
        <f t="shared" si="1570"/>
        <v>0</v>
      </c>
      <c r="M637" s="167">
        <f t="shared" ref="M637" si="1571">SUM(F637:H637)</f>
        <v>0</v>
      </c>
      <c r="N637" s="94">
        <f t="shared" ref="N637" si="1572">SUM(F637:J637)</f>
        <v>0</v>
      </c>
      <c r="O637" s="1316">
        <f t="shared" si="1484"/>
        <v>0</v>
      </c>
      <c r="S637" s="95"/>
      <c r="T637" s="1103"/>
    </row>
    <row r="638" spans="1:20">
      <c r="A638" s="162">
        <v>6.4</v>
      </c>
      <c r="B638" s="159" t="s">
        <v>460</v>
      </c>
      <c r="C638" s="154"/>
      <c r="D638" s="154"/>
      <c r="E638" s="89"/>
      <c r="F638" s="89"/>
      <c r="G638" s="89"/>
      <c r="H638" s="89"/>
      <c r="I638" s="89"/>
      <c r="J638" s="89"/>
      <c r="K638" s="89"/>
      <c r="L638" s="89"/>
      <c r="M638" s="167"/>
      <c r="N638" s="94"/>
      <c r="O638" s="1316">
        <f t="shared" si="1484"/>
        <v>0</v>
      </c>
      <c r="S638" s="95"/>
      <c r="T638" s="1103"/>
    </row>
    <row r="639" spans="1:20">
      <c r="A639" s="160" t="s">
        <v>690</v>
      </c>
      <c r="B639" s="291" t="s">
        <v>312</v>
      </c>
      <c r="C639" s="266"/>
      <c r="D639" s="266"/>
      <c r="E639" s="89">
        <f t="shared" ref="E639:J639" si="1573">E188</f>
        <v>8</v>
      </c>
      <c r="F639" s="89">
        <f t="shared" si="1573"/>
        <v>7.9999999999995453</v>
      </c>
      <c r="G639" s="89">
        <f t="shared" si="1573"/>
        <v>8.9999999999995453</v>
      </c>
      <c r="H639" s="89">
        <f t="shared" si="1573"/>
        <v>9</v>
      </c>
      <c r="I639" s="89">
        <f t="shared" si="1573"/>
        <v>8.0000000000004547</v>
      </c>
      <c r="J639" s="89">
        <f t="shared" si="1573"/>
        <v>9</v>
      </c>
      <c r="K639" s="89">
        <f t="shared" ref="K639:L639" si="1574">K188</f>
        <v>8</v>
      </c>
      <c r="L639" s="89">
        <f t="shared" si="1574"/>
        <v>9</v>
      </c>
      <c r="M639" s="167">
        <f t="shared" ref="M639" si="1575">SUM(F639:H639)</f>
        <v>25.999999999999091</v>
      </c>
      <c r="N639" s="94">
        <f t="shared" ref="N639" si="1576">SUM(F639:J639)</f>
        <v>42.999999999999545</v>
      </c>
      <c r="O639" s="1316">
        <f t="shared" si="1484"/>
        <v>34.000000000000455</v>
      </c>
      <c r="S639" s="95"/>
      <c r="T639" s="1103"/>
    </row>
    <row r="640" spans="1:20">
      <c r="A640" s="160" t="s">
        <v>691</v>
      </c>
      <c r="B640" s="291" t="s">
        <v>481</v>
      </c>
      <c r="C640" s="266"/>
      <c r="D640" s="266"/>
      <c r="E640" s="152">
        <v>0</v>
      </c>
      <c r="F640" s="152">
        <f>E640</f>
        <v>0</v>
      </c>
      <c r="G640" s="152">
        <f t="shared" ref="G640:J640" si="1577">F640</f>
        <v>0</v>
      </c>
      <c r="H640" s="152">
        <f t="shared" si="1577"/>
        <v>0</v>
      </c>
      <c r="I640" s="152">
        <f t="shared" si="1577"/>
        <v>0</v>
      </c>
      <c r="J640" s="152">
        <f t="shared" si="1577"/>
        <v>0</v>
      </c>
      <c r="K640" s="152">
        <f t="shared" ref="K640" si="1578">J640</f>
        <v>0</v>
      </c>
      <c r="L640" s="152">
        <f t="shared" ref="L640" si="1579">K640</f>
        <v>0</v>
      </c>
      <c r="M640" s="167"/>
      <c r="N640" s="94"/>
      <c r="O640" s="1316">
        <f t="shared" si="1484"/>
        <v>0</v>
      </c>
      <c r="S640" s="95"/>
      <c r="T640" s="1103"/>
    </row>
    <row r="641" spans="1:20">
      <c r="A641" s="160" t="s">
        <v>692</v>
      </c>
      <c r="B641" s="291" t="s">
        <v>482</v>
      </c>
      <c r="C641" s="154"/>
      <c r="D641" s="154"/>
      <c r="E641" s="89">
        <f>E639*E640</f>
        <v>0</v>
      </c>
      <c r="F641" s="89">
        <f t="shared" ref="F641:J641" si="1580">F639*F640</f>
        <v>0</v>
      </c>
      <c r="G641" s="89">
        <f t="shared" si="1580"/>
        <v>0</v>
      </c>
      <c r="H641" s="89">
        <f t="shared" si="1580"/>
        <v>0</v>
      </c>
      <c r="I641" s="89">
        <f t="shared" si="1580"/>
        <v>0</v>
      </c>
      <c r="J641" s="89">
        <f t="shared" si="1580"/>
        <v>0</v>
      </c>
      <c r="K641" s="89">
        <f t="shared" ref="K641:L641" si="1581">K639*K640</f>
        <v>0</v>
      </c>
      <c r="L641" s="89">
        <f t="shared" si="1581"/>
        <v>0</v>
      </c>
      <c r="M641" s="167">
        <f t="shared" ref="M641" si="1582">SUM(F641:H641)</f>
        <v>0</v>
      </c>
      <c r="N641" s="94">
        <f t="shared" ref="N641" si="1583">SUM(F641:J641)</f>
        <v>0</v>
      </c>
      <c r="O641" s="1316">
        <f t="shared" si="1484"/>
        <v>0</v>
      </c>
      <c r="S641" s="95"/>
      <c r="T641" s="1103"/>
    </row>
    <row r="642" spans="1:20">
      <c r="A642" s="160" t="s">
        <v>693</v>
      </c>
      <c r="B642" s="291" t="s">
        <v>462</v>
      </c>
      <c r="C642" s="266"/>
      <c r="D642" s="154"/>
      <c r="E642" s="152">
        <f t="shared" ref="E642:J642" si="1584">E229</f>
        <v>0.75</v>
      </c>
      <c r="F642" s="152">
        <f t="shared" si="1584"/>
        <v>0.8</v>
      </c>
      <c r="G642" s="152">
        <f t="shared" si="1584"/>
        <v>0.85</v>
      </c>
      <c r="H642" s="152">
        <f t="shared" si="1584"/>
        <v>0.9</v>
      </c>
      <c r="I642" s="152">
        <f t="shared" si="1584"/>
        <v>0.89999999999999991</v>
      </c>
      <c r="J642" s="152">
        <f t="shared" si="1584"/>
        <v>0.9</v>
      </c>
      <c r="K642" s="152">
        <f t="shared" ref="K642:L642" si="1585">K229</f>
        <v>0.9</v>
      </c>
      <c r="L642" s="152">
        <f t="shared" si="1585"/>
        <v>0.89999999999999991</v>
      </c>
      <c r="M642" s="167"/>
      <c r="N642" s="94"/>
      <c r="O642" s="1316"/>
      <c r="S642" s="95"/>
      <c r="T642" s="1103"/>
    </row>
    <row r="643" spans="1:20">
      <c r="A643" s="160" t="s">
        <v>694</v>
      </c>
      <c r="B643" s="291" t="s">
        <v>480</v>
      </c>
      <c r="C643" s="266"/>
      <c r="D643" s="154"/>
      <c r="E643" s="89">
        <f>E641*E642</f>
        <v>0</v>
      </c>
      <c r="F643" s="89">
        <f t="shared" ref="F643:J643" si="1586">F641*F642</f>
        <v>0</v>
      </c>
      <c r="G643" s="89">
        <f t="shared" si="1586"/>
        <v>0</v>
      </c>
      <c r="H643" s="89">
        <f t="shared" si="1586"/>
        <v>0</v>
      </c>
      <c r="I643" s="89">
        <f t="shared" si="1586"/>
        <v>0</v>
      </c>
      <c r="J643" s="89">
        <f t="shared" si="1586"/>
        <v>0</v>
      </c>
      <c r="K643" s="89">
        <f t="shared" ref="K643:L643" si="1587">K641*K642</f>
        <v>0</v>
      </c>
      <c r="L643" s="89">
        <f t="shared" si="1587"/>
        <v>0</v>
      </c>
      <c r="M643" s="167">
        <f t="shared" ref="M643" si="1588">SUM(F643:H643)</f>
        <v>0</v>
      </c>
      <c r="N643" s="94">
        <f t="shared" ref="N643" si="1589">SUM(F643:J643)</f>
        <v>0</v>
      </c>
      <c r="O643" s="1316"/>
      <c r="S643" s="95"/>
      <c r="T643" s="1103"/>
    </row>
    <row r="644" spans="1:20">
      <c r="A644" s="160" t="s">
        <v>695</v>
      </c>
      <c r="B644" s="293" t="s">
        <v>464</v>
      </c>
      <c r="C644" s="154"/>
      <c r="D644" s="154"/>
      <c r="E644" s="152">
        <f t="shared" ref="E644:J644" si="1590">E231</f>
        <v>0.02</v>
      </c>
      <c r="F644" s="152">
        <f t="shared" si="1590"/>
        <v>0.02</v>
      </c>
      <c r="G644" s="152">
        <f t="shared" si="1590"/>
        <v>0.02</v>
      </c>
      <c r="H644" s="152">
        <f t="shared" si="1590"/>
        <v>0.02</v>
      </c>
      <c r="I644" s="152">
        <f t="shared" si="1590"/>
        <v>0.02</v>
      </c>
      <c r="J644" s="152">
        <f t="shared" si="1590"/>
        <v>0.02</v>
      </c>
      <c r="K644" s="152">
        <f t="shared" ref="K644:L644" si="1591">K231</f>
        <v>0.02</v>
      </c>
      <c r="L644" s="152">
        <f t="shared" si="1591"/>
        <v>0.02</v>
      </c>
      <c r="M644" s="167"/>
      <c r="N644" s="94"/>
      <c r="O644" s="1316"/>
      <c r="S644" s="95"/>
      <c r="T644" s="1103"/>
    </row>
    <row r="645" spans="1:20">
      <c r="A645" s="160" t="s">
        <v>696</v>
      </c>
      <c r="B645" s="291" t="s">
        <v>465</v>
      </c>
      <c r="C645" s="266"/>
      <c r="D645" s="266"/>
      <c r="E645" s="89">
        <f>E643+E643*E644</f>
        <v>0</v>
      </c>
      <c r="F645" s="89">
        <f t="shared" ref="F645:J645" si="1592">F643+F643*F644</f>
        <v>0</v>
      </c>
      <c r="G645" s="89">
        <f t="shared" si="1592"/>
        <v>0</v>
      </c>
      <c r="H645" s="89">
        <f t="shared" si="1592"/>
        <v>0</v>
      </c>
      <c r="I645" s="89">
        <f t="shared" si="1592"/>
        <v>0</v>
      </c>
      <c r="J645" s="89">
        <f t="shared" si="1592"/>
        <v>0</v>
      </c>
      <c r="K645" s="89">
        <f t="shared" ref="K645:L645" si="1593">K643+K643*K644</f>
        <v>0</v>
      </c>
      <c r="L645" s="89">
        <f t="shared" si="1593"/>
        <v>0</v>
      </c>
      <c r="M645" s="167">
        <f t="shared" ref="M645" si="1594">SUM(F645:H645)</f>
        <v>0</v>
      </c>
      <c r="N645" s="94">
        <f t="shared" ref="N645" si="1595">SUM(F645:J645)</f>
        <v>0</v>
      </c>
      <c r="O645" s="1316">
        <f t="shared" si="1484"/>
        <v>0</v>
      </c>
      <c r="S645" s="95"/>
      <c r="T645" s="1103"/>
    </row>
    <row r="646" spans="1:20">
      <c r="A646" s="160" t="s">
        <v>697</v>
      </c>
      <c r="B646" s="291" t="s">
        <v>820</v>
      </c>
      <c r="C646" s="266"/>
      <c r="D646" s="266"/>
      <c r="E646" s="287">
        <f>E233</f>
        <v>1</v>
      </c>
      <c r="F646" s="287">
        <f>E646</f>
        <v>1</v>
      </c>
      <c r="G646" s="287">
        <f>F646</f>
        <v>1</v>
      </c>
      <c r="H646" s="287">
        <f t="shared" ref="H646:J646" si="1596">G646</f>
        <v>1</v>
      </c>
      <c r="I646" s="287">
        <f t="shared" si="1596"/>
        <v>1</v>
      </c>
      <c r="J646" s="287">
        <f t="shared" si="1596"/>
        <v>1</v>
      </c>
      <c r="K646" s="287">
        <f t="shared" ref="K646" si="1597">J646</f>
        <v>1</v>
      </c>
      <c r="L646" s="287">
        <f t="shared" ref="L646" si="1598">K646</f>
        <v>1</v>
      </c>
      <c r="M646" s="167"/>
      <c r="N646" s="94"/>
      <c r="O646" s="1316"/>
      <c r="S646" s="95"/>
      <c r="T646" s="1103"/>
    </row>
    <row r="647" spans="1:20">
      <c r="A647" s="160" t="s">
        <v>698</v>
      </c>
      <c r="B647" s="291" t="s">
        <v>821</v>
      </c>
      <c r="C647" s="154"/>
      <c r="D647" s="154"/>
      <c r="E647" s="89">
        <f>E645*E646</f>
        <v>0</v>
      </c>
      <c r="F647" s="89">
        <f t="shared" ref="F647:J647" si="1599">F645*F646</f>
        <v>0</v>
      </c>
      <c r="G647" s="89">
        <f t="shared" si="1599"/>
        <v>0</v>
      </c>
      <c r="H647" s="89">
        <f t="shared" si="1599"/>
        <v>0</v>
      </c>
      <c r="I647" s="89">
        <f t="shared" si="1599"/>
        <v>0</v>
      </c>
      <c r="J647" s="89">
        <f t="shared" si="1599"/>
        <v>0</v>
      </c>
      <c r="K647" s="89">
        <f t="shared" ref="K647:L647" si="1600">K645*K646</f>
        <v>0</v>
      </c>
      <c r="L647" s="89">
        <f t="shared" si="1600"/>
        <v>0</v>
      </c>
      <c r="M647" s="167">
        <f t="shared" ref="M647" si="1601">SUM(F647:H647)</f>
        <v>0</v>
      </c>
      <c r="N647" s="94">
        <f t="shared" ref="N647" si="1602">SUM(F647:J647)</f>
        <v>0</v>
      </c>
      <c r="O647" s="1316"/>
      <c r="S647" s="95"/>
      <c r="T647" s="1103"/>
    </row>
    <row r="648" spans="1:20">
      <c r="A648" s="162">
        <v>6.5</v>
      </c>
      <c r="B648" s="161" t="s">
        <v>459</v>
      </c>
      <c r="C648" s="154"/>
      <c r="D648" s="154"/>
      <c r="E648" s="89"/>
      <c r="F648" s="89"/>
      <c r="G648" s="89"/>
      <c r="H648" s="89"/>
      <c r="I648" s="89"/>
      <c r="J648" s="89"/>
      <c r="K648" s="89"/>
      <c r="L648" s="89"/>
      <c r="M648" s="167"/>
      <c r="N648" s="94"/>
      <c r="O648" s="1316">
        <f t="shared" si="1484"/>
        <v>0</v>
      </c>
      <c r="S648" s="95"/>
      <c r="T648" s="1103"/>
    </row>
    <row r="649" spans="1:20">
      <c r="A649" s="160" t="s">
        <v>699</v>
      </c>
      <c r="B649" s="291" t="s">
        <v>312</v>
      </c>
      <c r="C649" s="266"/>
      <c r="D649" s="266"/>
      <c r="E649" s="89">
        <f t="shared" ref="E649:J649" si="1603">E188</f>
        <v>8</v>
      </c>
      <c r="F649" s="89">
        <f t="shared" si="1603"/>
        <v>7.9999999999995453</v>
      </c>
      <c r="G649" s="89">
        <f t="shared" si="1603"/>
        <v>8.9999999999995453</v>
      </c>
      <c r="H649" s="89">
        <f t="shared" si="1603"/>
        <v>9</v>
      </c>
      <c r="I649" s="89">
        <f t="shared" si="1603"/>
        <v>8.0000000000004547</v>
      </c>
      <c r="J649" s="89">
        <f t="shared" si="1603"/>
        <v>9</v>
      </c>
      <c r="K649" s="89">
        <f t="shared" ref="K649:L649" si="1604">K188</f>
        <v>8</v>
      </c>
      <c r="L649" s="89">
        <f t="shared" si="1604"/>
        <v>9</v>
      </c>
      <c r="M649" s="167">
        <f t="shared" ref="M649" si="1605">SUM(F649:H649)</f>
        <v>25.999999999999091</v>
      </c>
      <c r="N649" s="94">
        <f t="shared" ref="N649" si="1606">SUM(F649:J649)</f>
        <v>42.999999999999545</v>
      </c>
      <c r="O649" s="1316">
        <f t="shared" si="1484"/>
        <v>34.000000000000455</v>
      </c>
      <c r="S649" s="95"/>
      <c r="T649" s="1103"/>
    </row>
    <row r="650" spans="1:20">
      <c r="A650" s="160" t="s">
        <v>700</v>
      </c>
      <c r="B650" s="291" t="s">
        <v>483</v>
      </c>
      <c r="C650" s="266"/>
      <c r="D650" s="266"/>
      <c r="E650" s="152">
        <v>0</v>
      </c>
      <c r="F650" s="152">
        <f>E650</f>
        <v>0</v>
      </c>
      <c r="G650" s="152">
        <f t="shared" ref="G650:J650" si="1607">F650</f>
        <v>0</v>
      </c>
      <c r="H650" s="152">
        <f t="shared" si="1607"/>
        <v>0</v>
      </c>
      <c r="I650" s="152">
        <f t="shared" si="1607"/>
        <v>0</v>
      </c>
      <c r="J650" s="152">
        <f t="shared" si="1607"/>
        <v>0</v>
      </c>
      <c r="K650" s="152">
        <f t="shared" ref="K650" si="1608">J650</f>
        <v>0</v>
      </c>
      <c r="L650" s="152">
        <f t="shared" ref="L650" si="1609">K650</f>
        <v>0</v>
      </c>
      <c r="M650" s="167"/>
      <c r="N650" s="94"/>
      <c r="O650" s="1316">
        <f t="shared" si="1484"/>
        <v>0</v>
      </c>
      <c r="S650" s="95"/>
      <c r="T650" s="1103"/>
    </row>
    <row r="651" spans="1:20">
      <c r="A651" s="160" t="s">
        <v>701</v>
      </c>
      <c r="B651" s="291" t="s">
        <v>484</v>
      </c>
      <c r="C651" s="154"/>
      <c r="D651" s="154"/>
      <c r="E651" s="89">
        <f>E649*E650</f>
        <v>0</v>
      </c>
      <c r="F651" s="89">
        <f t="shared" ref="F651:J651" si="1610">F649*F650</f>
        <v>0</v>
      </c>
      <c r="G651" s="89">
        <f t="shared" si="1610"/>
        <v>0</v>
      </c>
      <c r="H651" s="89">
        <f t="shared" si="1610"/>
        <v>0</v>
      </c>
      <c r="I651" s="89">
        <f t="shared" si="1610"/>
        <v>0</v>
      </c>
      <c r="J651" s="89">
        <f t="shared" si="1610"/>
        <v>0</v>
      </c>
      <c r="K651" s="89">
        <f t="shared" ref="K651:L651" si="1611">K649*K650</f>
        <v>0</v>
      </c>
      <c r="L651" s="89">
        <f t="shared" si="1611"/>
        <v>0</v>
      </c>
      <c r="M651" s="167">
        <f t="shared" ref="M651" si="1612">SUM(F651:H651)</f>
        <v>0</v>
      </c>
      <c r="N651" s="94">
        <f t="shared" ref="N651" si="1613">SUM(F651:J651)</f>
        <v>0</v>
      </c>
      <c r="O651" s="1316">
        <f t="shared" si="1484"/>
        <v>0</v>
      </c>
      <c r="S651" s="95"/>
      <c r="T651" s="1103"/>
    </row>
    <row r="652" spans="1:20">
      <c r="A652" s="160" t="s">
        <v>702</v>
      </c>
      <c r="B652" s="291" t="s">
        <v>455</v>
      </c>
      <c r="C652" s="266"/>
      <c r="D652" s="154"/>
      <c r="E652" s="152">
        <f t="shared" ref="E652:J652" si="1614">E238</f>
        <v>0.7</v>
      </c>
      <c r="F652" s="152">
        <f t="shared" si="1614"/>
        <v>0.8</v>
      </c>
      <c r="G652" s="152">
        <f t="shared" si="1614"/>
        <v>0.85</v>
      </c>
      <c r="H652" s="152">
        <f t="shared" si="1614"/>
        <v>0.95</v>
      </c>
      <c r="I652" s="152">
        <f t="shared" si="1614"/>
        <v>0.95</v>
      </c>
      <c r="J652" s="152">
        <f t="shared" si="1614"/>
        <v>0.95</v>
      </c>
      <c r="K652" s="152">
        <f t="shared" ref="K652:L652" si="1615">K238</f>
        <v>0.95</v>
      </c>
      <c r="L652" s="152">
        <f t="shared" si="1615"/>
        <v>0.95</v>
      </c>
      <c r="M652" s="167"/>
      <c r="N652" s="94"/>
      <c r="O652" s="1316"/>
      <c r="S652" s="95"/>
      <c r="T652" s="1103"/>
    </row>
    <row r="653" spans="1:20">
      <c r="A653" s="160" t="s">
        <v>703</v>
      </c>
      <c r="B653" s="291" t="s">
        <v>485</v>
      </c>
      <c r="C653" s="266"/>
      <c r="D653" s="154"/>
      <c r="E653" s="89">
        <f>E651*E652</f>
        <v>0</v>
      </c>
      <c r="F653" s="89">
        <f t="shared" ref="F653:J653" si="1616">F651*F652</f>
        <v>0</v>
      </c>
      <c r="G653" s="89">
        <f t="shared" si="1616"/>
        <v>0</v>
      </c>
      <c r="H653" s="89">
        <f t="shared" si="1616"/>
        <v>0</v>
      </c>
      <c r="I653" s="89">
        <f t="shared" si="1616"/>
        <v>0</v>
      </c>
      <c r="J653" s="89">
        <f t="shared" si="1616"/>
        <v>0</v>
      </c>
      <c r="K653" s="89">
        <f t="shared" ref="K653:L653" si="1617">K651*K652</f>
        <v>0</v>
      </c>
      <c r="L653" s="89">
        <f t="shared" si="1617"/>
        <v>0</v>
      </c>
      <c r="M653" s="167">
        <f t="shared" ref="M653" si="1618">SUM(F653:H653)</f>
        <v>0</v>
      </c>
      <c r="N653" s="94">
        <f t="shared" ref="N653" si="1619">SUM(F653:J653)</f>
        <v>0</v>
      </c>
      <c r="O653" s="1316">
        <f t="shared" si="1484"/>
        <v>0</v>
      </c>
      <c r="S653" s="95"/>
      <c r="T653" s="1103"/>
    </row>
    <row r="654" spans="1:20">
      <c r="A654" s="160" t="s">
        <v>704</v>
      </c>
      <c r="B654" s="293" t="s">
        <v>457</v>
      </c>
      <c r="C654" s="154"/>
      <c r="D654" s="154"/>
      <c r="E654" s="152">
        <f t="shared" ref="E654:J654" si="1620">E240</f>
        <v>0.1</v>
      </c>
      <c r="F654" s="152">
        <f t="shared" si="1620"/>
        <v>0.1</v>
      </c>
      <c r="G654" s="152">
        <f t="shared" si="1620"/>
        <v>0.1</v>
      </c>
      <c r="H654" s="152">
        <f t="shared" si="1620"/>
        <v>0.1</v>
      </c>
      <c r="I654" s="152">
        <f t="shared" si="1620"/>
        <v>0.1</v>
      </c>
      <c r="J654" s="152">
        <f t="shared" si="1620"/>
        <v>0.1</v>
      </c>
      <c r="K654" s="152">
        <f t="shared" ref="K654:L654" si="1621">K240</f>
        <v>0.1</v>
      </c>
      <c r="L654" s="152">
        <f t="shared" si="1621"/>
        <v>0.1</v>
      </c>
      <c r="M654" s="167"/>
      <c r="N654" s="94"/>
      <c r="O654" s="1316"/>
      <c r="S654" s="95"/>
      <c r="T654" s="1103"/>
    </row>
    <row r="655" spans="1:20">
      <c r="A655" s="160" t="s">
        <v>705</v>
      </c>
      <c r="B655" s="291" t="s">
        <v>458</v>
      </c>
      <c r="C655" s="266"/>
      <c r="D655" s="266"/>
      <c r="E655" s="89">
        <f>E653+E653*E654</f>
        <v>0</v>
      </c>
      <c r="F655" s="89">
        <f t="shared" ref="F655:J655" si="1622">F653+F653*F654</f>
        <v>0</v>
      </c>
      <c r="G655" s="89">
        <f t="shared" si="1622"/>
        <v>0</v>
      </c>
      <c r="H655" s="89">
        <f t="shared" si="1622"/>
        <v>0</v>
      </c>
      <c r="I655" s="89">
        <f t="shared" si="1622"/>
        <v>0</v>
      </c>
      <c r="J655" s="89">
        <f t="shared" si="1622"/>
        <v>0</v>
      </c>
      <c r="K655" s="89">
        <f t="shared" ref="K655:L655" si="1623">K653+K653*K654</f>
        <v>0</v>
      </c>
      <c r="L655" s="89">
        <f t="shared" si="1623"/>
        <v>0</v>
      </c>
      <c r="M655" s="167">
        <f t="shared" ref="M655" si="1624">SUM(F655:H655)</f>
        <v>0</v>
      </c>
      <c r="N655" s="94">
        <f t="shared" ref="N655" si="1625">SUM(F655:J655)</f>
        <v>0</v>
      </c>
      <c r="O655" s="1316"/>
      <c r="S655" s="95"/>
      <c r="T655" s="1103"/>
    </row>
    <row r="656" spans="1:20">
      <c r="A656" s="160" t="s">
        <v>706</v>
      </c>
      <c r="B656" s="291" t="s">
        <v>822</v>
      </c>
      <c r="C656" s="266"/>
      <c r="D656" s="266"/>
      <c r="E656" s="287">
        <f t="shared" ref="E656:J656" si="1626">E242</f>
        <v>1</v>
      </c>
      <c r="F656" s="287">
        <f t="shared" si="1626"/>
        <v>1</v>
      </c>
      <c r="G656" s="287">
        <f t="shared" si="1626"/>
        <v>1</v>
      </c>
      <c r="H656" s="287">
        <f t="shared" si="1626"/>
        <v>1</v>
      </c>
      <c r="I656" s="287">
        <f t="shared" si="1626"/>
        <v>1</v>
      </c>
      <c r="J656" s="287">
        <f t="shared" si="1626"/>
        <v>1</v>
      </c>
      <c r="K656" s="287">
        <f t="shared" ref="K656:L656" si="1627">K242</f>
        <v>1</v>
      </c>
      <c r="L656" s="287">
        <f t="shared" si="1627"/>
        <v>1</v>
      </c>
      <c r="M656" s="167"/>
      <c r="N656" s="94"/>
      <c r="O656" s="1316"/>
      <c r="S656" s="95"/>
      <c r="T656" s="1103"/>
    </row>
    <row r="657" spans="1:20">
      <c r="A657" s="160" t="s">
        <v>707</v>
      </c>
      <c r="B657" s="291" t="s">
        <v>823</v>
      </c>
      <c r="C657" s="154"/>
      <c r="D657" s="154"/>
      <c r="E657" s="89">
        <f>E655*E656</f>
        <v>0</v>
      </c>
      <c r="F657" s="89">
        <f t="shared" ref="F657:J657" si="1628">F655*F656</f>
        <v>0</v>
      </c>
      <c r="G657" s="89">
        <f t="shared" si="1628"/>
        <v>0</v>
      </c>
      <c r="H657" s="89">
        <f t="shared" si="1628"/>
        <v>0</v>
      </c>
      <c r="I657" s="89">
        <f t="shared" si="1628"/>
        <v>0</v>
      </c>
      <c r="J657" s="89">
        <f t="shared" si="1628"/>
        <v>0</v>
      </c>
      <c r="K657" s="89">
        <f t="shared" ref="K657:L657" si="1629">K655*K656</f>
        <v>0</v>
      </c>
      <c r="L657" s="89">
        <f t="shared" si="1629"/>
        <v>0</v>
      </c>
      <c r="M657" s="167">
        <f t="shared" ref="M657" si="1630">SUM(F657:H657)</f>
        <v>0</v>
      </c>
      <c r="N657" s="94">
        <f t="shared" ref="N657" si="1631">SUM(F657:J657)</f>
        <v>0</v>
      </c>
      <c r="O657" s="1316">
        <f t="shared" si="1484"/>
        <v>0</v>
      </c>
      <c r="S657" s="95"/>
      <c r="T657" s="1103"/>
    </row>
    <row r="658" spans="1:20">
      <c r="A658" s="162">
        <v>6.6</v>
      </c>
      <c r="B658" s="159" t="s">
        <v>466</v>
      </c>
      <c r="C658" s="154"/>
      <c r="D658" s="154"/>
      <c r="E658" s="89"/>
      <c r="F658" s="89"/>
      <c r="G658" s="89"/>
      <c r="H658" s="89"/>
      <c r="I658" s="89"/>
      <c r="J658" s="89"/>
      <c r="K658" s="89"/>
      <c r="L658" s="89"/>
      <c r="M658" s="167"/>
      <c r="N658" s="94"/>
      <c r="O658" s="1316">
        <f t="shared" si="1484"/>
        <v>0</v>
      </c>
      <c r="S658" s="95"/>
      <c r="T658" s="1103"/>
    </row>
    <row r="659" spans="1:20">
      <c r="A659" s="160" t="s">
        <v>708</v>
      </c>
      <c r="B659" s="291" t="s">
        <v>312</v>
      </c>
      <c r="C659" s="266"/>
      <c r="D659" s="266"/>
      <c r="E659" s="89">
        <f t="shared" ref="E659:J659" si="1632">E188</f>
        <v>8</v>
      </c>
      <c r="F659" s="89">
        <f t="shared" si="1632"/>
        <v>7.9999999999995453</v>
      </c>
      <c r="G659" s="89">
        <f t="shared" si="1632"/>
        <v>8.9999999999995453</v>
      </c>
      <c r="H659" s="89">
        <f t="shared" si="1632"/>
        <v>9</v>
      </c>
      <c r="I659" s="89">
        <f t="shared" si="1632"/>
        <v>8.0000000000004547</v>
      </c>
      <c r="J659" s="89">
        <f t="shared" si="1632"/>
        <v>9</v>
      </c>
      <c r="K659" s="89">
        <f t="shared" ref="K659:L659" si="1633">K188</f>
        <v>8</v>
      </c>
      <c r="L659" s="89">
        <f t="shared" si="1633"/>
        <v>9</v>
      </c>
      <c r="M659" s="167">
        <f t="shared" ref="M659" si="1634">SUM(F659:H659)</f>
        <v>25.999999999999091</v>
      </c>
      <c r="N659" s="94">
        <f t="shared" ref="N659" si="1635">SUM(F659:J659)</f>
        <v>42.999999999999545</v>
      </c>
      <c r="O659" s="1316">
        <f t="shared" si="1484"/>
        <v>34.000000000000455</v>
      </c>
      <c r="S659" s="95"/>
      <c r="T659" s="1103"/>
    </row>
    <row r="660" spans="1:20">
      <c r="A660" s="160" t="s">
        <v>709</v>
      </c>
      <c r="B660" s="291" t="s">
        <v>495</v>
      </c>
      <c r="C660" s="266"/>
      <c r="D660" s="266"/>
      <c r="E660" s="152">
        <v>0</v>
      </c>
      <c r="F660" s="152">
        <f>E660</f>
        <v>0</v>
      </c>
      <c r="G660" s="152">
        <f t="shared" ref="G660:J660" si="1636">F660</f>
        <v>0</v>
      </c>
      <c r="H660" s="152">
        <f t="shared" si="1636"/>
        <v>0</v>
      </c>
      <c r="I660" s="152">
        <f t="shared" si="1636"/>
        <v>0</v>
      </c>
      <c r="J660" s="152">
        <f t="shared" si="1636"/>
        <v>0</v>
      </c>
      <c r="K660" s="152">
        <f t="shared" ref="K660" si="1637">J660</f>
        <v>0</v>
      </c>
      <c r="L660" s="152">
        <f t="shared" ref="L660" si="1638">K660</f>
        <v>0</v>
      </c>
      <c r="M660" s="167"/>
      <c r="N660" s="94"/>
      <c r="O660" s="1316">
        <f t="shared" si="1484"/>
        <v>0</v>
      </c>
      <c r="S660" s="95"/>
      <c r="T660" s="1103"/>
    </row>
    <row r="661" spans="1:20">
      <c r="A661" s="160" t="s">
        <v>710</v>
      </c>
      <c r="B661" s="291" t="s">
        <v>496</v>
      </c>
      <c r="C661" s="154"/>
      <c r="D661" s="154"/>
      <c r="E661" s="89">
        <f>E659*E660</f>
        <v>0</v>
      </c>
      <c r="F661" s="89">
        <f t="shared" ref="F661:J661" si="1639">F659*F660</f>
        <v>0</v>
      </c>
      <c r="G661" s="89">
        <f t="shared" si="1639"/>
        <v>0</v>
      </c>
      <c r="H661" s="89">
        <f t="shared" si="1639"/>
        <v>0</v>
      </c>
      <c r="I661" s="89">
        <f t="shared" si="1639"/>
        <v>0</v>
      </c>
      <c r="J661" s="89">
        <f t="shared" si="1639"/>
        <v>0</v>
      </c>
      <c r="K661" s="89">
        <f t="shared" ref="K661:L661" si="1640">K659*K660</f>
        <v>0</v>
      </c>
      <c r="L661" s="89">
        <f t="shared" si="1640"/>
        <v>0</v>
      </c>
      <c r="M661" s="167">
        <f t="shared" ref="M661" si="1641">SUM(F661:H661)</f>
        <v>0</v>
      </c>
      <c r="N661" s="94">
        <f t="shared" ref="N661" si="1642">SUM(F661:J661)</f>
        <v>0</v>
      </c>
      <c r="O661" s="1316">
        <f t="shared" si="1484"/>
        <v>0</v>
      </c>
      <c r="S661" s="95"/>
      <c r="T661" s="1103"/>
    </row>
    <row r="662" spans="1:20">
      <c r="A662" s="160" t="s">
        <v>711</v>
      </c>
      <c r="B662" s="291" t="s">
        <v>470</v>
      </c>
      <c r="C662" s="266"/>
      <c r="D662" s="154"/>
      <c r="E662" s="152">
        <f t="shared" ref="E662:J662" si="1643">E249</f>
        <v>0.02</v>
      </c>
      <c r="F662" s="152">
        <f t="shared" si="1643"/>
        <v>0.02</v>
      </c>
      <c r="G662" s="152">
        <f t="shared" si="1643"/>
        <v>0.02</v>
      </c>
      <c r="H662" s="152">
        <f t="shared" si="1643"/>
        <v>0.02</v>
      </c>
      <c r="I662" s="152">
        <f t="shared" si="1643"/>
        <v>0.02</v>
      </c>
      <c r="J662" s="152">
        <f t="shared" si="1643"/>
        <v>0.02</v>
      </c>
      <c r="K662" s="152">
        <f t="shared" ref="K662:L662" si="1644">K249</f>
        <v>0.02</v>
      </c>
      <c r="L662" s="152">
        <f t="shared" si="1644"/>
        <v>0.02</v>
      </c>
      <c r="M662" s="167"/>
      <c r="N662" s="94"/>
      <c r="O662" s="1316">
        <f t="shared" si="1484"/>
        <v>0.08</v>
      </c>
      <c r="S662" s="95"/>
      <c r="T662" s="1103"/>
    </row>
    <row r="663" spans="1:20">
      <c r="A663" s="160" t="s">
        <v>712</v>
      </c>
      <c r="B663" s="291" t="s">
        <v>497</v>
      </c>
      <c r="C663" s="266"/>
      <c r="D663" s="154"/>
      <c r="E663" s="89">
        <f>E661*E662</f>
        <v>0</v>
      </c>
      <c r="F663" s="89">
        <f t="shared" ref="F663:J663" si="1645">F661*F662</f>
        <v>0</v>
      </c>
      <c r="G663" s="89">
        <f t="shared" si="1645"/>
        <v>0</v>
      </c>
      <c r="H663" s="89">
        <f t="shared" si="1645"/>
        <v>0</v>
      </c>
      <c r="I663" s="89">
        <f t="shared" si="1645"/>
        <v>0</v>
      </c>
      <c r="J663" s="89">
        <f t="shared" si="1645"/>
        <v>0</v>
      </c>
      <c r="K663" s="89">
        <f t="shared" ref="K663:L663" si="1646">K661*K662</f>
        <v>0</v>
      </c>
      <c r="L663" s="89">
        <f t="shared" si="1646"/>
        <v>0</v>
      </c>
      <c r="M663" s="167">
        <f t="shared" ref="M663" si="1647">SUM(F663:H663)</f>
        <v>0</v>
      </c>
      <c r="N663" s="94">
        <f t="shared" ref="N663" si="1648">SUM(F663:J663)</f>
        <v>0</v>
      </c>
      <c r="O663" s="1316">
        <f t="shared" si="1484"/>
        <v>0</v>
      </c>
      <c r="S663" s="95"/>
      <c r="T663" s="1103"/>
    </row>
    <row r="664" spans="1:20">
      <c r="A664" s="160" t="s">
        <v>713</v>
      </c>
      <c r="B664" s="293" t="s">
        <v>472</v>
      </c>
      <c r="C664" s="154"/>
      <c r="D664" s="154"/>
      <c r="E664" s="152">
        <f t="shared" ref="E664:J664" si="1649">E249</f>
        <v>0.02</v>
      </c>
      <c r="F664" s="152">
        <f t="shared" si="1649"/>
        <v>0.02</v>
      </c>
      <c r="G664" s="152">
        <f t="shared" si="1649"/>
        <v>0.02</v>
      </c>
      <c r="H664" s="152">
        <f t="shared" si="1649"/>
        <v>0.02</v>
      </c>
      <c r="I664" s="152">
        <f t="shared" si="1649"/>
        <v>0.02</v>
      </c>
      <c r="J664" s="152">
        <f t="shared" si="1649"/>
        <v>0.02</v>
      </c>
      <c r="K664" s="152">
        <f t="shared" ref="K664:L664" si="1650">K249</f>
        <v>0.02</v>
      </c>
      <c r="L664" s="152">
        <f t="shared" si="1650"/>
        <v>0.02</v>
      </c>
      <c r="M664" s="167"/>
      <c r="N664" s="94"/>
      <c r="O664" s="1316">
        <f t="shared" si="1484"/>
        <v>0.08</v>
      </c>
      <c r="S664" s="95"/>
      <c r="T664" s="1103"/>
    </row>
    <row r="665" spans="1:20">
      <c r="A665" s="160" t="s">
        <v>714</v>
      </c>
      <c r="B665" s="291" t="s">
        <v>473</v>
      </c>
      <c r="C665" s="266"/>
      <c r="D665" s="266"/>
      <c r="E665" s="89">
        <f>E663+E663*E664</f>
        <v>0</v>
      </c>
      <c r="F665" s="89">
        <f t="shared" ref="F665:J665" si="1651">F663+F663*F664</f>
        <v>0</v>
      </c>
      <c r="G665" s="89">
        <f t="shared" si="1651"/>
        <v>0</v>
      </c>
      <c r="H665" s="89">
        <f t="shared" si="1651"/>
        <v>0</v>
      </c>
      <c r="I665" s="89">
        <f t="shared" si="1651"/>
        <v>0</v>
      </c>
      <c r="J665" s="89">
        <f t="shared" si="1651"/>
        <v>0</v>
      </c>
      <c r="K665" s="89">
        <f t="shared" ref="K665:L665" si="1652">K663+K663*K664</f>
        <v>0</v>
      </c>
      <c r="L665" s="89">
        <f t="shared" si="1652"/>
        <v>0</v>
      </c>
      <c r="M665" s="167">
        <f t="shared" ref="M665" si="1653">SUM(F665:H665)</f>
        <v>0</v>
      </c>
      <c r="N665" s="94">
        <f t="shared" ref="N665" si="1654">SUM(F665:J665)</f>
        <v>0</v>
      </c>
      <c r="O665" s="1316">
        <f t="shared" si="1484"/>
        <v>0</v>
      </c>
      <c r="S665" s="95"/>
      <c r="T665" s="1103"/>
    </row>
    <row r="666" spans="1:20">
      <c r="A666" s="160" t="s">
        <v>715</v>
      </c>
      <c r="B666" s="291" t="s">
        <v>824</v>
      </c>
      <c r="C666" s="266"/>
      <c r="D666" s="266"/>
      <c r="E666" s="287">
        <f>E251</f>
        <v>1</v>
      </c>
      <c r="F666" s="287">
        <f>E666</f>
        <v>1</v>
      </c>
      <c r="G666" s="287">
        <f>F666</f>
        <v>1</v>
      </c>
      <c r="H666" s="287">
        <f t="shared" ref="H666:J666" si="1655">G666</f>
        <v>1</v>
      </c>
      <c r="I666" s="287">
        <f t="shared" si="1655"/>
        <v>1</v>
      </c>
      <c r="J666" s="287">
        <f t="shared" si="1655"/>
        <v>1</v>
      </c>
      <c r="K666" s="287">
        <f t="shared" ref="K666" si="1656">J666</f>
        <v>1</v>
      </c>
      <c r="L666" s="287">
        <f t="shared" ref="L666" si="1657">K666</f>
        <v>1</v>
      </c>
      <c r="M666" s="167"/>
      <c r="N666" s="94"/>
      <c r="O666" s="1316"/>
      <c r="S666" s="95"/>
      <c r="T666" s="1103"/>
    </row>
    <row r="667" spans="1:20">
      <c r="A667" s="160" t="s">
        <v>716</v>
      </c>
      <c r="B667" s="291" t="s">
        <v>825</v>
      </c>
      <c r="C667" s="154"/>
      <c r="D667" s="154"/>
      <c r="E667" s="89">
        <f>E665*E666</f>
        <v>0</v>
      </c>
      <c r="F667" s="89">
        <f t="shared" ref="F667:J667" si="1658">F665*F666</f>
        <v>0</v>
      </c>
      <c r="G667" s="89">
        <f t="shared" si="1658"/>
        <v>0</v>
      </c>
      <c r="H667" s="89">
        <f t="shared" si="1658"/>
        <v>0</v>
      </c>
      <c r="I667" s="89">
        <f t="shared" si="1658"/>
        <v>0</v>
      </c>
      <c r="J667" s="89">
        <f t="shared" si="1658"/>
        <v>0</v>
      </c>
      <c r="K667" s="89">
        <f t="shared" ref="K667:L667" si="1659">K665*K666</f>
        <v>0</v>
      </c>
      <c r="L667" s="89">
        <f t="shared" si="1659"/>
        <v>0</v>
      </c>
      <c r="M667" s="167">
        <f t="shared" ref="M667" si="1660">SUM(F667:H667)</f>
        <v>0</v>
      </c>
      <c r="N667" s="94">
        <f t="shared" ref="N667" si="1661">SUM(F667:J667)</f>
        <v>0</v>
      </c>
      <c r="O667" s="1316">
        <f t="shared" si="1484"/>
        <v>0</v>
      </c>
      <c r="S667" s="95"/>
      <c r="T667" s="1103"/>
    </row>
    <row r="668" spans="1:20">
      <c r="A668" s="162">
        <v>6.7</v>
      </c>
      <c r="B668" s="161" t="s">
        <v>474</v>
      </c>
      <c r="C668" s="154"/>
      <c r="D668" s="154"/>
      <c r="E668" s="89"/>
      <c r="F668" s="89"/>
      <c r="G668" s="89"/>
      <c r="H668" s="89"/>
      <c r="I668" s="89"/>
      <c r="J668" s="89"/>
      <c r="K668" s="89"/>
      <c r="L668" s="89"/>
      <c r="M668" s="167"/>
      <c r="N668" s="94"/>
      <c r="O668" s="1316">
        <f t="shared" ref="O668:O731" si="1662">I668+J668+K668+L668</f>
        <v>0</v>
      </c>
      <c r="S668" s="95"/>
      <c r="T668" s="1103"/>
    </row>
    <row r="669" spans="1:20">
      <c r="A669" s="160" t="s">
        <v>717</v>
      </c>
      <c r="B669" s="291" t="s">
        <v>312</v>
      </c>
      <c r="C669" s="266"/>
      <c r="D669" s="266"/>
      <c r="E669" s="89">
        <f t="shared" ref="E669:J669" si="1663">E188</f>
        <v>8</v>
      </c>
      <c r="F669" s="89">
        <f t="shared" si="1663"/>
        <v>7.9999999999995453</v>
      </c>
      <c r="G669" s="89">
        <f t="shared" si="1663"/>
        <v>8.9999999999995453</v>
      </c>
      <c r="H669" s="89">
        <f t="shared" si="1663"/>
        <v>9</v>
      </c>
      <c r="I669" s="89">
        <f t="shared" si="1663"/>
        <v>8.0000000000004547</v>
      </c>
      <c r="J669" s="89">
        <f t="shared" si="1663"/>
        <v>9</v>
      </c>
      <c r="K669" s="89">
        <f t="shared" ref="K669:L669" si="1664">K188</f>
        <v>8</v>
      </c>
      <c r="L669" s="89">
        <f t="shared" si="1664"/>
        <v>9</v>
      </c>
      <c r="M669" s="167">
        <f t="shared" ref="M669" si="1665">SUM(F669:H669)</f>
        <v>25.999999999999091</v>
      </c>
      <c r="N669" s="94">
        <f t="shared" ref="N669" si="1666">SUM(F669:J669)</f>
        <v>42.999999999999545</v>
      </c>
      <c r="O669" s="1316">
        <f t="shared" si="1662"/>
        <v>34.000000000000455</v>
      </c>
      <c r="S669" s="95"/>
      <c r="T669" s="1103"/>
    </row>
    <row r="670" spans="1:20">
      <c r="A670" s="160" t="s">
        <v>718</v>
      </c>
      <c r="B670" s="291" t="s">
        <v>509</v>
      </c>
      <c r="C670" s="266"/>
      <c r="D670" s="266"/>
      <c r="E670" s="152">
        <v>0</v>
      </c>
      <c r="F670" s="152">
        <f>E670</f>
        <v>0</v>
      </c>
      <c r="G670" s="152">
        <f t="shared" ref="G670:J670" si="1667">F670</f>
        <v>0</v>
      </c>
      <c r="H670" s="152">
        <f t="shared" si="1667"/>
        <v>0</v>
      </c>
      <c r="I670" s="152">
        <f t="shared" si="1667"/>
        <v>0</v>
      </c>
      <c r="J670" s="152">
        <f t="shared" si="1667"/>
        <v>0</v>
      </c>
      <c r="K670" s="152">
        <f t="shared" ref="K670" si="1668">J670</f>
        <v>0</v>
      </c>
      <c r="L670" s="152">
        <f t="shared" ref="L670" si="1669">K670</f>
        <v>0</v>
      </c>
      <c r="M670" s="167"/>
      <c r="N670" s="94"/>
      <c r="O670" s="1316">
        <f t="shared" si="1662"/>
        <v>0</v>
      </c>
      <c r="S670" s="95"/>
      <c r="T670" s="1103"/>
    </row>
    <row r="671" spans="1:20">
      <c r="A671" s="160" t="s">
        <v>719</v>
      </c>
      <c r="B671" s="291" t="s">
        <v>510</v>
      </c>
      <c r="C671" s="154"/>
      <c r="D671" s="154"/>
      <c r="E671" s="89">
        <f>E669*E670</f>
        <v>0</v>
      </c>
      <c r="F671" s="89">
        <f t="shared" ref="F671:J671" si="1670">F669*F670</f>
        <v>0</v>
      </c>
      <c r="G671" s="89">
        <f t="shared" si="1670"/>
        <v>0</v>
      </c>
      <c r="H671" s="89">
        <f t="shared" si="1670"/>
        <v>0</v>
      </c>
      <c r="I671" s="89">
        <f t="shared" si="1670"/>
        <v>0</v>
      </c>
      <c r="J671" s="89">
        <f t="shared" si="1670"/>
        <v>0</v>
      </c>
      <c r="K671" s="89">
        <f t="shared" ref="K671:L671" si="1671">K669*K670</f>
        <v>0</v>
      </c>
      <c r="L671" s="89">
        <f t="shared" si="1671"/>
        <v>0</v>
      </c>
      <c r="M671" s="167">
        <f t="shared" ref="M671" si="1672">SUM(F671:H671)</f>
        <v>0</v>
      </c>
      <c r="N671" s="94">
        <f t="shared" ref="N671" si="1673">SUM(F671:J671)</f>
        <v>0</v>
      </c>
      <c r="O671" s="1316">
        <f t="shared" si="1662"/>
        <v>0</v>
      </c>
      <c r="S671" s="95"/>
      <c r="T671" s="1103"/>
    </row>
    <row r="672" spans="1:20">
      <c r="A672" s="160" t="s">
        <v>720</v>
      </c>
      <c r="B672" s="291" t="s">
        <v>455</v>
      </c>
      <c r="C672" s="266"/>
      <c r="D672" s="154"/>
      <c r="E672" s="152">
        <f t="shared" ref="E672:J672" si="1674">E238</f>
        <v>0.7</v>
      </c>
      <c r="F672" s="152">
        <f t="shared" si="1674"/>
        <v>0.8</v>
      </c>
      <c r="G672" s="152">
        <f t="shared" si="1674"/>
        <v>0.85</v>
      </c>
      <c r="H672" s="152">
        <f t="shared" si="1674"/>
        <v>0.95</v>
      </c>
      <c r="I672" s="152">
        <f t="shared" si="1674"/>
        <v>0.95</v>
      </c>
      <c r="J672" s="152">
        <f t="shared" si="1674"/>
        <v>0.95</v>
      </c>
      <c r="K672" s="152">
        <f t="shared" ref="K672:L672" si="1675">K238</f>
        <v>0.95</v>
      </c>
      <c r="L672" s="152">
        <f t="shared" si="1675"/>
        <v>0.95</v>
      </c>
      <c r="M672" s="167"/>
      <c r="N672" s="94"/>
      <c r="O672" s="1316"/>
      <c r="S672" s="95"/>
      <c r="T672" s="1103"/>
    </row>
    <row r="673" spans="1:20">
      <c r="A673" s="160" t="s">
        <v>721</v>
      </c>
      <c r="B673" s="291" t="s">
        <v>511</v>
      </c>
      <c r="C673" s="266"/>
      <c r="D673" s="154"/>
      <c r="E673" s="89">
        <f>E671*E672</f>
        <v>0</v>
      </c>
      <c r="F673" s="89">
        <f t="shared" ref="F673:J673" si="1676">F671*F672</f>
        <v>0</v>
      </c>
      <c r="G673" s="89">
        <f t="shared" si="1676"/>
        <v>0</v>
      </c>
      <c r="H673" s="89">
        <f t="shared" si="1676"/>
        <v>0</v>
      </c>
      <c r="I673" s="89">
        <f t="shared" si="1676"/>
        <v>0</v>
      </c>
      <c r="J673" s="89">
        <f t="shared" si="1676"/>
        <v>0</v>
      </c>
      <c r="K673" s="89">
        <f t="shared" ref="K673:L673" si="1677">K671*K672</f>
        <v>0</v>
      </c>
      <c r="L673" s="89">
        <f t="shared" si="1677"/>
        <v>0</v>
      </c>
      <c r="M673" s="167">
        <f t="shared" ref="M673" si="1678">SUM(F673:H673)</f>
        <v>0</v>
      </c>
      <c r="N673" s="94">
        <f t="shared" ref="N673" si="1679">SUM(F673:J673)</f>
        <v>0</v>
      </c>
      <c r="O673" s="1316">
        <f t="shared" si="1662"/>
        <v>0</v>
      </c>
      <c r="S673" s="95"/>
      <c r="T673" s="1103"/>
    </row>
    <row r="674" spans="1:20">
      <c r="A674" s="160" t="s">
        <v>722</v>
      </c>
      <c r="B674" s="293" t="s">
        <v>478</v>
      </c>
      <c r="C674" s="154"/>
      <c r="D674" s="154"/>
      <c r="E674" s="152">
        <f t="shared" ref="E674:J674" si="1680">E258</f>
        <v>0.1</v>
      </c>
      <c r="F674" s="152">
        <f t="shared" si="1680"/>
        <v>0.1</v>
      </c>
      <c r="G674" s="152">
        <f t="shared" si="1680"/>
        <v>0.1</v>
      </c>
      <c r="H674" s="152">
        <f t="shared" si="1680"/>
        <v>0.1</v>
      </c>
      <c r="I674" s="152">
        <f t="shared" si="1680"/>
        <v>0.1</v>
      </c>
      <c r="J674" s="152">
        <f t="shared" si="1680"/>
        <v>0.1</v>
      </c>
      <c r="K674" s="152">
        <f t="shared" ref="K674:L674" si="1681">K258</f>
        <v>0.1</v>
      </c>
      <c r="L674" s="152">
        <f t="shared" si="1681"/>
        <v>0.1</v>
      </c>
      <c r="M674" s="167"/>
      <c r="N674" s="94"/>
      <c r="O674" s="1316">
        <f t="shared" si="1662"/>
        <v>0.4</v>
      </c>
      <c r="S674" s="95"/>
      <c r="T674" s="1103"/>
    </row>
    <row r="675" spans="1:20">
      <c r="A675" s="160" t="s">
        <v>723</v>
      </c>
      <c r="B675" s="291" t="s">
        <v>479</v>
      </c>
      <c r="C675" s="266"/>
      <c r="D675" s="266"/>
      <c r="E675" s="89">
        <f>E673+E673*E674</f>
        <v>0</v>
      </c>
      <c r="F675" s="89">
        <f t="shared" ref="F675:J675" si="1682">F673+F673*F674</f>
        <v>0</v>
      </c>
      <c r="G675" s="89">
        <f t="shared" si="1682"/>
        <v>0</v>
      </c>
      <c r="H675" s="89">
        <f t="shared" si="1682"/>
        <v>0</v>
      </c>
      <c r="I675" s="89">
        <f t="shared" si="1682"/>
        <v>0</v>
      </c>
      <c r="J675" s="89">
        <f t="shared" si="1682"/>
        <v>0</v>
      </c>
      <c r="K675" s="89">
        <f t="shared" ref="K675:L675" si="1683">K673+K673*K674</f>
        <v>0</v>
      </c>
      <c r="L675" s="89">
        <f t="shared" si="1683"/>
        <v>0</v>
      </c>
      <c r="M675" s="167">
        <f t="shared" ref="M675" si="1684">SUM(F675:H675)</f>
        <v>0</v>
      </c>
      <c r="N675" s="94">
        <f t="shared" ref="N675" si="1685">SUM(F675:J675)</f>
        <v>0</v>
      </c>
      <c r="O675" s="1316">
        <f t="shared" si="1662"/>
        <v>0</v>
      </c>
      <c r="S675" s="95"/>
      <c r="T675" s="1103"/>
    </row>
    <row r="676" spans="1:20">
      <c r="A676" s="160" t="s">
        <v>724</v>
      </c>
      <c r="B676" s="291" t="s">
        <v>826</v>
      </c>
      <c r="C676" s="266"/>
      <c r="D676" s="266"/>
      <c r="E676" s="287">
        <f t="shared" ref="E676:J676" si="1686">E260</f>
        <v>1</v>
      </c>
      <c r="F676" s="287">
        <f t="shared" si="1686"/>
        <v>1</v>
      </c>
      <c r="G676" s="287">
        <f t="shared" si="1686"/>
        <v>1</v>
      </c>
      <c r="H676" s="287">
        <f t="shared" si="1686"/>
        <v>1</v>
      </c>
      <c r="I676" s="287">
        <f t="shared" si="1686"/>
        <v>1</v>
      </c>
      <c r="J676" s="287">
        <f t="shared" si="1686"/>
        <v>1</v>
      </c>
      <c r="K676" s="287">
        <f t="shared" ref="K676:L676" si="1687">K260</f>
        <v>1</v>
      </c>
      <c r="L676" s="287">
        <f t="shared" si="1687"/>
        <v>1</v>
      </c>
      <c r="M676" s="167"/>
      <c r="N676" s="94"/>
      <c r="O676" s="1316"/>
      <c r="S676" s="95"/>
      <c r="T676" s="1103"/>
    </row>
    <row r="677" spans="1:20">
      <c r="A677" s="160" t="s">
        <v>725</v>
      </c>
      <c r="B677" s="291" t="s">
        <v>827</v>
      </c>
      <c r="C677" s="154"/>
      <c r="D677" s="154"/>
      <c r="E677" s="89">
        <f>E675*E676</f>
        <v>0</v>
      </c>
      <c r="F677" s="89">
        <f t="shared" ref="F677:J677" si="1688">F675*F676</f>
        <v>0</v>
      </c>
      <c r="G677" s="89">
        <f t="shared" si="1688"/>
        <v>0</v>
      </c>
      <c r="H677" s="89">
        <f t="shared" si="1688"/>
        <v>0</v>
      </c>
      <c r="I677" s="89">
        <f t="shared" si="1688"/>
        <v>0</v>
      </c>
      <c r="J677" s="89">
        <f t="shared" si="1688"/>
        <v>0</v>
      </c>
      <c r="K677" s="89">
        <f t="shared" ref="K677:L677" si="1689">K675*K676</f>
        <v>0</v>
      </c>
      <c r="L677" s="89">
        <f t="shared" si="1689"/>
        <v>0</v>
      </c>
      <c r="M677" s="167">
        <f t="shared" ref="M677" si="1690">SUM(F677:H677)</f>
        <v>0</v>
      </c>
      <c r="N677" s="94">
        <f t="shared" ref="N677" si="1691">SUM(F677:J677)</f>
        <v>0</v>
      </c>
      <c r="O677" s="1316">
        <f t="shared" si="1662"/>
        <v>0</v>
      </c>
      <c r="S677" s="95"/>
      <c r="T677" s="1103"/>
    </row>
    <row r="678" spans="1:20">
      <c r="A678" s="162"/>
      <c r="B678" s="154"/>
      <c r="C678" s="154"/>
      <c r="D678" s="154"/>
      <c r="E678" s="266"/>
      <c r="F678" s="266"/>
      <c r="G678" s="266"/>
      <c r="H678" s="267"/>
      <c r="I678" s="267"/>
      <c r="J678" s="267"/>
      <c r="K678" s="267"/>
      <c r="L678" s="267"/>
      <c r="M678" s="168"/>
      <c r="N678" s="173"/>
      <c r="O678" s="1316">
        <f t="shared" si="1662"/>
        <v>0</v>
      </c>
      <c r="S678" s="95"/>
      <c r="T678" s="1103"/>
    </row>
    <row r="679" spans="1:20" ht="15.75">
      <c r="A679" s="260" t="s">
        <v>757</v>
      </c>
      <c r="B679" s="268" t="s">
        <v>726</v>
      </c>
      <c r="C679" s="269"/>
      <c r="D679" s="269"/>
      <c r="E679" s="270"/>
      <c r="F679" s="270"/>
      <c r="G679" s="270"/>
      <c r="H679" s="271"/>
      <c r="I679" s="271"/>
      <c r="J679" s="271"/>
      <c r="K679" s="271"/>
      <c r="L679" s="271"/>
      <c r="M679" s="177"/>
      <c r="N679" s="178"/>
      <c r="O679" s="1316">
        <f t="shared" si="1662"/>
        <v>0</v>
      </c>
      <c r="S679" s="95"/>
      <c r="T679" s="1103"/>
    </row>
    <row r="680" spans="1:20">
      <c r="A680" s="183">
        <v>1</v>
      </c>
      <c r="B680" s="182" t="str">
        <f>B199</f>
        <v>DSM:</v>
      </c>
      <c r="C680" s="290"/>
      <c r="D680" s="290"/>
      <c r="E680" s="184"/>
      <c r="F680" s="184"/>
      <c r="G680" s="184"/>
      <c r="H680" s="184"/>
      <c r="I680" s="184"/>
      <c r="J680" s="184"/>
      <c r="K680" s="184"/>
      <c r="L680" s="184"/>
      <c r="M680" s="180"/>
      <c r="N680" s="181"/>
      <c r="O680" s="1316">
        <f t="shared" si="1662"/>
        <v>0</v>
      </c>
      <c r="S680" s="95"/>
      <c r="T680" s="1103"/>
    </row>
    <row r="681" spans="1:20">
      <c r="A681" s="162">
        <v>1.1000000000000001</v>
      </c>
      <c r="B681" s="159" t="s">
        <v>663</v>
      </c>
      <c r="C681" s="91"/>
      <c r="D681" s="91"/>
      <c r="E681" s="92">
        <f t="shared" ref="E681:J681" si="1692">E205</f>
        <v>18442.099200000001</v>
      </c>
      <c r="F681" s="92">
        <f t="shared" si="1692"/>
        <v>17392.290300000001</v>
      </c>
      <c r="G681" s="92">
        <f t="shared" si="1692"/>
        <v>16058.473199999999</v>
      </c>
      <c r="H681" s="92">
        <f t="shared" si="1692"/>
        <v>14660.551619999998</v>
      </c>
      <c r="I681" s="92">
        <f t="shared" si="1692"/>
        <v>11171.635199999999</v>
      </c>
      <c r="J681" s="92">
        <f t="shared" si="1692"/>
        <v>7659.9022499999992</v>
      </c>
      <c r="K681" s="92">
        <f t="shared" ref="K681:L681" si="1693">K205</f>
        <v>7425.9685500000005</v>
      </c>
      <c r="L681" s="92">
        <f t="shared" si="1693"/>
        <v>7234.8275999999987</v>
      </c>
      <c r="M681" s="167">
        <f t="shared" ref="M681" si="1694">SUM(F681:H681)</f>
        <v>48111.315119999999</v>
      </c>
      <c r="N681" s="94">
        <f t="shared" ref="N681" si="1695">SUM(F681:J681)</f>
        <v>66942.852569999988</v>
      </c>
      <c r="O681" s="1316">
        <f t="shared" si="1662"/>
        <v>33492.333599999998</v>
      </c>
      <c r="S681" s="95"/>
      <c r="T681" s="1103"/>
    </row>
    <row r="682" spans="1:20">
      <c r="A682" s="162">
        <v>1.2</v>
      </c>
      <c r="B682" s="159" t="s">
        <v>664</v>
      </c>
      <c r="C682" s="163"/>
      <c r="D682" s="163"/>
      <c r="E682" s="92">
        <f>SUM(E683:E688)</f>
        <v>16240.090399999999</v>
      </c>
      <c r="F682" s="92">
        <f t="shared" ref="F682:J682" si="1696">SUM(F683:F688)</f>
        <v>14968.002399999999</v>
      </c>
      <c r="G682" s="92">
        <f t="shared" si="1696"/>
        <v>13780.961249999998</v>
      </c>
      <c r="H682" s="92">
        <f t="shared" si="1696"/>
        <v>13283.308499999999</v>
      </c>
      <c r="I682" s="92">
        <f t="shared" si="1696"/>
        <v>12897.276000000002</v>
      </c>
      <c r="J682" s="92">
        <f t="shared" si="1696"/>
        <v>12543.163500000001</v>
      </c>
      <c r="K682" s="92">
        <f t="shared" ref="K682:L682" si="1697">SUM(K683:K688)</f>
        <v>12221.5695</v>
      </c>
      <c r="L682" s="92">
        <f t="shared" si="1697"/>
        <v>11940.474</v>
      </c>
      <c r="M682" s="167">
        <f t="shared" ref="M682:M683" si="1698">SUM(F682:H682)</f>
        <v>42032.272149999997</v>
      </c>
      <c r="N682" s="94">
        <f t="shared" ref="N682:N683" si="1699">SUM(F682:J682)</f>
        <v>67472.711649999997</v>
      </c>
      <c r="O682" s="1316">
        <f t="shared" si="1662"/>
        <v>49602.483</v>
      </c>
      <c r="S682" s="95"/>
      <c r="T682" s="1103"/>
    </row>
    <row r="683" spans="1:20">
      <c r="A683" s="160" t="s">
        <v>241</v>
      </c>
      <c r="B683" s="291" t="str">
        <f t="shared" ref="B683:B688" si="1700">B183</f>
        <v>First-line treatment</v>
      </c>
      <c r="C683" s="154"/>
      <c r="D683" s="154"/>
      <c r="E683" s="295">
        <f t="shared" ref="E683:J683" si="1701">E271</f>
        <v>8162.1377999999995</v>
      </c>
      <c r="F683" s="295">
        <f t="shared" si="1701"/>
        <v>7495.8277499999995</v>
      </c>
      <c r="G683" s="295">
        <f t="shared" si="1701"/>
        <v>6811.2292499999994</v>
      </c>
      <c r="H683" s="295">
        <f t="shared" si="1701"/>
        <v>6458.4135000000006</v>
      </c>
      <c r="I683" s="295">
        <f t="shared" si="1701"/>
        <v>6183.7019999999993</v>
      </c>
      <c r="J683" s="295">
        <f t="shared" si="1701"/>
        <v>5957.4690000000001</v>
      </c>
      <c r="K683" s="295">
        <f t="shared" ref="K683:L683" si="1702">K271</f>
        <v>5768.9414999999999</v>
      </c>
      <c r="L683" s="295">
        <f t="shared" si="1702"/>
        <v>5612.7330000000002</v>
      </c>
      <c r="M683" s="166">
        <f t="shared" si="1698"/>
        <v>20765.470499999999</v>
      </c>
      <c r="N683" s="172">
        <f t="shared" si="1699"/>
        <v>32906.641499999998</v>
      </c>
      <c r="O683" s="1316">
        <f t="shared" si="1662"/>
        <v>23522.845499999999</v>
      </c>
      <c r="S683" s="95"/>
      <c r="T683" s="1103"/>
    </row>
    <row r="684" spans="1:20">
      <c r="A684" s="160" t="s">
        <v>242</v>
      </c>
      <c r="B684" s="291" t="str">
        <f t="shared" si="1700"/>
        <v>PDR-TB</v>
      </c>
      <c r="C684" s="154"/>
      <c r="D684" s="154"/>
      <c r="E684" s="295">
        <f t="shared" ref="E684:J684" si="1703">E340</f>
        <v>503.29859999999996</v>
      </c>
      <c r="F684" s="295">
        <f t="shared" si="1703"/>
        <v>446.40214999999989</v>
      </c>
      <c r="G684" s="295">
        <f t="shared" si="1703"/>
        <v>383.23950000000002</v>
      </c>
      <c r="H684" s="295">
        <f t="shared" si="1703"/>
        <v>349.32449999999994</v>
      </c>
      <c r="I684" s="295">
        <f t="shared" si="1703"/>
        <v>318.80099999999999</v>
      </c>
      <c r="J684" s="295">
        <f t="shared" si="1703"/>
        <v>284.88599999999997</v>
      </c>
      <c r="K684" s="295">
        <f t="shared" ref="K684:L684" si="1704">K340</f>
        <v>271.32</v>
      </c>
      <c r="L684" s="295">
        <f t="shared" si="1704"/>
        <v>261.14550000000003</v>
      </c>
      <c r="M684" s="166">
        <f t="shared" ref="M684:M689" si="1705">SUM(F684:H684)</f>
        <v>1178.9661499999997</v>
      </c>
      <c r="N684" s="172">
        <f t="shared" ref="N684:N689" si="1706">SUM(F684:J684)</f>
        <v>1782.6531499999996</v>
      </c>
      <c r="O684" s="1316">
        <f t="shared" si="1662"/>
        <v>1136.1524999999999</v>
      </c>
      <c r="S684" s="95"/>
      <c r="T684" s="1103"/>
    </row>
    <row r="685" spans="1:20">
      <c r="A685" s="160" t="s">
        <v>327</v>
      </c>
      <c r="B685" s="291" t="str">
        <f t="shared" si="1700"/>
        <v>MDR-TB: no resistance to SLDs</v>
      </c>
      <c r="C685" s="154"/>
      <c r="D685" s="154"/>
      <c r="E685" s="295">
        <f t="shared" ref="E685:J685" si="1707">E409</f>
        <v>5091.3920000000007</v>
      </c>
      <c r="F685" s="295">
        <f t="shared" si="1707"/>
        <v>4698.5479999999998</v>
      </c>
      <c r="G685" s="295">
        <f t="shared" si="1707"/>
        <v>4357.08</v>
      </c>
      <c r="H685" s="295">
        <f t="shared" si="1707"/>
        <v>4229.3999999999996</v>
      </c>
      <c r="I685" s="295">
        <f t="shared" si="1707"/>
        <v>4133.6399999999994</v>
      </c>
      <c r="J685" s="295">
        <f t="shared" si="1707"/>
        <v>4037.88</v>
      </c>
      <c r="K685" s="295">
        <f t="shared" ref="K685:L685" si="1708">K409</f>
        <v>3974.0399999999995</v>
      </c>
      <c r="L685" s="295">
        <f t="shared" si="1708"/>
        <v>3910.2</v>
      </c>
      <c r="M685" s="166">
        <f t="shared" si="1705"/>
        <v>13285.028</v>
      </c>
      <c r="N685" s="172">
        <f t="shared" si="1706"/>
        <v>21456.547999999999</v>
      </c>
      <c r="O685" s="1316">
        <f t="shared" si="1662"/>
        <v>16055.759999999998</v>
      </c>
      <c r="S685" s="95"/>
      <c r="T685" s="1103"/>
    </row>
    <row r="686" spans="1:20">
      <c r="A686" s="160" t="s">
        <v>328</v>
      </c>
      <c r="B686" s="291" t="str">
        <f t="shared" si="1700"/>
        <v>MDR-TB: 'pre-XDR'</v>
      </c>
      <c r="C686" s="266"/>
      <c r="D686" s="266"/>
      <c r="E686" s="89">
        <f t="shared" ref="E686:J686" si="1709">E478</f>
        <v>2011.9860000000001</v>
      </c>
      <c r="F686" s="89">
        <f t="shared" si="1709"/>
        <v>1858.1714999999997</v>
      </c>
      <c r="G686" s="89">
        <f t="shared" si="1709"/>
        <v>1777.5450000000001</v>
      </c>
      <c r="H686" s="89">
        <f t="shared" si="1709"/>
        <v>1777.5450000000001</v>
      </c>
      <c r="I686" s="89">
        <f t="shared" si="1709"/>
        <v>1777.5450000000001</v>
      </c>
      <c r="J686" s="89">
        <f t="shared" si="1709"/>
        <v>1777.5450000000001</v>
      </c>
      <c r="K686" s="89">
        <f t="shared" ref="K686:L686" si="1710">K478</f>
        <v>1723.68</v>
      </c>
      <c r="L686" s="89">
        <f t="shared" si="1710"/>
        <v>1687.77</v>
      </c>
      <c r="M686" s="166">
        <f t="shared" si="1705"/>
        <v>5413.2614999999996</v>
      </c>
      <c r="N686" s="172">
        <f t="shared" si="1706"/>
        <v>8968.3515000000007</v>
      </c>
      <c r="O686" s="1316">
        <f t="shared" si="1662"/>
        <v>6966.5400000000009</v>
      </c>
      <c r="S686" s="95"/>
      <c r="T686" s="1103"/>
    </row>
    <row r="687" spans="1:20">
      <c r="A687" s="160" t="s">
        <v>329</v>
      </c>
      <c r="B687" s="291" t="str">
        <f t="shared" si="1700"/>
        <v>MDR-TB: XDR</v>
      </c>
      <c r="C687" s="266"/>
      <c r="D687" s="266"/>
      <c r="E687" s="89">
        <f t="shared" ref="E687:J687" si="1711">E547</f>
        <v>456.77519999999993</v>
      </c>
      <c r="F687" s="89">
        <f t="shared" si="1711"/>
        <v>454.62059999999991</v>
      </c>
      <c r="G687" s="89">
        <f t="shared" si="1711"/>
        <v>435.70799999999997</v>
      </c>
      <c r="H687" s="89">
        <f t="shared" si="1711"/>
        <v>452.46599999999995</v>
      </c>
      <c r="I687" s="89">
        <f t="shared" si="1711"/>
        <v>469.22399999999999</v>
      </c>
      <c r="J687" s="89">
        <f t="shared" si="1711"/>
        <v>469.22399999999999</v>
      </c>
      <c r="K687" s="89">
        <f t="shared" ref="K687:L687" si="1712">K547</f>
        <v>469.22399999999999</v>
      </c>
      <c r="L687" s="89">
        <f t="shared" si="1712"/>
        <v>452.46599999999995</v>
      </c>
      <c r="M687" s="166">
        <f t="shared" si="1705"/>
        <v>1342.7945999999997</v>
      </c>
      <c r="N687" s="172">
        <f t="shared" si="1706"/>
        <v>2281.2425999999996</v>
      </c>
      <c r="O687" s="1316">
        <f t="shared" si="1662"/>
        <v>1860.1379999999999</v>
      </c>
      <c r="S687" s="95"/>
      <c r="T687" s="1103"/>
    </row>
    <row r="688" spans="1:20">
      <c r="A688" s="160" t="s">
        <v>330</v>
      </c>
      <c r="B688" s="291" t="str">
        <f t="shared" si="1700"/>
        <v>Other treatment and palliative care</v>
      </c>
      <c r="C688" s="266"/>
      <c r="D688" s="266"/>
      <c r="E688" s="89">
        <f t="shared" ref="E688:J688" si="1713">E616</f>
        <v>14.5008</v>
      </c>
      <c r="F688" s="89">
        <f t="shared" si="1713"/>
        <v>14.432399999999177</v>
      </c>
      <c r="G688" s="89">
        <f t="shared" si="1713"/>
        <v>16.159499999999184</v>
      </c>
      <c r="H688" s="89">
        <f t="shared" si="1713"/>
        <v>16.159500000000001</v>
      </c>
      <c r="I688" s="89">
        <f t="shared" si="1713"/>
        <v>14.364000000000818</v>
      </c>
      <c r="J688" s="89">
        <f t="shared" si="1713"/>
        <v>16.159500000000001</v>
      </c>
      <c r="K688" s="89">
        <f t="shared" ref="K688:L688" si="1714">K616</f>
        <v>14.364000000000001</v>
      </c>
      <c r="L688" s="89">
        <f t="shared" si="1714"/>
        <v>16.159500000000001</v>
      </c>
      <c r="M688" s="166">
        <f t="shared" si="1705"/>
        <v>46.751399999998362</v>
      </c>
      <c r="N688" s="172">
        <f t="shared" si="1706"/>
        <v>77.274899999999178</v>
      </c>
      <c r="O688" s="1316">
        <f t="shared" si="1662"/>
        <v>61.047000000000821</v>
      </c>
      <c r="S688" s="95"/>
      <c r="T688" s="1103"/>
    </row>
    <row r="689" spans="1:20">
      <c r="A689" s="162">
        <v>1.3</v>
      </c>
      <c r="B689" s="159" t="s">
        <v>4</v>
      </c>
      <c r="C689" s="163"/>
      <c r="D689" s="163"/>
      <c r="E689" s="92">
        <f>SUM(E681:E682)</f>
        <v>34682.189599999998</v>
      </c>
      <c r="F689" s="92">
        <f t="shared" ref="F689:J689" si="1715">SUM(F681:F682)</f>
        <v>32360.292699999998</v>
      </c>
      <c r="G689" s="92">
        <f t="shared" si="1715"/>
        <v>29839.434449999997</v>
      </c>
      <c r="H689" s="92">
        <f t="shared" si="1715"/>
        <v>27943.860119999998</v>
      </c>
      <c r="I689" s="92">
        <f t="shared" si="1715"/>
        <v>24068.911200000002</v>
      </c>
      <c r="J689" s="92">
        <f t="shared" si="1715"/>
        <v>20203.065750000002</v>
      </c>
      <c r="K689" s="92">
        <f t="shared" ref="K689:L689" si="1716">SUM(K681:K682)</f>
        <v>19647.538049999999</v>
      </c>
      <c r="L689" s="92">
        <f t="shared" si="1716"/>
        <v>19175.301599999999</v>
      </c>
      <c r="M689" s="167">
        <f t="shared" si="1705"/>
        <v>90143.587269999989</v>
      </c>
      <c r="N689" s="94">
        <f t="shared" si="1706"/>
        <v>134415.56422</v>
      </c>
      <c r="O689" s="1316">
        <f t="shared" si="1662"/>
        <v>83094.816599999991</v>
      </c>
      <c r="S689" s="95"/>
      <c r="T689" s="1103"/>
    </row>
    <row r="690" spans="1:20">
      <c r="A690" s="183">
        <v>2</v>
      </c>
      <c r="B690" s="182" t="str">
        <f>B208</f>
        <v>Xpert MTB/RIF:</v>
      </c>
      <c r="C690" s="290"/>
      <c r="D690" s="290"/>
      <c r="E690" s="184"/>
      <c r="F690" s="184"/>
      <c r="G690" s="184"/>
      <c r="H690" s="184"/>
      <c r="I690" s="184"/>
      <c r="J690" s="184"/>
      <c r="K690" s="184"/>
      <c r="L690" s="184"/>
      <c r="M690" s="180"/>
      <c r="N690" s="181"/>
      <c r="O690" s="1316">
        <f t="shared" si="1662"/>
        <v>0</v>
      </c>
      <c r="S690" s="95"/>
      <c r="T690" s="1103"/>
    </row>
    <row r="691" spans="1:20">
      <c r="A691" s="162">
        <v>2.1</v>
      </c>
      <c r="B691" s="159" t="s">
        <v>663</v>
      </c>
      <c r="C691" s="91"/>
      <c r="D691" s="91"/>
      <c r="E691" s="92">
        <f t="shared" ref="E691:J691" si="1717">E214</f>
        <v>12132.96</v>
      </c>
      <c r="F691" s="92">
        <f t="shared" si="1717"/>
        <v>17087.162400000001</v>
      </c>
      <c r="G691" s="92">
        <f t="shared" si="1717"/>
        <v>19318.464</v>
      </c>
      <c r="H691" s="92">
        <f t="shared" si="1717"/>
        <v>19997.05716</v>
      </c>
      <c r="I691" s="92">
        <f t="shared" si="1717"/>
        <v>20878.663679999998</v>
      </c>
      <c r="J691" s="92">
        <f t="shared" si="1717"/>
        <v>21487.518</v>
      </c>
      <c r="K691" s="92">
        <f t="shared" ref="K691:L691" si="1718">K214</f>
        <v>20831.288399999998</v>
      </c>
      <c r="L691" s="92">
        <f t="shared" si="1718"/>
        <v>20295.1008</v>
      </c>
      <c r="M691" s="167">
        <f t="shared" ref="M691:M699" si="1719">SUM(F691:H691)</f>
        <v>56402.683560000005</v>
      </c>
      <c r="N691" s="94">
        <f t="shared" ref="N691:N699" si="1720">SUM(F691:J691)</f>
        <v>98768.865239999999</v>
      </c>
      <c r="O691" s="1316">
        <f t="shared" si="1662"/>
        <v>83492.570879999985</v>
      </c>
      <c r="S691" s="95"/>
      <c r="T691" s="1103"/>
    </row>
    <row r="692" spans="1:20">
      <c r="A692" s="162">
        <v>2.2000000000000002</v>
      </c>
      <c r="B692" s="159" t="s">
        <v>664</v>
      </c>
      <c r="C692" s="163"/>
      <c r="D692" s="163"/>
      <c r="E692" s="92">
        <f>SUM(E693:E698)</f>
        <v>174.68799999999999</v>
      </c>
      <c r="F692" s="92">
        <f t="shared" ref="F692:J692" si="1721">SUM(F693:F698)</f>
        <v>223.91319999999996</v>
      </c>
      <c r="G692" s="92">
        <f t="shared" si="1721"/>
        <v>231.42000000000004</v>
      </c>
      <c r="H692" s="92">
        <f t="shared" si="1721"/>
        <v>231.30029999999999</v>
      </c>
      <c r="I692" s="92">
        <f t="shared" si="1721"/>
        <v>233.06130000000002</v>
      </c>
      <c r="J692" s="92">
        <f t="shared" si="1721"/>
        <v>235.14400000000001</v>
      </c>
      <c r="K692" s="92">
        <f t="shared" ref="K692:L692" si="1722">SUM(K693:K698)</f>
        <v>227.4376</v>
      </c>
      <c r="L692" s="92">
        <f t="shared" si="1722"/>
        <v>221.11440000000002</v>
      </c>
      <c r="M692" s="167">
        <f t="shared" si="1719"/>
        <v>686.63350000000003</v>
      </c>
      <c r="N692" s="94">
        <f t="shared" si="1720"/>
        <v>1154.8388</v>
      </c>
      <c r="O692" s="1316">
        <f t="shared" si="1662"/>
        <v>916.7573000000001</v>
      </c>
      <c r="S692" s="95"/>
      <c r="T692" s="1103"/>
    </row>
    <row r="693" spans="1:20">
      <c r="A693" s="160" t="s">
        <v>350</v>
      </c>
      <c r="B693" s="291" t="str">
        <f t="shared" ref="B693:B698" si="1723">B183</f>
        <v>First-line treatment</v>
      </c>
      <c r="C693" s="154"/>
      <c r="D693" s="154"/>
      <c r="E693" s="295">
        <f t="shared" ref="E693:J693" si="1724">E280</f>
        <v>159.10599999999999</v>
      </c>
      <c r="F693" s="295">
        <f t="shared" si="1724"/>
        <v>204.56449999999995</v>
      </c>
      <c r="G693" s="295">
        <f t="shared" si="1724"/>
        <v>212.43600000000004</v>
      </c>
      <c r="H693" s="295">
        <f t="shared" si="1724"/>
        <v>213.00235000000001</v>
      </c>
      <c r="I693" s="295">
        <f t="shared" si="1724"/>
        <v>215.42220000000003</v>
      </c>
      <c r="J693" s="295">
        <f t="shared" si="1724"/>
        <v>218.54560000000001</v>
      </c>
      <c r="K693" s="295">
        <f t="shared" ref="K693:L693" si="1725">K280</f>
        <v>211.62960000000001</v>
      </c>
      <c r="L693" s="295">
        <f t="shared" si="1725"/>
        <v>205.89920000000001</v>
      </c>
      <c r="M693" s="166">
        <f t="shared" si="1719"/>
        <v>630.00284999999997</v>
      </c>
      <c r="N693" s="172">
        <f t="shared" si="1720"/>
        <v>1063.97065</v>
      </c>
      <c r="O693" s="1316">
        <f t="shared" si="1662"/>
        <v>851.49659999999994</v>
      </c>
      <c r="S693" s="95"/>
      <c r="T693" s="1103"/>
    </row>
    <row r="694" spans="1:20">
      <c r="A694" s="160" t="s">
        <v>351</v>
      </c>
      <c r="B694" s="291" t="str">
        <f t="shared" si="1723"/>
        <v>PDR-TB</v>
      </c>
      <c r="C694" s="154"/>
      <c r="D694" s="154"/>
      <c r="E694" s="295">
        <f t="shared" ref="E694:J694" si="1726">E349</f>
        <v>15.582000000000003</v>
      </c>
      <c r="F694" s="295">
        <f t="shared" si="1726"/>
        <v>19.348700000000001</v>
      </c>
      <c r="G694" s="295">
        <f t="shared" si="1726"/>
        <v>18.984000000000005</v>
      </c>
      <c r="H694" s="295">
        <f t="shared" si="1726"/>
        <v>18.29795</v>
      </c>
      <c r="I694" s="295">
        <f t="shared" si="1726"/>
        <v>17.639099999999999</v>
      </c>
      <c r="J694" s="295">
        <f t="shared" si="1726"/>
        <v>16.598400000000002</v>
      </c>
      <c r="K694" s="295">
        <f t="shared" ref="K694:L694" si="1727">K349</f>
        <v>15.808</v>
      </c>
      <c r="L694" s="295">
        <f t="shared" si="1727"/>
        <v>15.215200000000001</v>
      </c>
      <c r="M694" s="166">
        <f t="shared" si="1719"/>
        <v>56.630650000000003</v>
      </c>
      <c r="N694" s="172">
        <f t="shared" si="1720"/>
        <v>90.86815</v>
      </c>
      <c r="O694" s="1316">
        <f t="shared" si="1662"/>
        <v>65.2607</v>
      </c>
      <c r="S694" s="95"/>
      <c r="T694" s="1103"/>
    </row>
    <row r="695" spans="1:20">
      <c r="A695" s="160" t="s">
        <v>352</v>
      </c>
      <c r="B695" s="291" t="str">
        <f t="shared" si="1723"/>
        <v>MDR-TB: no resistance to SLDs</v>
      </c>
      <c r="C695" s="154"/>
      <c r="D695" s="154"/>
      <c r="E695" s="295">
        <f t="shared" ref="E695:J695" si="1728">E418</f>
        <v>0</v>
      </c>
      <c r="F695" s="295">
        <f t="shared" si="1728"/>
        <v>0</v>
      </c>
      <c r="G695" s="295">
        <f t="shared" si="1728"/>
        <v>0</v>
      </c>
      <c r="H695" s="295">
        <f t="shared" si="1728"/>
        <v>0</v>
      </c>
      <c r="I695" s="295">
        <f t="shared" si="1728"/>
        <v>0</v>
      </c>
      <c r="J695" s="295">
        <f t="shared" si="1728"/>
        <v>0</v>
      </c>
      <c r="K695" s="295">
        <f t="shared" ref="K695:L695" si="1729">K418</f>
        <v>0</v>
      </c>
      <c r="L695" s="295">
        <f t="shared" si="1729"/>
        <v>0</v>
      </c>
      <c r="M695" s="166">
        <f t="shared" si="1719"/>
        <v>0</v>
      </c>
      <c r="N695" s="172">
        <f t="shared" si="1720"/>
        <v>0</v>
      </c>
      <c r="O695" s="1316">
        <f t="shared" si="1662"/>
        <v>0</v>
      </c>
      <c r="S695" s="95"/>
      <c r="T695" s="1103"/>
    </row>
    <row r="696" spans="1:20">
      <c r="A696" s="160" t="s">
        <v>353</v>
      </c>
      <c r="B696" s="291" t="str">
        <f t="shared" si="1723"/>
        <v>MDR-TB: 'pre-XDR'</v>
      </c>
      <c r="C696" s="266"/>
      <c r="D696" s="266"/>
      <c r="E696" s="89">
        <f t="shared" ref="E696:J696" si="1730">E487</f>
        <v>0</v>
      </c>
      <c r="F696" s="89">
        <f t="shared" si="1730"/>
        <v>0</v>
      </c>
      <c r="G696" s="89">
        <f t="shared" si="1730"/>
        <v>0</v>
      </c>
      <c r="H696" s="89">
        <f t="shared" si="1730"/>
        <v>0</v>
      </c>
      <c r="I696" s="89">
        <f t="shared" si="1730"/>
        <v>0</v>
      </c>
      <c r="J696" s="89">
        <f t="shared" si="1730"/>
        <v>0</v>
      </c>
      <c r="K696" s="89">
        <f t="shared" ref="K696:L696" si="1731">K487</f>
        <v>0</v>
      </c>
      <c r="L696" s="89">
        <f t="shared" si="1731"/>
        <v>0</v>
      </c>
      <c r="M696" s="166">
        <f t="shared" si="1719"/>
        <v>0</v>
      </c>
      <c r="N696" s="172">
        <f t="shared" si="1720"/>
        <v>0</v>
      </c>
      <c r="O696" s="1316">
        <f t="shared" si="1662"/>
        <v>0</v>
      </c>
      <c r="S696" s="95"/>
      <c r="T696" s="1103"/>
    </row>
    <row r="697" spans="1:20">
      <c r="A697" s="160" t="s">
        <v>354</v>
      </c>
      <c r="B697" s="291" t="str">
        <f t="shared" si="1723"/>
        <v>MDR-TB: XDR</v>
      </c>
      <c r="C697" s="266"/>
      <c r="D697" s="266"/>
      <c r="E697" s="89">
        <f t="shared" ref="E697:J697" si="1732">E556</f>
        <v>0</v>
      </c>
      <c r="F697" s="89">
        <f t="shared" si="1732"/>
        <v>0</v>
      </c>
      <c r="G697" s="89">
        <f t="shared" si="1732"/>
        <v>0</v>
      </c>
      <c r="H697" s="89">
        <f t="shared" si="1732"/>
        <v>0</v>
      </c>
      <c r="I697" s="89">
        <f t="shared" si="1732"/>
        <v>0</v>
      </c>
      <c r="J697" s="89">
        <f t="shared" si="1732"/>
        <v>0</v>
      </c>
      <c r="K697" s="89">
        <f t="shared" ref="K697:L697" si="1733">K556</f>
        <v>0</v>
      </c>
      <c r="L697" s="89">
        <f t="shared" si="1733"/>
        <v>0</v>
      </c>
      <c r="M697" s="166">
        <f t="shared" si="1719"/>
        <v>0</v>
      </c>
      <c r="N697" s="172">
        <f t="shared" si="1720"/>
        <v>0</v>
      </c>
      <c r="O697" s="1316">
        <f t="shared" si="1662"/>
        <v>0</v>
      </c>
      <c r="S697" s="95"/>
      <c r="T697" s="1103"/>
    </row>
    <row r="698" spans="1:20">
      <c r="A698" s="160" t="s">
        <v>355</v>
      </c>
      <c r="B698" s="291" t="str">
        <f t="shared" si="1723"/>
        <v>Other treatment and palliative care</v>
      </c>
      <c r="C698" s="266"/>
      <c r="D698" s="266"/>
      <c r="E698" s="89">
        <f t="shared" ref="E698:J698" si="1734">E625</f>
        <v>0</v>
      </c>
      <c r="F698" s="89">
        <f t="shared" si="1734"/>
        <v>0</v>
      </c>
      <c r="G698" s="89">
        <f t="shared" si="1734"/>
        <v>0</v>
      </c>
      <c r="H698" s="89">
        <f t="shared" si="1734"/>
        <v>0</v>
      </c>
      <c r="I698" s="89">
        <f t="shared" si="1734"/>
        <v>0</v>
      </c>
      <c r="J698" s="89">
        <f t="shared" si="1734"/>
        <v>0</v>
      </c>
      <c r="K698" s="89">
        <f t="shared" ref="K698:L698" si="1735">K625</f>
        <v>0</v>
      </c>
      <c r="L698" s="89">
        <f t="shared" si="1735"/>
        <v>0</v>
      </c>
      <c r="M698" s="166">
        <f t="shared" si="1719"/>
        <v>0</v>
      </c>
      <c r="N698" s="172">
        <f t="shared" si="1720"/>
        <v>0</v>
      </c>
      <c r="O698" s="1316">
        <f t="shared" si="1662"/>
        <v>0</v>
      </c>
      <c r="S698" s="95"/>
      <c r="T698" s="1103"/>
    </row>
    <row r="699" spans="1:20">
      <c r="A699" s="162">
        <v>2.2999999999999998</v>
      </c>
      <c r="B699" s="159" t="s">
        <v>4</v>
      </c>
      <c r="C699" s="163"/>
      <c r="D699" s="163"/>
      <c r="E699" s="92">
        <f>SUM(E691:E692)</f>
        <v>12307.647999999999</v>
      </c>
      <c r="F699" s="92">
        <f t="shared" ref="F699:J699" si="1736">SUM(F691:F692)</f>
        <v>17311.0756</v>
      </c>
      <c r="G699" s="92">
        <f t="shared" si="1736"/>
        <v>19549.883999999998</v>
      </c>
      <c r="H699" s="92">
        <f t="shared" si="1736"/>
        <v>20228.357459999999</v>
      </c>
      <c r="I699" s="92">
        <f t="shared" si="1736"/>
        <v>21111.724979999999</v>
      </c>
      <c r="J699" s="92">
        <f t="shared" si="1736"/>
        <v>21722.662</v>
      </c>
      <c r="K699" s="92">
        <f t="shared" ref="K699:L699" si="1737">SUM(K691:K692)</f>
        <v>21058.725999999999</v>
      </c>
      <c r="L699" s="92">
        <f t="shared" si="1737"/>
        <v>20516.215199999999</v>
      </c>
      <c r="M699" s="167">
        <f t="shared" si="1719"/>
        <v>57089.317060000001</v>
      </c>
      <c r="N699" s="94">
        <f t="shared" si="1720"/>
        <v>99923.704039999997</v>
      </c>
      <c r="O699" s="1316">
        <f t="shared" si="1662"/>
        <v>84409.328179999982</v>
      </c>
      <c r="S699" s="95"/>
      <c r="T699" s="1103"/>
    </row>
    <row r="700" spans="1:20">
      <c r="A700" s="183">
        <v>3</v>
      </c>
      <c r="B700" s="182" t="str">
        <f>B217</f>
        <v>Culture:</v>
      </c>
      <c r="C700" s="290"/>
      <c r="D700" s="290"/>
      <c r="E700" s="184"/>
      <c r="F700" s="184"/>
      <c r="G700" s="184"/>
      <c r="H700" s="184"/>
      <c r="I700" s="184"/>
      <c r="J700" s="184"/>
      <c r="K700" s="184"/>
      <c r="L700" s="184"/>
      <c r="M700" s="180"/>
      <c r="N700" s="181"/>
      <c r="O700" s="1316">
        <f t="shared" si="1662"/>
        <v>0</v>
      </c>
      <c r="S700" s="95"/>
      <c r="T700" s="1103"/>
    </row>
    <row r="701" spans="1:20">
      <c r="A701" s="162">
        <v>3.1</v>
      </c>
      <c r="B701" s="159" t="s">
        <v>663</v>
      </c>
      <c r="C701" s="91"/>
      <c r="D701" s="91"/>
      <c r="E701" s="92">
        <f t="shared" ref="E701:J701" si="1738">E223</f>
        <v>7149.7799999999988</v>
      </c>
      <c r="F701" s="92">
        <f t="shared" si="1738"/>
        <v>7353.8572800000011</v>
      </c>
      <c r="G701" s="92">
        <f t="shared" si="1738"/>
        <v>7389.3124799999996</v>
      </c>
      <c r="H701" s="92">
        <f t="shared" si="1738"/>
        <v>7264.9859040000001</v>
      </c>
      <c r="I701" s="92">
        <f t="shared" si="1738"/>
        <v>6773.5388159999993</v>
      </c>
      <c r="J701" s="92">
        <f t="shared" si="1738"/>
        <v>6634.742400000001</v>
      </c>
      <c r="K701" s="92">
        <f t="shared" ref="K701:L701" si="1739">K223</f>
        <v>6432.1171200000008</v>
      </c>
      <c r="L701" s="92">
        <f t="shared" si="1739"/>
        <v>6266.5574399999987</v>
      </c>
      <c r="M701" s="167">
        <f t="shared" ref="M701:M709" si="1740">SUM(F701:H701)</f>
        <v>22008.155664000002</v>
      </c>
      <c r="N701" s="94">
        <f t="shared" ref="N701:N709" si="1741">SUM(F701:J701)</f>
        <v>35416.436880000001</v>
      </c>
      <c r="O701" s="1316">
        <f t="shared" si="1662"/>
        <v>26106.955775999995</v>
      </c>
      <c r="S701" s="95"/>
      <c r="T701" s="1103"/>
    </row>
    <row r="702" spans="1:20">
      <c r="A702" s="162">
        <v>3.2</v>
      </c>
      <c r="B702" s="159" t="s">
        <v>664</v>
      </c>
      <c r="C702" s="163"/>
      <c r="D702" s="163"/>
      <c r="E702" s="92">
        <f>SUM(E703:E708)</f>
        <v>5781.4626835830641</v>
      </c>
      <c r="F702" s="92">
        <f t="shared" ref="F702:J702" si="1742">SUM(F703:F708)</f>
        <v>6088.8230296200118</v>
      </c>
      <c r="G702" s="92">
        <f t="shared" si="1742"/>
        <v>6389.6370098426041</v>
      </c>
      <c r="H702" s="92">
        <f t="shared" si="1742"/>
        <v>6969.3290643200808</v>
      </c>
      <c r="I702" s="92">
        <f t="shared" si="1742"/>
        <v>7894.5896791319847</v>
      </c>
      <c r="J702" s="92">
        <f t="shared" si="1742"/>
        <v>7690.2057134965835</v>
      </c>
      <c r="K702" s="92">
        <f t="shared" ref="K702:L702" si="1743">SUM(K703:K708)</f>
        <v>7513.1501935475908</v>
      </c>
      <c r="L702" s="92">
        <f t="shared" si="1743"/>
        <v>7351.7359174218063</v>
      </c>
      <c r="M702" s="167">
        <f t="shared" si="1740"/>
        <v>19447.789103782696</v>
      </c>
      <c r="N702" s="94">
        <f t="shared" si="1741"/>
        <v>35032.584496411262</v>
      </c>
      <c r="O702" s="1316">
        <f t="shared" si="1662"/>
        <v>30449.681503597967</v>
      </c>
      <c r="S702" s="95"/>
      <c r="T702" s="1103"/>
    </row>
    <row r="703" spans="1:20">
      <c r="A703" s="160" t="s">
        <v>376</v>
      </c>
      <c r="B703" s="291" t="str">
        <f t="shared" ref="B703:B708" si="1744">B183</f>
        <v>First-line treatment</v>
      </c>
      <c r="C703" s="154"/>
      <c r="D703" s="154"/>
      <c r="E703" s="295">
        <f t="shared" ref="E703:J703" si="1745">E290</f>
        <v>1171.4376835830637</v>
      </c>
      <c r="F703" s="295">
        <f t="shared" si="1745"/>
        <v>1157.2230296200114</v>
      </c>
      <c r="G703" s="295">
        <f t="shared" si="1745"/>
        <v>1115.8120098426048</v>
      </c>
      <c r="H703" s="295">
        <f t="shared" si="1745"/>
        <v>1118.8790643200807</v>
      </c>
      <c r="I703" s="295">
        <f t="shared" si="1745"/>
        <v>2129.189679131985</v>
      </c>
      <c r="J703" s="295">
        <f t="shared" si="1745"/>
        <v>2028.3057134965825</v>
      </c>
      <c r="K703" s="295">
        <f t="shared" ref="K703:L703" si="1746">K290</f>
        <v>1962.8501935475906</v>
      </c>
      <c r="L703" s="295">
        <f t="shared" si="1746"/>
        <v>1910.7859174218072</v>
      </c>
      <c r="M703" s="166">
        <f t="shared" si="1740"/>
        <v>3391.9141037826967</v>
      </c>
      <c r="N703" s="172">
        <f t="shared" si="1741"/>
        <v>7549.4094964112646</v>
      </c>
      <c r="O703" s="1316">
        <f t="shared" si="1662"/>
        <v>8031.1315035979651</v>
      </c>
      <c r="S703" s="95"/>
      <c r="T703" s="1103"/>
    </row>
    <row r="704" spans="1:20">
      <c r="A704" s="160" t="s">
        <v>377</v>
      </c>
      <c r="B704" s="291" t="str">
        <f t="shared" si="1744"/>
        <v>PDR-TB</v>
      </c>
      <c r="C704" s="154"/>
      <c r="D704" s="154"/>
      <c r="E704" s="295">
        <f t="shared" ref="E704:J704" si="1747">E359</f>
        <v>275.625</v>
      </c>
      <c r="F704" s="295">
        <f t="shared" si="1747"/>
        <v>262</v>
      </c>
      <c r="G704" s="295">
        <f t="shared" si="1747"/>
        <v>240.125</v>
      </c>
      <c r="H704" s="295">
        <f t="shared" si="1747"/>
        <v>231.75</v>
      </c>
      <c r="I704" s="295">
        <f t="shared" si="1747"/>
        <v>211.5</v>
      </c>
      <c r="J704" s="295">
        <f t="shared" si="1747"/>
        <v>189.00000000000003</v>
      </c>
      <c r="K704" s="295">
        <f t="shared" ref="K704:L704" si="1748">K359</f>
        <v>180</v>
      </c>
      <c r="L704" s="295">
        <f t="shared" si="1748"/>
        <v>173.25</v>
      </c>
      <c r="M704" s="166">
        <f t="shared" si="1740"/>
        <v>733.875</v>
      </c>
      <c r="N704" s="172">
        <f t="shared" si="1741"/>
        <v>1134.375</v>
      </c>
      <c r="O704" s="1316">
        <f t="shared" si="1662"/>
        <v>753.75</v>
      </c>
      <c r="S704" s="95"/>
      <c r="T704" s="1103"/>
    </row>
    <row r="705" spans="1:20">
      <c r="A705" s="160" t="s">
        <v>378</v>
      </c>
      <c r="B705" s="291" t="str">
        <f t="shared" si="1744"/>
        <v>MDR-TB: no resistance to SLDs</v>
      </c>
      <c r="C705" s="154"/>
      <c r="D705" s="154"/>
      <c r="E705" s="295">
        <f t="shared" ref="E705:J705" si="1749">E428</f>
        <v>2844</v>
      </c>
      <c r="F705" s="295">
        <f t="shared" si="1749"/>
        <v>3047.2000000000003</v>
      </c>
      <c r="G705" s="295">
        <f t="shared" si="1749"/>
        <v>3248.7</v>
      </c>
      <c r="H705" s="295">
        <f t="shared" si="1749"/>
        <v>3577.5</v>
      </c>
      <c r="I705" s="295">
        <f t="shared" si="1749"/>
        <v>3496.4999999999995</v>
      </c>
      <c r="J705" s="295">
        <f t="shared" si="1749"/>
        <v>3415.5000000000005</v>
      </c>
      <c r="K705" s="295">
        <f t="shared" ref="K705:L705" si="1750">K428</f>
        <v>3361.5</v>
      </c>
      <c r="L705" s="295">
        <f t="shared" si="1750"/>
        <v>3307.4999999999995</v>
      </c>
      <c r="M705" s="166">
        <f t="shared" si="1740"/>
        <v>9873.4</v>
      </c>
      <c r="N705" s="172">
        <f t="shared" si="1741"/>
        <v>16785.400000000001</v>
      </c>
      <c r="O705" s="1316">
        <f t="shared" si="1662"/>
        <v>13581</v>
      </c>
      <c r="S705" s="95"/>
      <c r="T705" s="1103"/>
    </row>
    <row r="706" spans="1:20">
      <c r="A706" s="160" t="s">
        <v>379</v>
      </c>
      <c r="B706" s="291" t="str">
        <f t="shared" si="1744"/>
        <v>MDR-TB: 'pre-XDR'</v>
      </c>
      <c r="C706" s="266"/>
      <c r="D706" s="266"/>
      <c r="E706" s="89">
        <f t="shared" ref="E706:J706" si="1751">E497</f>
        <v>1198.8</v>
      </c>
      <c r="F706" s="89">
        <f t="shared" si="1751"/>
        <v>1285.4400000000003</v>
      </c>
      <c r="G706" s="89">
        <f t="shared" si="1751"/>
        <v>1413.7199999999996</v>
      </c>
      <c r="H706" s="89">
        <f t="shared" si="1751"/>
        <v>1603.8000000000002</v>
      </c>
      <c r="I706" s="89">
        <f t="shared" si="1751"/>
        <v>1603.8</v>
      </c>
      <c r="J706" s="89">
        <f t="shared" si="1751"/>
        <v>1603.8000000000002</v>
      </c>
      <c r="K706" s="89">
        <f t="shared" ref="K706:L706" si="1752">K497</f>
        <v>1555.2</v>
      </c>
      <c r="L706" s="89">
        <f t="shared" si="1752"/>
        <v>1522.8</v>
      </c>
      <c r="M706" s="166">
        <f t="shared" si="1740"/>
        <v>4302.96</v>
      </c>
      <c r="N706" s="172">
        <f t="shared" si="1741"/>
        <v>7510.56</v>
      </c>
      <c r="O706" s="1316">
        <f t="shared" si="1662"/>
        <v>6285.6</v>
      </c>
      <c r="S706" s="95"/>
      <c r="T706" s="1103"/>
    </row>
    <row r="707" spans="1:20">
      <c r="A707" s="160" t="s">
        <v>380</v>
      </c>
      <c r="B707" s="291" t="str">
        <f t="shared" si="1744"/>
        <v>MDR-TB: XDR</v>
      </c>
      <c r="C707" s="266"/>
      <c r="D707" s="266"/>
      <c r="E707" s="89">
        <f t="shared" ref="E707:J707" si="1753">E566</f>
        <v>291.59999999999997</v>
      </c>
      <c r="F707" s="89">
        <f t="shared" si="1753"/>
        <v>336.96000000000004</v>
      </c>
      <c r="G707" s="89">
        <f t="shared" si="1753"/>
        <v>371.27999999999992</v>
      </c>
      <c r="H707" s="89">
        <f t="shared" si="1753"/>
        <v>437.40000000000003</v>
      </c>
      <c r="I707" s="89">
        <f t="shared" si="1753"/>
        <v>453.59999999999991</v>
      </c>
      <c r="J707" s="89">
        <f t="shared" si="1753"/>
        <v>453.59999999999997</v>
      </c>
      <c r="K707" s="89">
        <f t="shared" ref="K707:L707" si="1754">K566</f>
        <v>453.59999999999997</v>
      </c>
      <c r="L707" s="89">
        <f t="shared" si="1754"/>
        <v>437.4</v>
      </c>
      <c r="M707" s="166">
        <f t="shared" si="1740"/>
        <v>1145.6400000000001</v>
      </c>
      <c r="N707" s="172">
        <f t="shared" si="1741"/>
        <v>2052.84</v>
      </c>
      <c r="O707" s="1316">
        <f t="shared" si="1662"/>
        <v>1798.1999999999998</v>
      </c>
      <c r="S707" s="95"/>
      <c r="T707" s="1103"/>
    </row>
    <row r="708" spans="1:20">
      <c r="A708" s="160" t="s">
        <v>381</v>
      </c>
      <c r="B708" s="291" t="str">
        <f t="shared" si="1744"/>
        <v>Other treatment and palliative care</v>
      </c>
      <c r="C708" s="266"/>
      <c r="D708" s="266"/>
      <c r="E708" s="89">
        <f t="shared" ref="E708:J708" si="1755">E635</f>
        <v>0</v>
      </c>
      <c r="F708" s="89">
        <f t="shared" si="1755"/>
        <v>0</v>
      </c>
      <c r="G708" s="89">
        <f t="shared" si="1755"/>
        <v>0</v>
      </c>
      <c r="H708" s="89">
        <f t="shared" si="1755"/>
        <v>0</v>
      </c>
      <c r="I708" s="89">
        <f t="shared" si="1755"/>
        <v>0</v>
      </c>
      <c r="J708" s="89">
        <f t="shared" si="1755"/>
        <v>0</v>
      </c>
      <c r="K708" s="89">
        <f t="shared" ref="K708:L708" si="1756">K635</f>
        <v>0</v>
      </c>
      <c r="L708" s="89">
        <f t="shared" si="1756"/>
        <v>0</v>
      </c>
      <c r="M708" s="166">
        <f t="shared" si="1740"/>
        <v>0</v>
      </c>
      <c r="N708" s="172">
        <f t="shared" si="1741"/>
        <v>0</v>
      </c>
      <c r="O708" s="1316">
        <f t="shared" si="1662"/>
        <v>0</v>
      </c>
      <c r="S708" s="95"/>
      <c r="T708" s="1103"/>
    </row>
    <row r="709" spans="1:20">
      <c r="A709" s="162">
        <v>3.3</v>
      </c>
      <c r="B709" s="159" t="s">
        <v>4</v>
      </c>
      <c r="C709" s="163"/>
      <c r="D709" s="163"/>
      <c r="E709" s="92">
        <f>SUM(E701:E702)</f>
        <v>12931.242683583063</v>
      </c>
      <c r="F709" s="92">
        <f t="shared" ref="F709:J709" si="1757">SUM(F701:F702)</f>
        <v>13442.680309620013</v>
      </c>
      <c r="G709" s="92">
        <f t="shared" si="1757"/>
        <v>13778.949489842604</v>
      </c>
      <c r="H709" s="92">
        <f t="shared" si="1757"/>
        <v>14234.314968320081</v>
      </c>
      <c r="I709" s="92">
        <f t="shared" si="1757"/>
        <v>14668.128495131983</v>
      </c>
      <c r="J709" s="92">
        <f t="shared" si="1757"/>
        <v>14324.948113496584</v>
      </c>
      <c r="K709" s="92">
        <f t="shared" ref="K709:L709" si="1758">SUM(K701:K702)</f>
        <v>13945.267313547592</v>
      </c>
      <c r="L709" s="92">
        <f t="shared" si="1758"/>
        <v>13618.293357421804</v>
      </c>
      <c r="M709" s="167">
        <f t="shared" si="1740"/>
        <v>41455.944767782697</v>
      </c>
      <c r="N709" s="94">
        <f t="shared" si="1741"/>
        <v>70449.02137641127</v>
      </c>
      <c r="O709" s="1316">
        <f t="shared" si="1662"/>
        <v>56556.637279597962</v>
      </c>
      <c r="S709" s="95"/>
      <c r="T709" s="1103"/>
    </row>
    <row r="710" spans="1:20">
      <c r="A710" s="183">
        <v>4</v>
      </c>
      <c r="B710" s="182" t="str">
        <f>B226</f>
        <v>DST-1 (MGIT):</v>
      </c>
      <c r="C710" s="290"/>
      <c r="D710" s="290"/>
      <c r="E710" s="184"/>
      <c r="F710" s="184"/>
      <c r="G710" s="184"/>
      <c r="H710" s="184"/>
      <c r="I710" s="184"/>
      <c r="J710" s="184"/>
      <c r="K710" s="184"/>
      <c r="L710" s="184"/>
      <c r="M710" s="180"/>
      <c r="N710" s="181"/>
      <c r="O710" s="1316">
        <f t="shared" si="1662"/>
        <v>0</v>
      </c>
      <c r="S710" s="95"/>
      <c r="T710" s="1103"/>
    </row>
    <row r="711" spans="1:20">
      <c r="A711" s="162">
        <v>4.0999999999999996</v>
      </c>
      <c r="B711" s="159" t="s">
        <v>663</v>
      </c>
      <c r="C711" s="91"/>
      <c r="D711" s="91"/>
      <c r="E711" s="92">
        <f t="shared" ref="E711:J711" si="1759">E232</f>
        <v>1440.6939</v>
      </c>
      <c r="F711" s="92">
        <f t="shared" si="1759"/>
        <v>1423.2672000000002</v>
      </c>
      <c r="G711" s="92">
        <f t="shared" si="1759"/>
        <v>1378.5646799999997</v>
      </c>
      <c r="H711" s="92">
        <f t="shared" si="1759"/>
        <v>1391.8715999999999</v>
      </c>
      <c r="I711" s="92">
        <f t="shared" si="1759"/>
        <v>1330.4482199999998</v>
      </c>
      <c r="J711" s="92">
        <f t="shared" si="1759"/>
        <v>1270.10808</v>
      </c>
      <c r="K711" s="92">
        <f t="shared" ref="K711:L711" si="1760">K232</f>
        <v>1231.9284599999999</v>
      </c>
      <c r="L711" s="92">
        <f t="shared" si="1760"/>
        <v>1202.5524600000001</v>
      </c>
      <c r="M711" s="167">
        <f t="shared" ref="M711:M719" si="1761">SUM(F711:H711)</f>
        <v>4193.7034800000001</v>
      </c>
      <c r="N711" s="94">
        <f t="shared" ref="N711:N719" si="1762">SUM(F711:J711)</f>
        <v>6794.2597800000003</v>
      </c>
      <c r="O711" s="1316">
        <f t="shared" si="1662"/>
        <v>5035.0372199999993</v>
      </c>
      <c r="S711" s="95"/>
      <c r="T711" s="1103"/>
    </row>
    <row r="712" spans="1:20">
      <c r="A712" s="162">
        <v>4.2</v>
      </c>
      <c r="B712" s="159" t="s">
        <v>664</v>
      </c>
      <c r="C712" s="163"/>
      <c r="D712" s="163"/>
      <c r="E712" s="92">
        <f>SUM(E713:E718)</f>
        <v>407.66849999999999</v>
      </c>
      <c r="F712" s="92">
        <f t="shared" ref="F712:J712" si="1763">SUM(F713:F718)</f>
        <v>400.32960000000008</v>
      </c>
      <c r="G712" s="92">
        <f t="shared" si="1763"/>
        <v>387.37560000000002</v>
      </c>
      <c r="H712" s="92">
        <f t="shared" si="1763"/>
        <v>388.68120000000005</v>
      </c>
      <c r="I712" s="92">
        <f t="shared" si="1763"/>
        <v>371.65229999999997</v>
      </c>
      <c r="J712" s="92">
        <f t="shared" si="1763"/>
        <v>356.78069999999997</v>
      </c>
      <c r="K712" s="92">
        <f t="shared" ref="K712:L712" si="1764">SUM(K713:K718)</f>
        <v>345.53519999999997</v>
      </c>
      <c r="L712" s="92">
        <f t="shared" si="1764"/>
        <v>336.21749999999992</v>
      </c>
      <c r="M712" s="167">
        <f t="shared" si="1761"/>
        <v>1176.3864000000001</v>
      </c>
      <c r="N712" s="94">
        <f t="shared" si="1762"/>
        <v>1904.8194000000001</v>
      </c>
      <c r="O712" s="1316">
        <f t="shared" si="1662"/>
        <v>1410.1857</v>
      </c>
      <c r="S712" s="95"/>
      <c r="T712" s="1103"/>
    </row>
    <row r="713" spans="1:20">
      <c r="A713" s="160" t="s">
        <v>401</v>
      </c>
      <c r="B713" s="291" t="str">
        <f t="shared" ref="B713:B718" si="1765">B183</f>
        <v>First-line treatment</v>
      </c>
      <c r="C713" s="154"/>
      <c r="D713" s="154"/>
      <c r="E713" s="295">
        <f t="shared" ref="E713:J713" si="1766">E300</f>
        <v>344.47950000000003</v>
      </c>
      <c r="F713" s="295">
        <f t="shared" si="1766"/>
        <v>339.04800000000006</v>
      </c>
      <c r="G713" s="295">
        <f t="shared" si="1766"/>
        <v>328.89645000000002</v>
      </c>
      <c r="H713" s="295">
        <f t="shared" si="1766"/>
        <v>330.20460000000003</v>
      </c>
      <c r="I713" s="295">
        <f t="shared" si="1766"/>
        <v>316.15919999999994</v>
      </c>
      <c r="J713" s="295">
        <f t="shared" si="1766"/>
        <v>304.5924</v>
      </c>
      <c r="K713" s="295">
        <f t="shared" ref="K713:L713" si="1767">K300</f>
        <v>294.95339999999999</v>
      </c>
      <c r="L713" s="295">
        <f t="shared" si="1767"/>
        <v>286.96679999999992</v>
      </c>
      <c r="M713" s="166">
        <f t="shared" si="1761"/>
        <v>998.1490500000001</v>
      </c>
      <c r="N713" s="172">
        <f t="shared" si="1762"/>
        <v>1618.90065</v>
      </c>
      <c r="O713" s="1316">
        <f t="shared" si="1662"/>
        <v>1202.6717999999998</v>
      </c>
      <c r="S713" s="95"/>
      <c r="T713" s="1103"/>
    </row>
    <row r="714" spans="1:20">
      <c r="A714" s="160" t="s">
        <v>402</v>
      </c>
      <c r="B714" s="291" t="str">
        <f t="shared" si="1765"/>
        <v>PDR-TB</v>
      </c>
      <c r="C714" s="154"/>
      <c r="D714" s="154"/>
      <c r="E714" s="295">
        <f t="shared" ref="E714:J714" si="1768">E369</f>
        <v>33.736499999999999</v>
      </c>
      <c r="F714" s="295">
        <f t="shared" si="1768"/>
        <v>32.068799999999996</v>
      </c>
      <c r="G714" s="295">
        <f t="shared" si="1768"/>
        <v>29.391299999999998</v>
      </c>
      <c r="H714" s="295">
        <f t="shared" si="1768"/>
        <v>28.366199999999999</v>
      </c>
      <c r="I714" s="295">
        <f t="shared" si="1768"/>
        <v>25.887599999999996</v>
      </c>
      <c r="J714" s="295">
        <f t="shared" si="1768"/>
        <v>23.133600000000001</v>
      </c>
      <c r="K714" s="295">
        <f t="shared" ref="K714:L714" si="1769">K369</f>
        <v>22.032</v>
      </c>
      <c r="L714" s="295">
        <f t="shared" si="1769"/>
        <v>21.205799999999996</v>
      </c>
      <c r="M714" s="166">
        <f t="shared" si="1761"/>
        <v>89.826300000000003</v>
      </c>
      <c r="N714" s="172">
        <f t="shared" si="1762"/>
        <v>138.8475</v>
      </c>
      <c r="O714" s="1316">
        <f t="shared" si="1662"/>
        <v>92.258999999999986</v>
      </c>
      <c r="S714" s="95"/>
      <c r="T714" s="1103"/>
    </row>
    <row r="715" spans="1:20">
      <c r="A715" s="160" t="s">
        <v>403</v>
      </c>
      <c r="B715" s="291" t="str">
        <f t="shared" si="1765"/>
        <v>MDR-TB: no resistance to SLDs</v>
      </c>
      <c r="C715" s="154"/>
      <c r="D715" s="154"/>
      <c r="E715" s="295">
        <f t="shared" ref="E715:J715" si="1770">E438</f>
        <v>24.174000000000003</v>
      </c>
      <c r="F715" s="295">
        <f t="shared" si="1770"/>
        <v>23.908800000000003</v>
      </c>
      <c r="G715" s="295">
        <f t="shared" si="1770"/>
        <v>23.669099999999997</v>
      </c>
      <c r="H715" s="295">
        <f t="shared" si="1770"/>
        <v>24.327000000000002</v>
      </c>
      <c r="I715" s="295">
        <f t="shared" si="1770"/>
        <v>23.776199999999999</v>
      </c>
      <c r="J715" s="295">
        <f t="shared" si="1770"/>
        <v>23.2254</v>
      </c>
      <c r="K715" s="295">
        <f t="shared" ref="K715:L715" si="1771">K438</f>
        <v>22.858200000000004</v>
      </c>
      <c r="L715" s="295">
        <f t="shared" si="1771"/>
        <v>22.490999999999996</v>
      </c>
      <c r="M715" s="166">
        <f t="shared" si="1761"/>
        <v>71.904899999999998</v>
      </c>
      <c r="N715" s="172">
        <f t="shared" si="1762"/>
        <v>118.90649999999999</v>
      </c>
      <c r="O715" s="1316">
        <f t="shared" si="1662"/>
        <v>92.350800000000007</v>
      </c>
      <c r="S715" s="95"/>
      <c r="T715" s="1103"/>
    </row>
    <row r="716" spans="1:20">
      <c r="A716" s="160" t="s">
        <v>404</v>
      </c>
      <c r="B716" s="291" t="str">
        <f t="shared" si="1765"/>
        <v>MDR-TB: 'pre-XDR'</v>
      </c>
      <c r="C716" s="266"/>
      <c r="D716" s="266"/>
      <c r="E716" s="89">
        <f t="shared" ref="E716:J716" si="1772">E507</f>
        <v>4.2457500000000001</v>
      </c>
      <c r="F716" s="89">
        <f t="shared" si="1772"/>
        <v>4.2023999999999999</v>
      </c>
      <c r="G716" s="89">
        <f t="shared" si="1772"/>
        <v>4.2916500000000006</v>
      </c>
      <c r="H716" s="89">
        <f t="shared" si="1772"/>
        <v>4.5441000000000003</v>
      </c>
      <c r="I716" s="89">
        <f t="shared" si="1772"/>
        <v>4.5441000000000003</v>
      </c>
      <c r="J716" s="89">
        <f t="shared" si="1772"/>
        <v>4.5441000000000003</v>
      </c>
      <c r="K716" s="89">
        <f t="shared" ref="K716:L716" si="1773">K507</f>
        <v>4.4064000000000014</v>
      </c>
      <c r="L716" s="89">
        <f t="shared" si="1773"/>
        <v>4.3145999999999995</v>
      </c>
      <c r="M716" s="166">
        <f t="shared" si="1761"/>
        <v>13.038150000000002</v>
      </c>
      <c r="N716" s="172">
        <f t="shared" si="1762"/>
        <v>22.126350000000002</v>
      </c>
      <c r="O716" s="1316">
        <f t="shared" si="1662"/>
        <v>17.809200000000001</v>
      </c>
      <c r="S716" s="95"/>
      <c r="T716" s="1103"/>
    </row>
    <row r="717" spans="1:20">
      <c r="A717" s="160" t="s">
        <v>405</v>
      </c>
      <c r="B717" s="291" t="str">
        <f t="shared" si="1765"/>
        <v>MDR-TB: XDR</v>
      </c>
      <c r="C717" s="266"/>
      <c r="D717" s="266"/>
      <c r="E717" s="89">
        <f t="shared" ref="E717:J717" si="1774">E576</f>
        <v>1.0327500000000003</v>
      </c>
      <c r="F717" s="89">
        <f t="shared" si="1774"/>
        <v>1.1016000000000001</v>
      </c>
      <c r="G717" s="89">
        <f t="shared" si="1774"/>
        <v>1.1271</v>
      </c>
      <c r="H717" s="89">
        <f t="shared" si="1774"/>
        <v>1.2393000000000001</v>
      </c>
      <c r="I717" s="89">
        <f t="shared" si="1774"/>
        <v>1.2852000000000001</v>
      </c>
      <c r="J717" s="89">
        <f t="shared" si="1774"/>
        <v>1.2852000000000003</v>
      </c>
      <c r="K717" s="89">
        <f t="shared" ref="K717:L717" si="1775">K576</f>
        <v>1.2852000000000003</v>
      </c>
      <c r="L717" s="89">
        <f t="shared" si="1775"/>
        <v>1.2392999999999998</v>
      </c>
      <c r="M717" s="166">
        <f t="shared" si="1761"/>
        <v>3.468</v>
      </c>
      <c r="N717" s="172">
        <f t="shared" si="1762"/>
        <v>6.0384000000000002</v>
      </c>
      <c r="O717" s="1316">
        <f t="shared" si="1662"/>
        <v>5.0949000000000009</v>
      </c>
      <c r="S717" s="95"/>
      <c r="T717" s="1103"/>
    </row>
    <row r="718" spans="1:20">
      <c r="A718" s="160" t="s">
        <v>406</v>
      </c>
      <c r="B718" s="291" t="str">
        <f t="shared" si="1765"/>
        <v>Other treatment and palliative care</v>
      </c>
      <c r="C718" s="266"/>
      <c r="D718" s="266"/>
      <c r="E718" s="89">
        <f t="shared" ref="E718:J718" si="1776">E645</f>
        <v>0</v>
      </c>
      <c r="F718" s="89">
        <f t="shared" si="1776"/>
        <v>0</v>
      </c>
      <c r="G718" s="89">
        <f t="shared" si="1776"/>
        <v>0</v>
      </c>
      <c r="H718" s="89">
        <f t="shared" si="1776"/>
        <v>0</v>
      </c>
      <c r="I718" s="89">
        <f t="shared" si="1776"/>
        <v>0</v>
      </c>
      <c r="J718" s="89">
        <f t="shared" si="1776"/>
        <v>0</v>
      </c>
      <c r="K718" s="89">
        <f t="shared" ref="K718:L718" si="1777">K645</f>
        <v>0</v>
      </c>
      <c r="L718" s="89">
        <f t="shared" si="1777"/>
        <v>0</v>
      </c>
      <c r="M718" s="166">
        <f t="shared" si="1761"/>
        <v>0</v>
      </c>
      <c r="N718" s="172">
        <f t="shared" si="1762"/>
        <v>0</v>
      </c>
      <c r="O718" s="1316">
        <f t="shared" si="1662"/>
        <v>0</v>
      </c>
      <c r="S718" s="95"/>
      <c r="T718" s="1103"/>
    </row>
    <row r="719" spans="1:20">
      <c r="A719" s="162">
        <v>4.3</v>
      </c>
      <c r="B719" s="159" t="s">
        <v>4</v>
      </c>
      <c r="C719" s="163"/>
      <c r="D719" s="163"/>
      <c r="E719" s="92">
        <f>SUM(E711:E712)</f>
        <v>1848.3624</v>
      </c>
      <c r="F719" s="92">
        <f t="shared" ref="F719:J719" si="1778">SUM(F711:F712)</f>
        <v>1823.5968000000003</v>
      </c>
      <c r="G719" s="92">
        <f t="shared" si="1778"/>
        <v>1765.9402799999998</v>
      </c>
      <c r="H719" s="92">
        <f t="shared" si="1778"/>
        <v>1780.5527999999999</v>
      </c>
      <c r="I719" s="92">
        <f t="shared" si="1778"/>
        <v>1702.1005199999997</v>
      </c>
      <c r="J719" s="92">
        <f t="shared" si="1778"/>
        <v>1626.88878</v>
      </c>
      <c r="K719" s="92">
        <f t="shared" ref="K719:L719" si="1779">SUM(K711:K712)</f>
        <v>1577.4636599999999</v>
      </c>
      <c r="L719" s="92">
        <f t="shared" si="1779"/>
        <v>1538.7699600000001</v>
      </c>
      <c r="M719" s="167">
        <f t="shared" si="1761"/>
        <v>5370.0898799999995</v>
      </c>
      <c r="N719" s="94">
        <f t="shared" si="1762"/>
        <v>8699.0791799999988</v>
      </c>
      <c r="O719" s="1316">
        <f t="shared" si="1662"/>
        <v>6445.2229200000002</v>
      </c>
      <c r="S719" s="95"/>
      <c r="T719" s="1103"/>
    </row>
    <row r="720" spans="1:20">
      <c r="A720" s="183">
        <v>5</v>
      </c>
      <c r="B720" s="182" t="str">
        <f>B235</f>
        <v>LPA MTBDRPlus:</v>
      </c>
      <c r="C720" s="290"/>
      <c r="D720" s="290"/>
      <c r="E720" s="184"/>
      <c r="F720" s="184"/>
      <c r="G720" s="184"/>
      <c r="H720" s="184"/>
      <c r="I720" s="184"/>
      <c r="J720" s="184"/>
      <c r="K720" s="184"/>
      <c r="L720" s="184"/>
      <c r="M720" s="180"/>
      <c r="N720" s="181"/>
      <c r="O720" s="1316">
        <f t="shared" si="1662"/>
        <v>0</v>
      </c>
      <c r="S720" s="95"/>
      <c r="T720" s="1103"/>
    </row>
    <row r="721" spans="1:20">
      <c r="A721" s="162">
        <v>5.0999999999999996</v>
      </c>
      <c r="B721" s="159" t="s">
        <v>663</v>
      </c>
      <c r="C721" s="91"/>
      <c r="D721" s="91"/>
      <c r="E721" s="92">
        <f t="shared" ref="E721:J721" si="1780">E241</f>
        <v>1450.1101999999998</v>
      </c>
      <c r="F721" s="92">
        <f t="shared" si="1780"/>
        <v>1534.8959999999997</v>
      </c>
      <c r="G721" s="92">
        <f t="shared" si="1780"/>
        <v>1486.6873999999996</v>
      </c>
      <c r="H721" s="92">
        <f t="shared" si="1780"/>
        <v>1584.4289999999999</v>
      </c>
      <c r="I721" s="92">
        <f t="shared" si="1780"/>
        <v>1514.5080499999999</v>
      </c>
      <c r="J721" s="92">
        <f t="shared" si="1780"/>
        <v>1445.8201999999999</v>
      </c>
      <c r="K721" s="92">
        <f t="shared" ref="K721:L721" si="1781">K241</f>
        <v>1402.3586499999997</v>
      </c>
      <c r="L721" s="92">
        <f t="shared" si="1781"/>
        <v>1368.9186499999996</v>
      </c>
      <c r="M721" s="167">
        <f t="shared" ref="M721:M729" si="1782">SUM(F721:H721)</f>
        <v>4606.0123999999996</v>
      </c>
      <c r="N721" s="94">
        <f t="shared" ref="N721:N729" si="1783">SUM(F721:J721)</f>
        <v>7566.3406500000001</v>
      </c>
      <c r="O721" s="1316">
        <f t="shared" si="1662"/>
        <v>5731.6055499999984</v>
      </c>
      <c r="S721" s="95"/>
      <c r="T721" s="1103"/>
    </row>
    <row r="722" spans="1:20">
      <c r="A722" s="162">
        <v>5.2</v>
      </c>
      <c r="B722" s="159" t="s">
        <v>664</v>
      </c>
      <c r="C722" s="163"/>
      <c r="D722" s="163"/>
      <c r="E722" s="92">
        <f>SUM(E723:E728)</f>
        <v>259.45150000000001</v>
      </c>
      <c r="F722" s="92">
        <f t="shared" ref="F722:J722" si="1784">SUM(F723:F728)</f>
        <v>272.58000000000004</v>
      </c>
      <c r="G722" s="92">
        <f t="shared" si="1784"/>
        <v>262.87524999999999</v>
      </c>
      <c r="H722" s="92">
        <f t="shared" si="1784"/>
        <v>277.49975000000001</v>
      </c>
      <c r="I722" s="92">
        <f t="shared" si="1784"/>
        <v>264.48950000000002</v>
      </c>
      <c r="J722" s="92">
        <f t="shared" si="1784"/>
        <v>253.09900000000002</v>
      </c>
      <c r="K722" s="92">
        <f t="shared" ref="K722:L722" si="1785">SUM(K723:K728)</f>
        <v>244.739</v>
      </c>
      <c r="L722" s="92">
        <f t="shared" si="1785"/>
        <v>237.89425</v>
      </c>
      <c r="M722" s="167">
        <f t="shared" si="1782"/>
        <v>812.95499999999993</v>
      </c>
      <c r="N722" s="94">
        <f t="shared" si="1783"/>
        <v>1330.5435</v>
      </c>
      <c r="O722" s="1316">
        <f t="shared" si="1662"/>
        <v>1000.2217500000002</v>
      </c>
      <c r="S722" s="95"/>
      <c r="T722" s="1103"/>
    </row>
    <row r="723" spans="1:20">
      <c r="A723" s="160" t="s">
        <v>427</v>
      </c>
      <c r="B723" s="291" t="str">
        <f t="shared" ref="B723:B728" si="1786">B183</f>
        <v>First-line treatment</v>
      </c>
      <c r="C723" s="154"/>
      <c r="D723" s="154"/>
      <c r="E723" s="295">
        <f t="shared" ref="E723:J723" si="1787">E310</f>
        <v>231.154</v>
      </c>
      <c r="F723" s="295">
        <f t="shared" si="1787"/>
        <v>243.76000000000002</v>
      </c>
      <c r="G723" s="295">
        <f t="shared" si="1787"/>
        <v>236.4615</v>
      </c>
      <c r="H723" s="295">
        <f t="shared" si="1787"/>
        <v>250.59100000000001</v>
      </c>
      <c r="I723" s="295">
        <f t="shared" si="1787"/>
        <v>239.93200000000002</v>
      </c>
      <c r="J723" s="295">
        <f t="shared" si="1787"/>
        <v>231.15400000000002</v>
      </c>
      <c r="K723" s="295">
        <f t="shared" ref="K723:L723" si="1788">K310</f>
        <v>223.839</v>
      </c>
      <c r="L723" s="295">
        <f t="shared" si="1788"/>
        <v>217.77799999999999</v>
      </c>
      <c r="M723" s="166">
        <f t="shared" si="1782"/>
        <v>730.8125</v>
      </c>
      <c r="N723" s="172">
        <f t="shared" si="1783"/>
        <v>1201.8985</v>
      </c>
      <c r="O723" s="1316">
        <f t="shared" si="1662"/>
        <v>912.70299999999997</v>
      </c>
      <c r="S723" s="95"/>
      <c r="T723" s="1103"/>
    </row>
    <row r="724" spans="1:20">
      <c r="A724" s="160" t="s">
        <v>428</v>
      </c>
      <c r="B724" s="291" t="str">
        <f t="shared" si="1786"/>
        <v>PDR-TB</v>
      </c>
      <c r="C724" s="154"/>
      <c r="D724" s="154"/>
      <c r="E724" s="295">
        <f t="shared" ref="E724:J724" si="1789">E379</f>
        <v>28.297499999999999</v>
      </c>
      <c r="F724" s="295">
        <f t="shared" si="1789"/>
        <v>28.820000000000004</v>
      </c>
      <c r="G724" s="295">
        <f t="shared" si="1789"/>
        <v>26.41375</v>
      </c>
      <c r="H724" s="295">
        <f t="shared" si="1789"/>
        <v>26.908749999999998</v>
      </c>
      <c r="I724" s="295">
        <f t="shared" si="1789"/>
        <v>24.557499999999997</v>
      </c>
      <c r="J724" s="295">
        <f t="shared" si="1789"/>
        <v>21.945</v>
      </c>
      <c r="K724" s="295">
        <f t="shared" ref="K724:L724" si="1790">K379</f>
        <v>20.9</v>
      </c>
      <c r="L724" s="295">
        <f t="shared" si="1790"/>
        <v>20.116249999999997</v>
      </c>
      <c r="M724" s="166">
        <f t="shared" si="1782"/>
        <v>82.142499999999998</v>
      </c>
      <c r="N724" s="172">
        <f t="shared" si="1783"/>
        <v>128.64499999999998</v>
      </c>
      <c r="O724" s="1316">
        <f t="shared" si="1662"/>
        <v>87.518749999999997</v>
      </c>
      <c r="S724" s="95"/>
      <c r="T724" s="1103"/>
    </row>
    <row r="725" spans="1:20">
      <c r="A725" s="160" t="s">
        <v>429</v>
      </c>
      <c r="B725" s="291" t="str">
        <f t="shared" si="1786"/>
        <v>MDR-TB: no resistance to SLDs</v>
      </c>
      <c r="C725" s="154"/>
      <c r="D725" s="154"/>
      <c r="E725" s="295">
        <f t="shared" ref="E725:J725" si="1791">E448</f>
        <v>0</v>
      </c>
      <c r="F725" s="295">
        <f t="shared" si="1791"/>
        <v>0</v>
      </c>
      <c r="G725" s="295">
        <f t="shared" si="1791"/>
        <v>0</v>
      </c>
      <c r="H725" s="295">
        <f t="shared" si="1791"/>
        <v>0</v>
      </c>
      <c r="I725" s="295">
        <f t="shared" si="1791"/>
        <v>0</v>
      </c>
      <c r="J725" s="295">
        <f t="shared" si="1791"/>
        <v>0</v>
      </c>
      <c r="K725" s="295">
        <f t="shared" ref="K725:L725" si="1792">K448</f>
        <v>0</v>
      </c>
      <c r="L725" s="295">
        <f t="shared" si="1792"/>
        <v>0</v>
      </c>
      <c r="M725" s="166">
        <f t="shared" si="1782"/>
        <v>0</v>
      </c>
      <c r="N725" s="172">
        <f t="shared" si="1783"/>
        <v>0</v>
      </c>
      <c r="O725" s="1316">
        <f t="shared" si="1662"/>
        <v>0</v>
      </c>
      <c r="S725" s="95"/>
      <c r="T725" s="1103"/>
    </row>
    <row r="726" spans="1:20">
      <c r="A726" s="160" t="s">
        <v>430</v>
      </c>
      <c r="B726" s="291" t="str">
        <f t="shared" si="1786"/>
        <v>MDR-TB: 'pre-XDR'</v>
      </c>
      <c r="C726" s="266"/>
      <c r="D726" s="266"/>
      <c r="E726" s="89">
        <f t="shared" ref="E726:J726" si="1793">E517</f>
        <v>0</v>
      </c>
      <c r="F726" s="89">
        <f t="shared" si="1793"/>
        <v>0</v>
      </c>
      <c r="G726" s="89">
        <f t="shared" si="1793"/>
        <v>0</v>
      </c>
      <c r="H726" s="89">
        <f t="shared" si="1793"/>
        <v>0</v>
      </c>
      <c r="I726" s="89">
        <f t="shared" si="1793"/>
        <v>0</v>
      </c>
      <c r="J726" s="89">
        <f t="shared" si="1793"/>
        <v>0</v>
      </c>
      <c r="K726" s="89">
        <f t="shared" ref="K726:L726" si="1794">K517</f>
        <v>0</v>
      </c>
      <c r="L726" s="89">
        <f t="shared" si="1794"/>
        <v>0</v>
      </c>
      <c r="M726" s="166">
        <f t="shared" si="1782"/>
        <v>0</v>
      </c>
      <c r="N726" s="172">
        <f t="shared" si="1783"/>
        <v>0</v>
      </c>
      <c r="O726" s="1316">
        <f t="shared" si="1662"/>
        <v>0</v>
      </c>
      <c r="S726" s="95"/>
      <c r="T726" s="1103"/>
    </row>
    <row r="727" spans="1:20">
      <c r="A727" s="160" t="s">
        <v>431</v>
      </c>
      <c r="B727" s="291" t="str">
        <f t="shared" si="1786"/>
        <v>MDR-TB: XDR</v>
      </c>
      <c r="C727" s="266"/>
      <c r="D727" s="266"/>
      <c r="E727" s="89">
        <f t="shared" ref="E727:J727" si="1795">E586</f>
        <v>0</v>
      </c>
      <c r="F727" s="89">
        <f t="shared" si="1795"/>
        <v>0</v>
      </c>
      <c r="G727" s="89">
        <f t="shared" si="1795"/>
        <v>0</v>
      </c>
      <c r="H727" s="89">
        <f t="shared" si="1795"/>
        <v>0</v>
      </c>
      <c r="I727" s="89">
        <f t="shared" si="1795"/>
        <v>0</v>
      </c>
      <c r="J727" s="89">
        <f t="shared" si="1795"/>
        <v>0</v>
      </c>
      <c r="K727" s="89">
        <f t="shared" ref="K727:L727" si="1796">K586</f>
        <v>0</v>
      </c>
      <c r="L727" s="89">
        <f t="shared" si="1796"/>
        <v>0</v>
      </c>
      <c r="M727" s="166">
        <f t="shared" si="1782"/>
        <v>0</v>
      </c>
      <c r="N727" s="172">
        <f t="shared" si="1783"/>
        <v>0</v>
      </c>
      <c r="O727" s="1316">
        <f t="shared" si="1662"/>
        <v>0</v>
      </c>
      <c r="S727" s="95"/>
      <c r="T727" s="1103"/>
    </row>
    <row r="728" spans="1:20">
      <c r="A728" s="160" t="s">
        <v>432</v>
      </c>
      <c r="B728" s="291" t="str">
        <f t="shared" si="1786"/>
        <v>Other treatment and palliative care</v>
      </c>
      <c r="C728" s="266"/>
      <c r="D728" s="266"/>
      <c r="E728" s="89">
        <f t="shared" ref="E728:J728" si="1797">E655</f>
        <v>0</v>
      </c>
      <c r="F728" s="89">
        <f t="shared" si="1797"/>
        <v>0</v>
      </c>
      <c r="G728" s="89">
        <f t="shared" si="1797"/>
        <v>0</v>
      </c>
      <c r="H728" s="89">
        <f t="shared" si="1797"/>
        <v>0</v>
      </c>
      <c r="I728" s="89">
        <f t="shared" si="1797"/>
        <v>0</v>
      </c>
      <c r="J728" s="89">
        <f t="shared" si="1797"/>
        <v>0</v>
      </c>
      <c r="K728" s="89">
        <f t="shared" ref="K728:L728" si="1798">K655</f>
        <v>0</v>
      </c>
      <c r="L728" s="89">
        <f t="shared" si="1798"/>
        <v>0</v>
      </c>
      <c r="M728" s="166">
        <f t="shared" si="1782"/>
        <v>0</v>
      </c>
      <c r="N728" s="172">
        <f t="shared" si="1783"/>
        <v>0</v>
      </c>
      <c r="O728" s="1316">
        <f t="shared" si="1662"/>
        <v>0</v>
      </c>
      <c r="S728" s="95"/>
      <c r="T728" s="1103"/>
    </row>
    <row r="729" spans="1:20">
      <c r="A729" s="162">
        <v>5.3</v>
      </c>
      <c r="B729" s="159" t="s">
        <v>4</v>
      </c>
      <c r="C729" s="163"/>
      <c r="D729" s="163"/>
      <c r="E729" s="92">
        <f>SUM(E721:E722)</f>
        <v>1709.5616999999997</v>
      </c>
      <c r="F729" s="92">
        <f t="shared" ref="F729:J729" si="1799">SUM(F721:F722)</f>
        <v>1807.4759999999997</v>
      </c>
      <c r="G729" s="92">
        <f t="shared" si="1799"/>
        <v>1749.5626499999996</v>
      </c>
      <c r="H729" s="92">
        <f t="shared" si="1799"/>
        <v>1861.9287499999998</v>
      </c>
      <c r="I729" s="92">
        <f t="shared" si="1799"/>
        <v>1778.99755</v>
      </c>
      <c r="J729" s="92">
        <f t="shared" si="1799"/>
        <v>1698.9191999999998</v>
      </c>
      <c r="K729" s="92">
        <f t="shared" ref="K729:L729" si="1800">SUM(K721:K722)</f>
        <v>1647.0976499999997</v>
      </c>
      <c r="L729" s="92">
        <f t="shared" si="1800"/>
        <v>1606.8128999999997</v>
      </c>
      <c r="M729" s="167">
        <f t="shared" si="1782"/>
        <v>5418.9673999999995</v>
      </c>
      <c r="N729" s="94">
        <f t="shared" si="1783"/>
        <v>8896.8841499999999</v>
      </c>
      <c r="O729" s="1316">
        <f t="shared" si="1662"/>
        <v>6731.8272999999999</v>
      </c>
      <c r="S729" s="95"/>
      <c r="T729" s="1103"/>
    </row>
    <row r="730" spans="1:20">
      <c r="A730" s="183">
        <v>6</v>
      </c>
      <c r="B730" s="182" t="str">
        <f>B244</f>
        <v>DST-2 (MGIT):</v>
      </c>
      <c r="C730" s="290"/>
      <c r="D730" s="290"/>
      <c r="E730" s="184"/>
      <c r="F730" s="184"/>
      <c r="G730" s="184"/>
      <c r="H730" s="184"/>
      <c r="I730" s="184"/>
      <c r="J730" s="184"/>
      <c r="K730" s="184"/>
      <c r="L730" s="184"/>
      <c r="M730" s="180"/>
      <c r="N730" s="181"/>
      <c r="O730" s="1316">
        <f t="shared" si="1662"/>
        <v>0</v>
      </c>
      <c r="S730" s="95"/>
      <c r="T730" s="1103"/>
    </row>
    <row r="731" spans="1:20">
      <c r="A731" s="162">
        <v>6.1</v>
      </c>
      <c r="B731" s="159" t="s">
        <v>663</v>
      </c>
      <c r="C731" s="91"/>
      <c r="D731" s="91"/>
      <c r="E731" s="92">
        <f t="shared" ref="E731:J731" si="1801">E250</f>
        <v>496.94400000000007</v>
      </c>
      <c r="F731" s="92">
        <f t="shared" si="1801"/>
        <v>487.25399999999956</v>
      </c>
      <c r="G731" s="92">
        <f t="shared" si="1801"/>
        <v>477.35999999999962</v>
      </c>
      <c r="H731" s="92">
        <f t="shared" si="1801"/>
        <v>487.40699999999993</v>
      </c>
      <c r="I731" s="92">
        <f t="shared" si="1801"/>
        <v>472.87200000000036</v>
      </c>
      <c r="J731" s="92">
        <f t="shared" si="1801"/>
        <v>458.33699999999999</v>
      </c>
      <c r="K731" s="92">
        <f t="shared" ref="K731:L731" si="1802">K250</f>
        <v>446.709</v>
      </c>
      <c r="L731" s="92">
        <f t="shared" si="1802"/>
        <v>437.98800000000006</v>
      </c>
      <c r="M731" s="167">
        <f t="shared" ref="M731:M739" si="1803">SUM(F731:H731)</f>
        <v>1452.020999999999</v>
      </c>
      <c r="N731" s="94">
        <f t="shared" ref="N731:N739" si="1804">SUM(F731:J731)</f>
        <v>2383.2299999999996</v>
      </c>
      <c r="O731" s="1316">
        <f t="shared" si="1662"/>
        <v>1815.9060000000004</v>
      </c>
      <c r="S731" s="95"/>
      <c r="T731" s="1103"/>
    </row>
    <row r="732" spans="1:20">
      <c r="A732" s="162">
        <v>6.2</v>
      </c>
      <c r="B732" s="159" t="s">
        <v>664</v>
      </c>
      <c r="C732" s="163"/>
      <c r="D732" s="163"/>
      <c r="E732" s="92">
        <f>SUM(E733:E738)</f>
        <v>342.47520000000003</v>
      </c>
      <c r="F732" s="92">
        <f t="shared" ref="F732:J732" si="1805">SUM(F733:F738)</f>
        <v>336.9162</v>
      </c>
      <c r="G732" s="92">
        <f t="shared" si="1805"/>
        <v>331.6275</v>
      </c>
      <c r="H732" s="92">
        <f t="shared" si="1805"/>
        <v>339.15000000000003</v>
      </c>
      <c r="I732" s="92">
        <f t="shared" si="1805"/>
        <v>330.71969999999999</v>
      </c>
      <c r="J732" s="92">
        <f t="shared" si="1805"/>
        <v>322.77389999999997</v>
      </c>
      <c r="K732" s="92">
        <f t="shared" ref="K732:L732" si="1806">SUM(K733:K738)</f>
        <v>314.73119999999994</v>
      </c>
      <c r="L732" s="92">
        <f t="shared" si="1806"/>
        <v>307.85129999999998</v>
      </c>
      <c r="M732" s="167">
        <f t="shared" si="1803"/>
        <v>1007.6937</v>
      </c>
      <c r="N732" s="94">
        <f t="shared" si="1804"/>
        <v>1661.1872999999998</v>
      </c>
      <c r="O732" s="1316">
        <f t="shared" ref="O732:O795" si="1807">I732+J732+K732+L732</f>
        <v>1276.0761</v>
      </c>
      <c r="S732" s="95"/>
      <c r="T732" s="1103"/>
    </row>
    <row r="733" spans="1:20">
      <c r="A733" s="160" t="s">
        <v>673</v>
      </c>
      <c r="B733" s="291" t="str">
        <f t="shared" ref="B733:B738" si="1808">B183</f>
        <v>First-line treatment</v>
      </c>
      <c r="C733" s="154"/>
      <c r="D733" s="154"/>
      <c r="E733" s="295">
        <f t="shared" ref="E733:J733" si="1809">E320</f>
        <v>122.4816</v>
      </c>
      <c r="F733" s="295">
        <f t="shared" si="1809"/>
        <v>120.0795</v>
      </c>
      <c r="G733" s="295">
        <f t="shared" si="1809"/>
        <v>116.08110000000001</v>
      </c>
      <c r="H733" s="295">
        <f t="shared" si="1809"/>
        <v>116.1831</v>
      </c>
      <c r="I733" s="295">
        <f t="shared" si="1809"/>
        <v>111.24120000000001</v>
      </c>
      <c r="J733" s="295">
        <f t="shared" si="1809"/>
        <v>107.17140000000001</v>
      </c>
      <c r="K733" s="295">
        <f t="shared" ref="K733:L733" si="1810">K320</f>
        <v>103.7799</v>
      </c>
      <c r="L733" s="295">
        <f t="shared" si="1810"/>
        <v>100.96979999999999</v>
      </c>
      <c r="M733" s="166">
        <f t="shared" si="1803"/>
        <v>352.34370000000001</v>
      </c>
      <c r="N733" s="172">
        <f t="shared" si="1804"/>
        <v>570.75630000000001</v>
      </c>
      <c r="O733" s="1316">
        <f t="shared" si="1807"/>
        <v>423.16229999999996</v>
      </c>
      <c r="S733" s="95"/>
      <c r="T733" s="1103"/>
    </row>
    <row r="734" spans="1:20">
      <c r="A734" s="160" t="s">
        <v>674</v>
      </c>
      <c r="B734" s="291" t="str">
        <f t="shared" si="1808"/>
        <v>PDR-TB</v>
      </c>
      <c r="C734" s="154"/>
      <c r="D734" s="154"/>
      <c r="E734" s="295">
        <f t="shared" ref="E734:J734" si="1811">E389</f>
        <v>11.995200000000002</v>
      </c>
      <c r="F734" s="295">
        <f t="shared" si="1811"/>
        <v>11.357700000000001</v>
      </c>
      <c r="G734" s="295">
        <f t="shared" si="1811"/>
        <v>10.373400000000002</v>
      </c>
      <c r="H734" s="295">
        <f t="shared" si="1811"/>
        <v>9.9807000000000006</v>
      </c>
      <c r="I734" s="295">
        <f t="shared" si="1811"/>
        <v>9.1085999999999991</v>
      </c>
      <c r="J734" s="295">
        <f t="shared" si="1811"/>
        <v>8.1395999999999997</v>
      </c>
      <c r="K734" s="295">
        <f t="shared" ref="K734:L734" si="1812">K389</f>
        <v>7.7519999999999998</v>
      </c>
      <c r="L734" s="295">
        <f t="shared" si="1812"/>
        <v>7.4612999999999996</v>
      </c>
      <c r="M734" s="166">
        <f t="shared" si="1803"/>
        <v>31.711800000000004</v>
      </c>
      <c r="N734" s="172">
        <f t="shared" si="1804"/>
        <v>48.960000000000008</v>
      </c>
      <c r="O734" s="1316">
        <f t="shared" si="1807"/>
        <v>32.461499999999994</v>
      </c>
      <c r="S734" s="95"/>
      <c r="T734" s="1103"/>
    </row>
    <row r="735" spans="1:20">
      <c r="A735" s="160" t="s">
        <v>675</v>
      </c>
      <c r="B735" s="291" t="str">
        <f t="shared" si="1808"/>
        <v>MDR-TB: no resistance to SLDs</v>
      </c>
      <c r="C735" s="154"/>
      <c r="D735" s="154"/>
      <c r="E735" s="295">
        <f t="shared" ref="E735:J735" si="1813">E458</f>
        <v>128.928</v>
      </c>
      <c r="F735" s="295">
        <f t="shared" si="1813"/>
        <v>127.01549999999999</v>
      </c>
      <c r="G735" s="295">
        <f t="shared" si="1813"/>
        <v>125.307</v>
      </c>
      <c r="H735" s="295">
        <f t="shared" si="1813"/>
        <v>128.39250000000001</v>
      </c>
      <c r="I735" s="295">
        <f t="shared" si="1813"/>
        <v>125.48549999999999</v>
      </c>
      <c r="J735" s="295">
        <f t="shared" si="1813"/>
        <v>122.57849999999999</v>
      </c>
      <c r="K735" s="295">
        <f t="shared" ref="K735:L735" si="1814">K458</f>
        <v>120.64049999999999</v>
      </c>
      <c r="L735" s="295">
        <f t="shared" si="1814"/>
        <v>118.7025</v>
      </c>
      <c r="M735" s="166">
        <f t="shared" si="1803"/>
        <v>380.71500000000003</v>
      </c>
      <c r="N735" s="172">
        <f t="shared" si="1804"/>
        <v>628.779</v>
      </c>
      <c r="O735" s="1316">
        <f t="shared" si="1807"/>
        <v>487.40699999999993</v>
      </c>
      <c r="S735" s="95"/>
      <c r="T735" s="1103"/>
    </row>
    <row r="736" spans="1:20">
      <c r="A736" s="160" t="s">
        <v>676</v>
      </c>
      <c r="B736" s="291" t="str">
        <f t="shared" si="1808"/>
        <v>MDR-TB: 'pre-XDR'</v>
      </c>
      <c r="C736" s="266"/>
      <c r="D736" s="266"/>
      <c r="E736" s="89">
        <f t="shared" ref="E736:J736" si="1815">E527</f>
        <v>72.460800000000006</v>
      </c>
      <c r="F736" s="89">
        <f t="shared" si="1815"/>
        <v>71.44080000000001</v>
      </c>
      <c r="G736" s="89">
        <f t="shared" si="1815"/>
        <v>72.705600000000004</v>
      </c>
      <c r="H736" s="89">
        <f t="shared" si="1815"/>
        <v>76.744799999999998</v>
      </c>
      <c r="I736" s="89">
        <f t="shared" si="1815"/>
        <v>76.744799999999998</v>
      </c>
      <c r="J736" s="89">
        <f t="shared" si="1815"/>
        <v>76.744799999999998</v>
      </c>
      <c r="K736" s="89">
        <f t="shared" ref="K736:L736" si="1816">K527</f>
        <v>74.419200000000004</v>
      </c>
      <c r="L736" s="89">
        <f t="shared" si="1816"/>
        <v>72.868799999999993</v>
      </c>
      <c r="M736" s="166">
        <f t="shared" si="1803"/>
        <v>220.89120000000003</v>
      </c>
      <c r="N736" s="172">
        <f t="shared" si="1804"/>
        <v>374.38080000000002</v>
      </c>
      <c r="O736" s="1316">
        <f t="shared" si="1807"/>
        <v>300.77760000000001</v>
      </c>
      <c r="S736" s="95"/>
      <c r="T736" s="1103"/>
    </row>
    <row r="737" spans="1:20">
      <c r="A737" s="160" t="s">
        <v>677</v>
      </c>
      <c r="B737" s="291" t="str">
        <f t="shared" si="1808"/>
        <v>MDR-TB: XDR</v>
      </c>
      <c r="C737" s="266"/>
      <c r="D737" s="266"/>
      <c r="E737" s="89">
        <f t="shared" ref="E737:J737" si="1817">E596</f>
        <v>6.6096000000000004</v>
      </c>
      <c r="F737" s="89">
        <f t="shared" si="1817"/>
        <v>7.0226999999999995</v>
      </c>
      <c r="G737" s="89">
        <f t="shared" si="1817"/>
        <v>7.1603999999999992</v>
      </c>
      <c r="H737" s="89">
        <f t="shared" si="1817"/>
        <v>7.8488999999999995</v>
      </c>
      <c r="I737" s="89">
        <f t="shared" si="1817"/>
        <v>8.1395999999999997</v>
      </c>
      <c r="J737" s="89">
        <f t="shared" si="1817"/>
        <v>8.1395999999999997</v>
      </c>
      <c r="K737" s="89">
        <f t="shared" ref="K737:L737" si="1818">K596</f>
        <v>8.1395999999999997</v>
      </c>
      <c r="L737" s="89">
        <f t="shared" si="1818"/>
        <v>7.8488999999999995</v>
      </c>
      <c r="M737" s="166">
        <f t="shared" si="1803"/>
        <v>22.032</v>
      </c>
      <c r="N737" s="172">
        <f t="shared" si="1804"/>
        <v>38.311199999999999</v>
      </c>
      <c r="O737" s="1316">
        <f t="shared" si="1807"/>
        <v>32.267699999999998</v>
      </c>
      <c r="S737" s="95"/>
      <c r="T737" s="1103"/>
    </row>
    <row r="738" spans="1:20">
      <c r="A738" s="160" t="s">
        <v>678</v>
      </c>
      <c r="B738" s="291" t="str">
        <f t="shared" si="1808"/>
        <v>Other treatment and palliative care</v>
      </c>
      <c r="C738" s="266"/>
      <c r="D738" s="266"/>
      <c r="E738" s="89">
        <f t="shared" ref="E738:J738" si="1819">E665</f>
        <v>0</v>
      </c>
      <c r="F738" s="89">
        <f t="shared" si="1819"/>
        <v>0</v>
      </c>
      <c r="G738" s="89">
        <f t="shared" si="1819"/>
        <v>0</v>
      </c>
      <c r="H738" s="89">
        <f t="shared" si="1819"/>
        <v>0</v>
      </c>
      <c r="I738" s="89">
        <f t="shared" si="1819"/>
        <v>0</v>
      </c>
      <c r="J738" s="89">
        <f t="shared" si="1819"/>
        <v>0</v>
      </c>
      <c r="K738" s="89">
        <f t="shared" ref="K738:L738" si="1820">K665</f>
        <v>0</v>
      </c>
      <c r="L738" s="89">
        <f t="shared" si="1820"/>
        <v>0</v>
      </c>
      <c r="M738" s="166">
        <f t="shared" si="1803"/>
        <v>0</v>
      </c>
      <c r="N738" s="172">
        <f t="shared" si="1804"/>
        <v>0</v>
      </c>
      <c r="O738" s="1316">
        <f t="shared" si="1807"/>
        <v>0</v>
      </c>
      <c r="S738" s="95"/>
      <c r="T738" s="1103"/>
    </row>
    <row r="739" spans="1:20">
      <c r="A739" s="162">
        <v>6.3</v>
      </c>
      <c r="B739" s="159" t="s">
        <v>4</v>
      </c>
      <c r="C739" s="163"/>
      <c r="D739" s="163"/>
      <c r="E739" s="92">
        <f>SUM(E731:E732)</f>
        <v>839.41920000000005</v>
      </c>
      <c r="F739" s="92">
        <f t="shared" ref="F739:J739" si="1821">SUM(F731:F732)</f>
        <v>824.17019999999957</v>
      </c>
      <c r="G739" s="92">
        <f t="shared" si="1821"/>
        <v>808.98749999999961</v>
      </c>
      <c r="H739" s="92">
        <f t="shared" si="1821"/>
        <v>826.55700000000002</v>
      </c>
      <c r="I739" s="92">
        <f t="shared" si="1821"/>
        <v>803.5917000000004</v>
      </c>
      <c r="J739" s="92">
        <f t="shared" si="1821"/>
        <v>781.1108999999999</v>
      </c>
      <c r="K739" s="92">
        <f t="shared" ref="K739:L739" si="1822">SUM(K731:K732)</f>
        <v>761.4402</v>
      </c>
      <c r="L739" s="92">
        <f t="shared" si="1822"/>
        <v>745.83930000000009</v>
      </c>
      <c r="M739" s="167">
        <f t="shared" si="1803"/>
        <v>2459.7146999999995</v>
      </c>
      <c r="N739" s="94">
        <f t="shared" si="1804"/>
        <v>4044.4173000000001</v>
      </c>
      <c r="O739" s="1316">
        <f t="shared" si="1807"/>
        <v>3091.9821000000006</v>
      </c>
      <c r="S739" s="95"/>
      <c r="T739" s="1103"/>
    </row>
    <row r="740" spans="1:20">
      <c r="A740" s="183">
        <v>7</v>
      </c>
      <c r="B740" s="182" t="str">
        <f>B253</f>
        <v>LPA MTBDRsl:</v>
      </c>
      <c r="C740" s="290"/>
      <c r="D740" s="290"/>
      <c r="E740" s="184"/>
      <c r="F740" s="184"/>
      <c r="G740" s="184"/>
      <c r="H740" s="184"/>
      <c r="I740" s="184"/>
      <c r="J740" s="184"/>
      <c r="K740" s="184"/>
      <c r="L740" s="184"/>
      <c r="M740" s="180"/>
      <c r="N740" s="181"/>
      <c r="O740" s="1316">
        <f t="shared" si="1807"/>
        <v>0</v>
      </c>
      <c r="S740" s="95"/>
      <c r="T740" s="1103"/>
    </row>
    <row r="741" spans="1:20">
      <c r="A741" s="162">
        <v>7.1</v>
      </c>
      <c r="B741" s="159" t="s">
        <v>663</v>
      </c>
      <c r="C741" s="91"/>
      <c r="D741" s="91"/>
      <c r="E741" s="92">
        <f t="shared" ref="E741:J741" si="1823">E259</f>
        <v>468.92999999999995</v>
      </c>
      <c r="F741" s="92">
        <f t="shared" si="1823"/>
        <v>494.55999999999966</v>
      </c>
      <c r="G741" s="92">
        <f t="shared" si="1823"/>
        <v>486.19999999999959</v>
      </c>
      <c r="H741" s="92">
        <f t="shared" si="1823"/>
        <v>525.63499999999988</v>
      </c>
      <c r="I741" s="92">
        <f t="shared" si="1823"/>
        <v>509.96000000000038</v>
      </c>
      <c r="J741" s="92">
        <f t="shared" si="1823"/>
        <v>494.28499999999997</v>
      </c>
      <c r="K741" s="92">
        <f t="shared" ref="K741:L741" si="1824">K259</f>
        <v>481.745</v>
      </c>
      <c r="L741" s="92">
        <f t="shared" si="1824"/>
        <v>472.34000000000003</v>
      </c>
      <c r="M741" s="167">
        <f t="shared" ref="M741:M749" si="1825">SUM(F741:H741)</f>
        <v>1506.3949999999991</v>
      </c>
      <c r="N741" s="94">
        <f t="shared" ref="N741:N749" si="1826">SUM(F741:J741)</f>
        <v>2510.6399999999994</v>
      </c>
      <c r="O741" s="1316">
        <f t="shared" si="1807"/>
        <v>1958.3300000000004</v>
      </c>
      <c r="S741" s="95"/>
      <c r="T741" s="1103"/>
    </row>
    <row r="742" spans="1:20">
      <c r="A742" s="162">
        <v>7.2</v>
      </c>
      <c r="B742" s="159" t="s">
        <v>664</v>
      </c>
      <c r="C742" s="163"/>
      <c r="D742" s="163"/>
      <c r="E742" s="92">
        <f>SUM(E743:E748)</f>
        <v>316.93200000000002</v>
      </c>
      <c r="F742" s="92">
        <f t="shared" ref="F742" si="1827">SUM(F743:F748)</f>
        <v>334.84000000000003</v>
      </c>
      <c r="G742" s="92">
        <f t="shared" ref="G742" si="1828">SUM(G743:G748)</f>
        <v>330.47575000000001</v>
      </c>
      <c r="H742" s="92">
        <f t="shared" ref="H742" si="1829">SUM(H743:H748)</f>
        <v>357.28550000000001</v>
      </c>
      <c r="I742" s="92">
        <f t="shared" ref="I742" si="1830">SUM(I743:I748)</f>
        <v>347.88049999999998</v>
      </c>
      <c r="J742" s="92">
        <f t="shared" ref="J742:L742" si="1831">SUM(J743:J748)</f>
        <v>339.31150000000002</v>
      </c>
      <c r="K742" s="92">
        <f t="shared" si="1831"/>
        <v>330.63800000000003</v>
      </c>
      <c r="L742" s="92">
        <f t="shared" si="1831"/>
        <v>323.53199999999998</v>
      </c>
      <c r="M742" s="167">
        <f t="shared" si="1825"/>
        <v>1022.6012499999999</v>
      </c>
      <c r="N742" s="94">
        <f t="shared" si="1826"/>
        <v>1709.7932499999999</v>
      </c>
      <c r="O742" s="1316">
        <f t="shared" si="1807"/>
        <v>1341.3620000000001</v>
      </c>
      <c r="S742" s="95"/>
      <c r="T742" s="1103"/>
    </row>
    <row r="743" spans="1:20">
      <c r="A743" s="160" t="s">
        <v>727</v>
      </c>
      <c r="B743" s="291" t="str">
        <f t="shared" ref="B743:B748" si="1832">B183</f>
        <v>First-line treatment</v>
      </c>
      <c r="C743" s="154"/>
      <c r="D743" s="154"/>
      <c r="E743" s="295">
        <f t="shared" ref="E743:J743" si="1833">E330</f>
        <v>115.577</v>
      </c>
      <c r="F743" s="295">
        <f t="shared" si="1833"/>
        <v>121.88000000000001</v>
      </c>
      <c r="G743" s="295">
        <f t="shared" si="1833"/>
        <v>118.23075</v>
      </c>
      <c r="H743" s="295">
        <f t="shared" si="1833"/>
        <v>125.2955</v>
      </c>
      <c r="I743" s="295">
        <f t="shared" si="1833"/>
        <v>119.96600000000001</v>
      </c>
      <c r="J743" s="295">
        <f t="shared" si="1833"/>
        <v>115.57700000000001</v>
      </c>
      <c r="K743" s="295">
        <f t="shared" ref="K743:L743" si="1834">K330</f>
        <v>111.9195</v>
      </c>
      <c r="L743" s="295">
        <f t="shared" si="1834"/>
        <v>108.889</v>
      </c>
      <c r="M743" s="166">
        <f t="shared" si="1825"/>
        <v>365.40625</v>
      </c>
      <c r="N743" s="172">
        <f t="shared" si="1826"/>
        <v>600.94925000000001</v>
      </c>
      <c r="O743" s="1316">
        <f t="shared" si="1807"/>
        <v>456.35149999999999</v>
      </c>
      <c r="S743" s="95"/>
      <c r="T743" s="1103"/>
    </row>
    <row r="744" spans="1:20">
      <c r="A744" s="160" t="s">
        <v>728</v>
      </c>
      <c r="B744" s="291" t="str">
        <f t="shared" si="1832"/>
        <v>PDR-TB</v>
      </c>
      <c r="C744" s="154"/>
      <c r="D744" s="154"/>
      <c r="E744" s="295">
        <f t="shared" ref="E744:J744" si="1835">E399</f>
        <v>11.319000000000001</v>
      </c>
      <c r="F744" s="295">
        <f t="shared" si="1835"/>
        <v>11.528000000000002</v>
      </c>
      <c r="G744" s="295">
        <f t="shared" si="1835"/>
        <v>10.5655</v>
      </c>
      <c r="H744" s="295">
        <f t="shared" si="1835"/>
        <v>10.763500000000001</v>
      </c>
      <c r="I744" s="295">
        <f t="shared" si="1835"/>
        <v>9.8230000000000004</v>
      </c>
      <c r="J744" s="295">
        <f t="shared" si="1835"/>
        <v>8.7779999999999987</v>
      </c>
      <c r="K744" s="295">
        <f t="shared" ref="K744:L744" si="1836">K399</f>
        <v>8.36</v>
      </c>
      <c r="L744" s="295">
        <f t="shared" si="1836"/>
        <v>8.0465</v>
      </c>
      <c r="M744" s="166">
        <f t="shared" si="1825"/>
        <v>32.856999999999999</v>
      </c>
      <c r="N744" s="172">
        <f t="shared" si="1826"/>
        <v>51.457999999999998</v>
      </c>
      <c r="O744" s="1316">
        <f t="shared" si="1807"/>
        <v>35.0075</v>
      </c>
      <c r="S744" s="95"/>
      <c r="T744" s="1103"/>
    </row>
    <row r="745" spans="1:20">
      <c r="A745" s="160" t="s">
        <v>729</v>
      </c>
      <c r="B745" s="291" t="str">
        <f t="shared" si="1832"/>
        <v>MDR-TB: no resistance to SLDs</v>
      </c>
      <c r="C745" s="154"/>
      <c r="D745" s="154"/>
      <c r="E745" s="295">
        <f t="shared" ref="E745:J745" si="1837">E468</f>
        <v>121.66</v>
      </c>
      <c r="F745" s="295">
        <f t="shared" si="1837"/>
        <v>128.92000000000002</v>
      </c>
      <c r="G745" s="295">
        <f t="shared" si="1837"/>
        <v>127.6275</v>
      </c>
      <c r="H745" s="295">
        <f t="shared" si="1837"/>
        <v>138.46250000000001</v>
      </c>
      <c r="I745" s="295">
        <f t="shared" si="1837"/>
        <v>135.32749999999999</v>
      </c>
      <c r="J745" s="295">
        <f t="shared" si="1837"/>
        <v>132.1925</v>
      </c>
      <c r="K745" s="295">
        <f t="shared" ref="K745:L745" si="1838">K468</f>
        <v>130.10249999999999</v>
      </c>
      <c r="L745" s="295">
        <f t="shared" si="1838"/>
        <v>128.01249999999999</v>
      </c>
      <c r="M745" s="166">
        <f t="shared" si="1825"/>
        <v>395.01</v>
      </c>
      <c r="N745" s="172">
        <f t="shared" si="1826"/>
        <v>662.53</v>
      </c>
      <c r="O745" s="1316">
        <f t="shared" si="1807"/>
        <v>525.63499999999999</v>
      </c>
      <c r="S745" s="95"/>
      <c r="T745" s="1103"/>
    </row>
    <row r="746" spans="1:20">
      <c r="A746" s="160" t="s">
        <v>730</v>
      </c>
      <c r="B746" s="291" t="str">
        <f t="shared" si="1832"/>
        <v>MDR-TB: 'pre-XDR'</v>
      </c>
      <c r="C746" s="266"/>
      <c r="D746" s="266"/>
      <c r="E746" s="89">
        <f t="shared" ref="E746:J746" si="1839">E537</f>
        <v>68.376000000000005</v>
      </c>
      <c r="F746" s="89">
        <f t="shared" si="1839"/>
        <v>72.512</v>
      </c>
      <c r="G746" s="89">
        <f t="shared" si="1839"/>
        <v>74.052000000000007</v>
      </c>
      <c r="H746" s="89">
        <f t="shared" si="1839"/>
        <v>82.763999999999996</v>
      </c>
      <c r="I746" s="89">
        <f t="shared" si="1839"/>
        <v>82.763999999999996</v>
      </c>
      <c r="J746" s="89">
        <f t="shared" si="1839"/>
        <v>82.763999999999996</v>
      </c>
      <c r="K746" s="89">
        <f t="shared" ref="K746:L746" si="1840">K537</f>
        <v>80.256000000000014</v>
      </c>
      <c r="L746" s="89">
        <f t="shared" si="1840"/>
        <v>78.584000000000003</v>
      </c>
      <c r="M746" s="166">
        <f t="shared" si="1825"/>
        <v>229.32800000000003</v>
      </c>
      <c r="N746" s="172">
        <f t="shared" si="1826"/>
        <v>394.85600000000005</v>
      </c>
      <c r="O746" s="1316">
        <f t="shared" si="1807"/>
        <v>324.36799999999999</v>
      </c>
      <c r="S746" s="95"/>
      <c r="T746" s="1103"/>
    </row>
    <row r="747" spans="1:20">
      <c r="A747" s="160" t="s">
        <v>731</v>
      </c>
      <c r="B747" s="291" t="str">
        <f t="shared" si="1832"/>
        <v>MDR-TB: XDR</v>
      </c>
      <c r="C747" s="266"/>
      <c r="D747" s="266"/>
      <c r="E747" s="89">
        <f t="shared" ref="E747:J747" si="1841">E606</f>
        <v>0</v>
      </c>
      <c r="F747" s="89">
        <f t="shared" si="1841"/>
        <v>0</v>
      </c>
      <c r="G747" s="89">
        <f t="shared" si="1841"/>
        <v>0</v>
      </c>
      <c r="H747" s="89">
        <f t="shared" si="1841"/>
        <v>0</v>
      </c>
      <c r="I747" s="89">
        <f t="shared" si="1841"/>
        <v>0</v>
      </c>
      <c r="J747" s="89">
        <f t="shared" si="1841"/>
        <v>0</v>
      </c>
      <c r="K747" s="89">
        <f t="shared" ref="K747:L747" si="1842">K606</f>
        <v>0</v>
      </c>
      <c r="L747" s="89">
        <f t="shared" si="1842"/>
        <v>0</v>
      </c>
      <c r="M747" s="166">
        <f t="shared" si="1825"/>
        <v>0</v>
      </c>
      <c r="N747" s="172">
        <f t="shared" si="1826"/>
        <v>0</v>
      </c>
      <c r="O747" s="1316">
        <f t="shared" si="1807"/>
        <v>0</v>
      </c>
      <c r="S747" s="95"/>
      <c r="T747" s="1103"/>
    </row>
    <row r="748" spans="1:20">
      <c r="A748" s="160" t="s">
        <v>732</v>
      </c>
      <c r="B748" s="291" t="str">
        <f t="shared" si="1832"/>
        <v>Other treatment and palliative care</v>
      </c>
      <c r="C748" s="266"/>
      <c r="D748" s="266"/>
      <c r="E748" s="89">
        <f t="shared" ref="E748:J748" si="1843">E675</f>
        <v>0</v>
      </c>
      <c r="F748" s="89">
        <f t="shared" si="1843"/>
        <v>0</v>
      </c>
      <c r="G748" s="89">
        <f t="shared" si="1843"/>
        <v>0</v>
      </c>
      <c r="H748" s="89">
        <f t="shared" si="1843"/>
        <v>0</v>
      </c>
      <c r="I748" s="89">
        <f t="shared" si="1843"/>
        <v>0</v>
      </c>
      <c r="J748" s="89">
        <f t="shared" si="1843"/>
        <v>0</v>
      </c>
      <c r="K748" s="89">
        <f t="shared" ref="K748:L748" si="1844">K675</f>
        <v>0</v>
      </c>
      <c r="L748" s="89">
        <f t="shared" si="1844"/>
        <v>0</v>
      </c>
      <c r="M748" s="166">
        <f t="shared" si="1825"/>
        <v>0</v>
      </c>
      <c r="N748" s="172">
        <f t="shared" si="1826"/>
        <v>0</v>
      </c>
      <c r="O748" s="1316">
        <f t="shared" si="1807"/>
        <v>0</v>
      </c>
      <c r="S748" s="95"/>
      <c r="T748" s="1103"/>
    </row>
    <row r="749" spans="1:20">
      <c r="A749" s="162">
        <v>7.3</v>
      </c>
      <c r="B749" s="159" t="s">
        <v>4</v>
      </c>
      <c r="C749" s="163"/>
      <c r="D749" s="163"/>
      <c r="E749" s="92">
        <f>SUM(E741:E742)</f>
        <v>785.86199999999997</v>
      </c>
      <c r="F749" s="92">
        <f t="shared" ref="F749:J749" si="1845">SUM(F741:F742)</f>
        <v>829.39999999999964</v>
      </c>
      <c r="G749" s="92">
        <f t="shared" si="1845"/>
        <v>816.67574999999965</v>
      </c>
      <c r="H749" s="92">
        <f t="shared" si="1845"/>
        <v>882.92049999999995</v>
      </c>
      <c r="I749" s="92">
        <f t="shared" si="1845"/>
        <v>857.84050000000036</v>
      </c>
      <c r="J749" s="92">
        <f t="shared" si="1845"/>
        <v>833.59649999999999</v>
      </c>
      <c r="K749" s="92">
        <f t="shared" ref="K749:L749" si="1846">SUM(K741:K742)</f>
        <v>812.38300000000004</v>
      </c>
      <c r="L749" s="92">
        <f t="shared" si="1846"/>
        <v>795.87200000000007</v>
      </c>
      <c r="M749" s="167">
        <f t="shared" si="1825"/>
        <v>2528.9962499999992</v>
      </c>
      <c r="N749" s="94">
        <f t="shared" si="1826"/>
        <v>4220.4332499999991</v>
      </c>
      <c r="O749" s="1316">
        <f t="shared" si="1807"/>
        <v>3299.6920000000009</v>
      </c>
      <c r="S749" s="95"/>
      <c r="T749" s="1103"/>
    </row>
    <row r="750" spans="1:20">
      <c r="A750" s="162"/>
      <c r="B750" s="154"/>
      <c r="C750" s="154"/>
      <c r="D750" s="154"/>
      <c r="E750" s="266"/>
      <c r="F750" s="266"/>
      <c r="G750" s="266"/>
      <c r="H750" s="267"/>
      <c r="I750" s="267"/>
      <c r="J750" s="267"/>
      <c r="K750" s="267"/>
      <c r="L750" s="267"/>
      <c r="M750" s="168"/>
      <c r="N750" s="173"/>
      <c r="O750" s="1316">
        <f t="shared" si="1807"/>
        <v>0</v>
      </c>
      <c r="S750" s="95"/>
      <c r="T750" s="1103"/>
    </row>
    <row r="751" spans="1:20" ht="15.75">
      <c r="A751" s="260" t="s">
        <v>984</v>
      </c>
      <c r="B751" s="268" t="s">
        <v>733</v>
      </c>
      <c r="C751" s="269"/>
      <c r="D751" s="269"/>
      <c r="E751" s="270"/>
      <c r="F751" s="270"/>
      <c r="G751" s="270"/>
      <c r="H751" s="271"/>
      <c r="I751" s="271"/>
      <c r="J751" s="271"/>
      <c r="K751" s="271"/>
      <c r="L751" s="271"/>
      <c r="M751" s="177"/>
      <c r="N751" s="178"/>
      <c r="O751" s="1316">
        <f t="shared" si="1807"/>
        <v>0</v>
      </c>
      <c r="S751" s="95"/>
      <c r="T751" s="1103"/>
    </row>
    <row r="752" spans="1:20">
      <c r="A752" s="183">
        <v>1</v>
      </c>
      <c r="B752" s="182" t="str">
        <f>B199</f>
        <v>DSM:</v>
      </c>
      <c r="C752" s="183" t="s">
        <v>734</v>
      </c>
      <c r="D752" s="290"/>
      <c r="E752" s="184"/>
      <c r="F752" s="184"/>
      <c r="G752" s="184"/>
      <c r="H752" s="184"/>
      <c r="I752" s="184"/>
      <c r="J752" s="184"/>
      <c r="K752" s="184"/>
      <c r="L752" s="184"/>
      <c r="M752" s="180"/>
      <c r="N752" s="181"/>
      <c r="O752" s="1316">
        <f t="shared" si="1807"/>
        <v>0</v>
      </c>
      <c r="S752" s="95"/>
      <c r="T752" s="1103"/>
    </row>
    <row r="753" spans="1:20">
      <c r="A753" s="162">
        <v>1.1000000000000001</v>
      </c>
      <c r="B753" s="159" t="s">
        <v>663</v>
      </c>
      <c r="C753" s="91"/>
      <c r="D753" s="91"/>
      <c r="E753" s="92">
        <f t="shared" ref="E753:J753" si="1847">E207</f>
        <v>35039.98848</v>
      </c>
      <c r="F753" s="92">
        <f t="shared" si="1847"/>
        <v>27827.664480000003</v>
      </c>
      <c r="G753" s="92">
        <f t="shared" si="1847"/>
        <v>19270.167839999998</v>
      </c>
      <c r="H753" s="92">
        <f t="shared" si="1847"/>
        <v>14660.551619999998</v>
      </c>
      <c r="I753" s="92">
        <f t="shared" si="1847"/>
        <v>11171.635199999999</v>
      </c>
      <c r="J753" s="92">
        <f t="shared" si="1847"/>
        <v>7659.9022499999992</v>
      </c>
      <c r="K753" s="92">
        <f t="shared" ref="K753:L753" si="1848">K207</f>
        <v>7425.9685500000005</v>
      </c>
      <c r="L753" s="92">
        <f t="shared" si="1848"/>
        <v>7234.8275999999987</v>
      </c>
      <c r="M753" s="167">
        <f t="shared" ref="M753:M761" si="1849">SUM(F753:H753)</f>
        <v>61758.38394</v>
      </c>
      <c r="N753" s="94">
        <f t="shared" ref="N753:N761" si="1850">SUM(F753:J753)</f>
        <v>80589.921390000003</v>
      </c>
      <c r="O753" s="1316">
        <f t="shared" si="1807"/>
        <v>33492.333599999998</v>
      </c>
      <c r="S753" s="95"/>
      <c r="T753" s="1103"/>
    </row>
    <row r="754" spans="1:20">
      <c r="A754" s="162">
        <v>1.2</v>
      </c>
      <c r="B754" s="159" t="s">
        <v>664</v>
      </c>
      <c r="C754" s="163"/>
      <c r="D754" s="163"/>
      <c r="E754" s="92">
        <f>SUM(E755:E760)</f>
        <v>30856.171760000001</v>
      </c>
      <c r="F754" s="92">
        <f t="shared" ref="F754:J754" si="1851">SUM(F755:F760)</f>
        <v>23948.80384</v>
      </c>
      <c r="G754" s="92">
        <f t="shared" si="1851"/>
        <v>16537.1535</v>
      </c>
      <c r="H754" s="92">
        <f t="shared" si="1851"/>
        <v>13283.308499999999</v>
      </c>
      <c r="I754" s="92">
        <f t="shared" si="1851"/>
        <v>12897.276000000002</v>
      </c>
      <c r="J754" s="92">
        <f t="shared" si="1851"/>
        <v>12543.163500000001</v>
      </c>
      <c r="K754" s="92">
        <f t="shared" ref="K754:L754" si="1852">SUM(K755:K760)</f>
        <v>12221.5695</v>
      </c>
      <c r="L754" s="92">
        <f t="shared" si="1852"/>
        <v>11940.474</v>
      </c>
      <c r="M754" s="167">
        <f t="shared" si="1849"/>
        <v>53769.26584</v>
      </c>
      <c r="N754" s="94">
        <f t="shared" si="1850"/>
        <v>79209.70534</v>
      </c>
      <c r="O754" s="1316">
        <f t="shared" si="1807"/>
        <v>49602.483</v>
      </c>
      <c r="S754" s="95"/>
      <c r="T754" s="1103"/>
    </row>
    <row r="755" spans="1:20">
      <c r="A755" s="160" t="s">
        <v>241</v>
      </c>
      <c r="B755" s="291" t="str">
        <f t="shared" ref="B755:B760" si="1853">B183</f>
        <v>First-line treatment</v>
      </c>
      <c r="C755" s="154"/>
      <c r="D755" s="154"/>
      <c r="E755" s="295">
        <f t="shared" ref="E755:J755" si="1854">E273</f>
        <v>15508.061819999999</v>
      </c>
      <c r="F755" s="295">
        <f t="shared" si="1854"/>
        <v>11993.3244</v>
      </c>
      <c r="G755" s="295">
        <f t="shared" si="1854"/>
        <v>8173.4750999999987</v>
      </c>
      <c r="H755" s="295">
        <f t="shared" si="1854"/>
        <v>6458.4135000000006</v>
      </c>
      <c r="I755" s="295">
        <f t="shared" si="1854"/>
        <v>6183.7019999999993</v>
      </c>
      <c r="J755" s="295">
        <f t="shared" si="1854"/>
        <v>5957.4690000000001</v>
      </c>
      <c r="K755" s="295">
        <f t="shared" ref="K755:L755" si="1855">K273</f>
        <v>5768.9414999999999</v>
      </c>
      <c r="L755" s="295">
        <f t="shared" si="1855"/>
        <v>5612.7330000000002</v>
      </c>
      <c r="M755" s="166">
        <f t="shared" si="1849"/>
        <v>26625.212999999996</v>
      </c>
      <c r="N755" s="172">
        <f t="shared" si="1850"/>
        <v>38766.383999999991</v>
      </c>
      <c r="O755" s="1316">
        <f t="shared" si="1807"/>
        <v>23522.845499999999</v>
      </c>
      <c r="S755" s="95"/>
      <c r="T755" s="1103"/>
    </row>
    <row r="756" spans="1:20">
      <c r="A756" s="160" t="s">
        <v>242</v>
      </c>
      <c r="B756" s="291" t="str">
        <f t="shared" si="1853"/>
        <v>PDR-TB</v>
      </c>
      <c r="C756" s="154"/>
      <c r="D756" s="154"/>
      <c r="E756" s="295">
        <f t="shared" ref="E756:J756" si="1856">E342</f>
        <v>956.26733999999988</v>
      </c>
      <c r="F756" s="295">
        <f t="shared" si="1856"/>
        <v>714.24343999999985</v>
      </c>
      <c r="G756" s="295">
        <f t="shared" si="1856"/>
        <v>459.88740000000001</v>
      </c>
      <c r="H756" s="295">
        <f t="shared" si="1856"/>
        <v>349.32449999999994</v>
      </c>
      <c r="I756" s="295">
        <f t="shared" si="1856"/>
        <v>318.80099999999999</v>
      </c>
      <c r="J756" s="295">
        <f t="shared" si="1856"/>
        <v>284.88599999999997</v>
      </c>
      <c r="K756" s="295">
        <f t="shared" ref="K756:L756" si="1857">K342</f>
        <v>271.32</v>
      </c>
      <c r="L756" s="295">
        <f t="shared" si="1857"/>
        <v>261.14550000000003</v>
      </c>
      <c r="M756" s="166">
        <f t="shared" si="1849"/>
        <v>1523.4553399999998</v>
      </c>
      <c r="N756" s="172">
        <f t="shared" si="1850"/>
        <v>2127.1423399999994</v>
      </c>
      <c r="O756" s="1316">
        <f t="shared" si="1807"/>
        <v>1136.1524999999999</v>
      </c>
      <c r="S756" s="95"/>
      <c r="T756" s="1103"/>
    </row>
    <row r="757" spans="1:20">
      <c r="A757" s="160" t="s">
        <v>327</v>
      </c>
      <c r="B757" s="291" t="str">
        <f t="shared" si="1853"/>
        <v>MDR-TB: no resistance to SLDs</v>
      </c>
      <c r="C757" s="154"/>
      <c r="D757" s="154"/>
      <c r="E757" s="295">
        <f t="shared" ref="E757:J757" si="1858">E411</f>
        <v>9673.6448000000019</v>
      </c>
      <c r="F757" s="295">
        <f t="shared" si="1858"/>
        <v>7517.6768000000002</v>
      </c>
      <c r="G757" s="295">
        <f t="shared" si="1858"/>
        <v>5228.4960000000001</v>
      </c>
      <c r="H757" s="295">
        <f t="shared" si="1858"/>
        <v>4229.3999999999996</v>
      </c>
      <c r="I757" s="295">
        <f t="shared" si="1858"/>
        <v>4133.6399999999994</v>
      </c>
      <c r="J757" s="295">
        <f t="shared" si="1858"/>
        <v>4037.88</v>
      </c>
      <c r="K757" s="295">
        <f t="shared" ref="K757:L757" si="1859">K411</f>
        <v>3974.0399999999995</v>
      </c>
      <c r="L757" s="295">
        <f t="shared" si="1859"/>
        <v>3910.2</v>
      </c>
      <c r="M757" s="166">
        <f t="shared" si="1849"/>
        <v>16975.572800000002</v>
      </c>
      <c r="N757" s="172">
        <f t="shared" si="1850"/>
        <v>25147.092800000002</v>
      </c>
      <c r="O757" s="1316">
        <f t="shared" si="1807"/>
        <v>16055.759999999998</v>
      </c>
      <c r="S757" s="95"/>
      <c r="T757" s="1103"/>
    </row>
    <row r="758" spans="1:20">
      <c r="A758" s="160" t="s">
        <v>328</v>
      </c>
      <c r="B758" s="291" t="str">
        <f t="shared" si="1853"/>
        <v>MDR-TB: 'pre-XDR'</v>
      </c>
      <c r="C758" s="266"/>
      <c r="D758" s="266"/>
      <c r="E758" s="89">
        <f t="shared" ref="E758:J758" si="1860">E480</f>
        <v>3822.7734</v>
      </c>
      <c r="F758" s="89">
        <f t="shared" si="1860"/>
        <v>2973.0743999999995</v>
      </c>
      <c r="G758" s="89">
        <f t="shared" si="1860"/>
        <v>2133.0540000000001</v>
      </c>
      <c r="H758" s="89">
        <f t="shared" si="1860"/>
        <v>1777.5450000000001</v>
      </c>
      <c r="I758" s="89">
        <f t="shared" si="1860"/>
        <v>1777.5450000000001</v>
      </c>
      <c r="J758" s="89">
        <f t="shared" si="1860"/>
        <v>1777.5450000000001</v>
      </c>
      <c r="K758" s="89">
        <f t="shared" ref="K758:L758" si="1861">K480</f>
        <v>1723.68</v>
      </c>
      <c r="L758" s="89">
        <f t="shared" si="1861"/>
        <v>1687.77</v>
      </c>
      <c r="M758" s="166">
        <f t="shared" si="1849"/>
        <v>6883.6733999999997</v>
      </c>
      <c r="N758" s="172">
        <f t="shared" si="1850"/>
        <v>10438.7634</v>
      </c>
      <c r="O758" s="1316">
        <f t="shared" si="1807"/>
        <v>6966.5400000000009</v>
      </c>
      <c r="S758" s="95"/>
      <c r="T758" s="1103"/>
    </row>
    <row r="759" spans="1:20">
      <c r="A759" s="160" t="s">
        <v>329</v>
      </c>
      <c r="B759" s="291" t="str">
        <f t="shared" si="1853"/>
        <v>MDR-TB: XDR</v>
      </c>
      <c r="C759" s="266"/>
      <c r="D759" s="266"/>
      <c r="E759" s="89">
        <f t="shared" ref="E759:J759" si="1862">E549</f>
        <v>867.87287999999978</v>
      </c>
      <c r="F759" s="89">
        <f t="shared" si="1862"/>
        <v>727.3929599999999</v>
      </c>
      <c r="G759" s="89">
        <f t="shared" si="1862"/>
        <v>522.8495999999999</v>
      </c>
      <c r="H759" s="89">
        <f t="shared" si="1862"/>
        <v>452.46599999999995</v>
      </c>
      <c r="I759" s="89">
        <f t="shared" si="1862"/>
        <v>469.22399999999999</v>
      </c>
      <c r="J759" s="89">
        <f t="shared" si="1862"/>
        <v>469.22399999999999</v>
      </c>
      <c r="K759" s="89">
        <f t="shared" ref="K759:L759" si="1863">K549</f>
        <v>469.22399999999999</v>
      </c>
      <c r="L759" s="89">
        <f t="shared" si="1863"/>
        <v>452.46599999999995</v>
      </c>
      <c r="M759" s="166">
        <f t="shared" si="1849"/>
        <v>1702.7085599999996</v>
      </c>
      <c r="N759" s="172">
        <f t="shared" si="1850"/>
        <v>2641.1565599999999</v>
      </c>
      <c r="O759" s="1316">
        <f t="shared" si="1807"/>
        <v>1860.1379999999999</v>
      </c>
      <c r="S759" s="95"/>
      <c r="T759" s="1103"/>
    </row>
    <row r="760" spans="1:20">
      <c r="A760" s="160" t="s">
        <v>330</v>
      </c>
      <c r="B760" s="291" t="str">
        <f t="shared" si="1853"/>
        <v>Other treatment and palliative care</v>
      </c>
      <c r="C760" s="266"/>
      <c r="D760" s="266"/>
      <c r="E760" s="89">
        <f t="shared" ref="E760:J760" si="1864">E618</f>
        <v>27.55152</v>
      </c>
      <c r="F760" s="89">
        <f t="shared" si="1864"/>
        <v>23.091839999998683</v>
      </c>
      <c r="G760" s="89">
        <f t="shared" si="1864"/>
        <v>19.39139999999902</v>
      </c>
      <c r="H760" s="89">
        <f t="shared" si="1864"/>
        <v>16.159500000000001</v>
      </c>
      <c r="I760" s="89">
        <f t="shared" si="1864"/>
        <v>14.364000000000818</v>
      </c>
      <c r="J760" s="89">
        <f t="shared" si="1864"/>
        <v>16.159500000000001</v>
      </c>
      <c r="K760" s="89">
        <f t="shared" ref="K760:L760" si="1865">K618</f>
        <v>14.364000000000001</v>
      </c>
      <c r="L760" s="89">
        <f t="shared" si="1865"/>
        <v>16.159500000000001</v>
      </c>
      <c r="M760" s="166">
        <f t="shared" si="1849"/>
        <v>58.642739999997708</v>
      </c>
      <c r="N760" s="172">
        <f t="shared" si="1850"/>
        <v>89.166239999998538</v>
      </c>
      <c r="O760" s="1316">
        <f t="shared" si="1807"/>
        <v>61.047000000000821</v>
      </c>
      <c r="S760" s="95"/>
      <c r="T760" s="1103"/>
    </row>
    <row r="761" spans="1:20">
      <c r="A761" s="162">
        <v>1.3</v>
      </c>
      <c r="B761" s="159" t="s">
        <v>4</v>
      </c>
      <c r="C761" s="163"/>
      <c r="D761" s="163"/>
      <c r="E761" s="92">
        <f>SUM(E753:E754)</f>
        <v>65896.160239999997</v>
      </c>
      <c r="F761" s="92">
        <f t="shared" ref="F761:J761" si="1866">SUM(F753:F754)</f>
        <v>51776.46832</v>
      </c>
      <c r="G761" s="92">
        <f t="shared" si="1866"/>
        <v>35807.321339999995</v>
      </c>
      <c r="H761" s="92">
        <f t="shared" si="1866"/>
        <v>27943.860119999998</v>
      </c>
      <c r="I761" s="92">
        <f t="shared" si="1866"/>
        <v>24068.911200000002</v>
      </c>
      <c r="J761" s="92">
        <f t="shared" si="1866"/>
        <v>20203.065750000002</v>
      </c>
      <c r="K761" s="92">
        <f t="shared" ref="K761:L761" si="1867">SUM(K753:K754)</f>
        <v>19647.538049999999</v>
      </c>
      <c r="L761" s="92">
        <f t="shared" si="1867"/>
        <v>19175.301599999999</v>
      </c>
      <c r="M761" s="167">
        <f t="shared" si="1849"/>
        <v>115527.64977999999</v>
      </c>
      <c r="N761" s="94">
        <f t="shared" si="1850"/>
        <v>159799.62673000002</v>
      </c>
      <c r="O761" s="1316">
        <f t="shared" si="1807"/>
        <v>83094.816599999991</v>
      </c>
      <c r="S761" s="95"/>
      <c r="T761" s="1103"/>
    </row>
    <row r="762" spans="1:20">
      <c r="A762" s="183">
        <v>2</v>
      </c>
      <c r="B762" s="182" t="str">
        <f>B208</f>
        <v>Xpert MTB/RIF:</v>
      </c>
      <c r="C762" s="183" t="s">
        <v>735</v>
      </c>
      <c r="D762" s="290"/>
      <c r="E762" s="184"/>
      <c r="F762" s="184"/>
      <c r="G762" s="184"/>
      <c r="H762" s="184"/>
      <c r="I762" s="184"/>
      <c r="J762" s="184"/>
      <c r="K762" s="184"/>
      <c r="L762" s="184"/>
      <c r="M762" s="180"/>
      <c r="N762" s="181"/>
      <c r="O762" s="1316">
        <f t="shared" si="1807"/>
        <v>0</v>
      </c>
      <c r="S762" s="95"/>
      <c r="T762" s="1103"/>
    </row>
    <row r="763" spans="1:20">
      <c r="A763" s="162">
        <v>2.1</v>
      </c>
      <c r="B763" s="159" t="s">
        <v>663</v>
      </c>
      <c r="C763" s="91"/>
      <c r="D763" s="91"/>
      <c r="E763" s="92">
        <f t="shared" ref="E763:J763" si="1868">E216</f>
        <v>13103.596799999999</v>
      </c>
      <c r="F763" s="92">
        <f t="shared" si="1868"/>
        <v>18283.263768000001</v>
      </c>
      <c r="G763" s="92">
        <f t="shared" si="1868"/>
        <v>20477.571840000001</v>
      </c>
      <c r="H763" s="92">
        <f t="shared" si="1868"/>
        <v>20996.910018000002</v>
      </c>
      <c r="I763" s="92">
        <f t="shared" si="1868"/>
        <v>21713.8102272</v>
      </c>
      <c r="J763" s="92">
        <f t="shared" si="1868"/>
        <v>22132.143540000001</v>
      </c>
      <c r="K763" s="92">
        <f t="shared" ref="K763:L763" si="1869">K216</f>
        <v>21456.227051999998</v>
      </c>
      <c r="L763" s="92">
        <f t="shared" si="1869"/>
        <v>20903.953824</v>
      </c>
      <c r="M763" s="167">
        <f t="shared" ref="M763:M771" si="1870">SUM(F763:H763)</f>
        <v>59757.745626000004</v>
      </c>
      <c r="N763" s="94">
        <f t="shared" ref="N763:N771" si="1871">SUM(F763:J763)</f>
        <v>103603.6993932</v>
      </c>
      <c r="O763" s="1316">
        <f t="shared" si="1807"/>
        <v>86206.134643199999</v>
      </c>
      <c r="S763" s="95"/>
      <c r="T763" s="1103"/>
    </row>
    <row r="764" spans="1:20">
      <c r="A764" s="162">
        <v>2.2000000000000002</v>
      </c>
      <c r="B764" s="159" t="s">
        <v>664</v>
      </c>
      <c r="C764" s="163"/>
      <c r="D764" s="163"/>
      <c r="E764" s="92">
        <f>SUM(E765:E770)</f>
        <v>188.66304000000002</v>
      </c>
      <c r="F764" s="92">
        <f t="shared" ref="F764:J764" si="1872">SUM(F765:F770)</f>
        <v>239.58712399999996</v>
      </c>
      <c r="G764" s="92">
        <f t="shared" si="1872"/>
        <v>245.30520000000004</v>
      </c>
      <c r="H764" s="92">
        <f t="shared" si="1872"/>
        <v>242.86531500000004</v>
      </c>
      <c r="I764" s="92">
        <f t="shared" si="1872"/>
        <v>242.38375200000004</v>
      </c>
      <c r="J764" s="92">
        <f t="shared" si="1872"/>
        <v>242.19832</v>
      </c>
      <c r="K764" s="92">
        <f t="shared" ref="K764:L764" si="1873">SUM(K765:K770)</f>
        <v>234.26072800000003</v>
      </c>
      <c r="L764" s="92">
        <f t="shared" si="1873"/>
        <v>227.74783200000002</v>
      </c>
      <c r="M764" s="167">
        <f t="shared" si="1870"/>
        <v>727.75763900000004</v>
      </c>
      <c r="N764" s="94">
        <f t="shared" si="1871"/>
        <v>1212.3397110000001</v>
      </c>
      <c r="O764" s="1316">
        <f t="shared" si="1807"/>
        <v>946.59063200000014</v>
      </c>
      <c r="S764" s="95"/>
      <c r="T764" s="1103"/>
    </row>
    <row r="765" spans="1:20">
      <c r="A765" s="160" t="s">
        <v>350</v>
      </c>
      <c r="B765" s="291" t="str">
        <f t="shared" ref="B765:B770" si="1874">B183</f>
        <v>First-line treatment</v>
      </c>
      <c r="C765" s="154"/>
      <c r="D765" s="154"/>
      <c r="E765" s="295">
        <f t="shared" ref="E765:J765" si="1875">E282</f>
        <v>171.83448000000001</v>
      </c>
      <c r="F765" s="295">
        <f t="shared" si="1875"/>
        <v>218.88401499999995</v>
      </c>
      <c r="G765" s="295">
        <f t="shared" si="1875"/>
        <v>225.18216000000004</v>
      </c>
      <c r="H765" s="295">
        <f t="shared" si="1875"/>
        <v>223.65246750000003</v>
      </c>
      <c r="I765" s="295">
        <f t="shared" si="1875"/>
        <v>224.03908800000005</v>
      </c>
      <c r="J765" s="295">
        <f t="shared" si="1875"/>
        <v>225.101968</v>
      </c>
      <c r="K765" s="295">
        <f t="shared" ref="K765:L765" si="1876">K282</f>
        <v>217.97848800000003</v>
      </c>
      <c r="L765" s="295">
        <f t="shared" si="1876"/>
        <v>212.076176</v>
      </c>
      <c r="M765" s="166">
        <f t="shared" si="1870"/>
        <v>667.71864249999999</v>
      </c>
      <c r="N765" s="172">
        <f t="shared" si="1871"/>
        <v>1116.8596984999999</v>
      </c>
      <c r="O765" s="1316">
        <f t="shared" si="1807"/>
        <v>879.19572000000016</v>
      </c>
      <c r="S765" s="95"/>
      <c r="T765" s="1103"/>
    </row>
    <row r="766" spans="1:20">
      <c r="A766" s="160" t="s">
        <v>351</v>
      </c>
      <c r="B766" s="291" t="str">
        <f t="shared" si="1874"/>
        <v>PDR-TB</v>
      </c>
      <c r="C766" s="154"/>
      <c r="D766" s="154"/>
      <c r="E766" s="295">
        <f t="shared" ref="E766:J766" si="1877">E351</f>
        <v>16.828560000000003</v>
      </c>
      <c r="F766" s="295">
        <f t="shared" si="1877"/>
        <v>20.703109000000001</v>
      </c>
      <c r="G766" s="295">
        <f t="shared" si="1877"/>
        <v>20.123040000000007</v>
      </c>
      <c r="H766" s="295">
        <f t="shared" si="1877"/>
        <v>19.212847500000002</v>
      </c>
      <c r="I766" s="295">
        <f t="shared" si="1877"/>
        <v>18.344663999999998</v>
      </c>
      <c r="J766" s="295">
        <f t="shared" si="1877"/>
        <v>17.096352000000003</v>
      </c>
      <c r="K766" s="295">
        <f t="shared" ref="K766:L766" si="1878">K351</f>
        <v>16.282240000000002</v>
      </c>
      <c r="L766" s="295">
        <f t="shared" si="1878"/>
        <v>15.671656000000002</v>
      </c>
      <c r="M766" s="166">
        <f t="shared" si="1870"/>
        <v>60.03899650000001</v>
      </c>
      <c r="N766" s="172">
        <f t="shared" si="1871"/>
        <v>95.480012500000015</v>
      </c>
      <c r="O766" s="1316">
        <f t="shared" si="1807"/>
        <v>67.394912000000005</v>
      </c>
      <c r="S766" s="95"/>
      <c r="T766" s="1103"/>
    </row>
    <row r="767" spans="1:20">
      <c r="A767" s="160" t="s">
        <v>352</v>
      </c>
      <c r="B767" s="291" t="str">
        <f t="shared" si="1874"/>
        <v>MDR-TB: no resistance to SLDs</v>
      </c>
      <c r="C767" s="154"/>
      <c r="D767" s="154"/>
      <c r="E767" s="295">
        <f t="shared" ref="E767:J767" si="1879">E420</f>
        <v>0</v>
      </c>
      <c r="F767" s="295">
        <f t="shared" si="1879"/>
        <v>0</v>
      </c>
      <c r="G767" s="295">
        <f t="shared" si="1879"/>
        <v>0</v>
      </c>
      <c r="H767" s="295">
        <f t="shared" si="1879"/>
        <v>0</v>
      </c>
      <c r="I767" s="295">
        <f t="shared" si="1879"/>
        <v>0</v>
      </c>
      <c r="J767" s="295">
        <f t="shared" si="1879"/>
        <v>0</v>
      </c>
      <c r="K767" s="295">
        <f t="shared" ref="K767:L767" si="1880">K420</f>
        <v>0</v>
      </c>
      <c r="L767" s="295">
        <f t="shared" si="1880"/>
        <v>0</v>
      </c>
      <c r="M767" s="166">
        <f t="shared" si="1870"/>
        <v>0</v>
      </c>
      <c r="N767" s="172">
        <f t="shared" si="1871"/>
        <v>0</v>
      </c>
      <c r="O767" s="1316">
        <f t="shared" si="1807"/>
        <v>0</v>
      </c>
      <c r="S767" s="95"/>
      <c r="T767" s="1103"/>
    </row>
    <row r="768" spans="1:20">
      <c r="A768" s="160" t="s">
        <v>353</v>
      </c>
      <c r="B768" s="291" t="str">
        <f t="shared" si="1874"/>
        <v>MDR-TB: 'pre-XDR'</v>
      </c>
      <c r="C768" s="266"/>
      <c r="D768" s="266"/>
      <c r="E768" s="89">
        <f t="shared" ref="E768:J768" si="1881">E489</f>
        <v>0</v>
      </c>
      <c r="F768" s="89">
        <f t="shared" si="1881"/>
        <v>0</v>
      </c>
      <c r="G768" s="89">
        <f t="shared" si="1881"/>
        <v>0</v>
      </c>
      <c r="H768" s="89">
        <f t="shared" si="1881"/>
        <v>0</v>
      </c>
      <c r="I768" s="89">
        <f t="shared" si="1881"/>
        <v>0</v>
      </c>
      <c r="J768" s="89">
        <f t="shared" si="1881"/>
        <v>0</v>
      </c>
      <c r="K768" s="89">
        <f t="shared" ref="K768:L768" si="1882">K489</f>
        <v>0</v>
      </c>
      <c r="L768" s="89">
        <f t="shared" si="1882"/>
        <v>0</v>
      </c>
      <c r="M768" s="166">
        <f t="shared" si="1870"/>
        <v>0</v>
      </c>
      <c r="N768" s="172">
        <f t="shared" si="1871"/>
        <v>0</v>
      </c>
      <c r="O768" s="1316">
        <f t="shared" si="1807"/>
        <v>0</v>
      </c>
      <c r="S768" s="95"/>
      <c r="T768" s="1103"/>
    </row>
    <row r="769" spans="1:20">
      <c r="A769" s="160" t="s">
        <v>354</v>
      </c>
      <c r="B769" s="291" t="str">
        <f t="shared" si="1874"/>
        <v>MDR-TB: XDR</v>
      </c>
      <c r="C769" s="266"/>
      <c r="D769" s="266"/>
      <c r="E769" s="89">
        <f t="shared" ref="E769:J769" si="1883">E558</f>
        <v>0</v>
      </c>
      <c r="F769" s="89">
        <f t="shared" si="1883"/>
        <v>0</v>
      </c>
      <c r="G769" s="89">
        <f t="shared" si="1883"/>
        <v>0</v>
      </c>
      <c r="H769" s="89">
        <f t="shared" si="1883"/>
        <v>0</v>
      </c>
      <c r="I769" s="89">
        <f t="shared" si="1883"/>
        <v>0</v>
      </c>
      <c r="J769" s="89">
        <f t="shared" si="1883"/>
        <v>0</v>
      </c>
      <c r="K769" s="89">
        <f t="shared" ref="K769:L769" si="1884">K558</f>
        <v>0</v>
      </c>
      <c r="L769" s="89">
        <f t="shared" si="1884"/>
        <v>0</v>
      </c>
      <c r="M769" s="166">
        <f t="shared" si="1870"/>
        <v>0</v>
      </c>
      <c r="N769" s="172">
        <f t="shared" si="1871"/>
        <v>0</v>
      </c>
      <c r="O769" s="1316">
        <f t="shared" si="1807"/>
        <v>0</v>
      </c>
      <c r="S769" s="95"/>
      <c r="T769" s="1103"/>
    </row>
    <row r="770" spans="1:20">
      <c r="A770" s="160" t="s">
        <v>355</v>
      </c>
      <c r="B770" s="291" t="str">
        <f t="shared" si="1874"/>
        <v>Other treatment and palliative care</v>
      </c>
      <c r="C770" s="266"/>
      <c r="D770" s="266"/>
      <c r="E770" s="89">
        <f t="shared" ref="E770:J770" si="1885">E627</f>
        <v>0</v>
      </c>
      <c r="F770" s="89">
        <f t="shared" si="1885"/>
        <v>0</v>
      </c>
      <c r="G770" s="89">
        <f t="shared" si="1885"/>
        <v>0</v>
      </c>
      <c r="H770" s="89">
        <f t="shared" si="1885"/>
        <v>0</v>
      </c>
      <c r="I770" s="89">
        <f t="shared" si="1885"/>
        <v>0</v>
      </c>
      <c r="J770" s="89">
        <f t="shared" si="1885"/>
        <v>0</v>
      </c>
      <c r="K770" s="89">
        <f t="shared" ref="K770:L770" si="1886">K627</f>
        <v>0</v>
      </c>
      <c r="L770" s="89">
        <f t="shared" si="1886"/>
        <v>0</v>
      </c>
      <c r="M770" s="166">
        <f t="shared" si="1870"/>
        <v>0</v>
      </c>
      <c r="N770" s="172">
        <f t="shared" si="1871"/>
        <v>0</v>
      </c>
      <c r="O770" s="1316">
        <f t="shared" si="1807"/>
        <v>0</v>
      </c>
      <c r="S770" s="95"/>
      <c r="T770" s="1103"/>
    </row>
    <row r="771" spans="1:20">
      <c r="A771" s="162">
        <v>2.2999999999999998</v>
      </c>
      <c r="B771" s="159" t="s">
        <v>4</v>
      </c>
      <c r="C771" s="163"/>
      <c r="D771" s="163"/>
      <c r="E771" s="92">
        <f>SUM(E763:E764)</f>
        <v>13292.259839999999</v>
      </c>
      <c r="F771" s="92">
        <f t="shared" ref="F771:J771" si="1887">SUM(F763:F764)</f>
        <v>18522.850892000002</v>
      </c>
      <c r="G771" s="92">
        <f t="shared" si="1887"/>
        <v>20722.877039999999</v>
      </c>
      <c r="H771" s="92">
        <f t="shared" si="1887"/>
        <v>21239.775333000001</v>
      </c>
      <c r="I771" s="92">
        <f t="shared" si="1887"/>
        <v>21956.193979200001</v>
      </c>
      <c r="J771" s="92">
        <f t="shared" si="1887"/>
        <v>22374.34186</v>
      </c>
      <c r="K771" s="92">
        <f t="shared" ref="K771:L771" si="1888">SUM(K763:K764)</f>
        <v>21690.487779999999</v>
      </c>
      <c r="L771" s="92">
        <f t="shared" si="1888"/>
        <v>21131.701656000001</v>
      </c>
      <c r="M771" s="167">
        <f t="shared" si="1870"/>
        <v>60485.503265000007</v>
      </c>
      <c r="N771" s="94">
        <f t="shared" si="1871"/>
        <v>104816.03910420001</v>
      </c>
      <c r="O771" s="1316">
        <f t="shared" si="1807"/>
        <v>87152.725275200006</v>
      </c>
      <c r="S771" s="95"/>
      <c r="T771" s="1103"/>
    </row>
    <row r="772" spans="1:20">
      <c r="A772" s="183">
        <v>3</v>
      </c>
      <c r="B772" s="182" t="str">
        <f>B217</f>
        <v>Culture:</v>
      </c>
      <c r="C772" s="183" t="s">
        <v>736</v>
      </c>
      <c r="D772" s="290"/>
      <c r="E772" s="184"/>
      <c r="F772" s="184"/>
      <c r="G772" s="184"/>
      <c r="H772" s="184"/>
      <c r="I772" s="184"/>
      <c r="J772" s="184"/>
      <c r="K772" s="184"/>
      <c r="L772" s="184"/>
      <c r="M772" s="180"/>
      <c r="N772" s="181"/>
      <c r="O772" s="1316">
        <f t="shared" si="1807"/>
        <v>0</v>
      </c>
      <c r="P772" s="95"/>
      <c r="S772" s="95"/>
      <c r="T772" s="1103"/>
    </row>
    <row r="773" spans="1:20">
      <c r="A773" s="162">
        <v>3.1</v>
      </c>
      <c r="B773" s="159" t="s">
        <v>663</v>
      </c>
      <c r="C773" s="91"/>
      <c r="D773" s="91"/>
      <c r="E773" s="92">
        <f t="shared" ref="E773:J773" si="1889">E225</f>
        <v>7149.7799999999988</v>
      </c>
      <c r="F773" s="92">
        <f t="shared" si="1889"/>
        <v>7353.8572800000011</v>
      </c>
      <c r="G773" s="92">
        <f t="shared" si="1889"/>
        <v>7389.3124799999996</v>
      </c>
      <c r="H773" s="92">
        <f t="shared" si="1889"/>
        <v>7264.9859040000001</v>
      </c>
      <c r="I773" s="92">
        <f t="shared" si="1889"/>
        <v>6773.5388159999993</v>
      </c>
      <c r="J773" s="92">
        <f t="shared" si="1889"/>
        <v>6634.742400000001</v>
      </c>
      <c r="K773" s="92">
        <f t="shared" ref="K773:L773" si="1890">K225</f>
        <v>6432.1171200000008</v>
      </c>
      <c r="L773" s="92">
        <f t="shared" si="1890"/>
        <v>6266.5574399999987</v>
      </c>
      <c r="M773" s="167">
        <f t="shared" ref="M773:M781" si="1891">SUM(F773:H773)</f>
        <v>22008.155664000002</v>
      </c>
      <c r="N773" s="94">
        <f t="shared" ref="N773:N781" si="1892">SUM(F773:J773)</f>
        <v>35416.436880000001</v>
      </c>
      <c r="O773" s="1316">
        <f t="shared" si="1807"/>
        <v>26106.955775999995</v>
      </c>
      <c r="S773" s="95"/>
      <c r="T773" s="1103"/>
    </row>
    <row r="774" spans="1:20">
      <c r="A774" s="162">
        <v>3.2</v>
      </c>
      <c r="B774" s="159" t="s">
        <v>664</v>
      </c>
      <c r="C774" s="163"/>
      <c r="D774" s="163"/>
      <c r="E774" s="92">
        <f>SUM(E775:E780)</f>
        <v>5781.4626835830641</v>
      </c>
      <c r="F774" s="92">
        <f t="shared" ref="F774" si="1893">SUM(F775:F780)</f>
        <v>6088.8230296200118</v>
      </c>
      <c r="G774" s="92">
        <f t="shared" ref="G774" si="1894">SUM(G775:G780)</f>
        <v>6389.6370098426041</v>
      </c>
      <c r="H774" s="92">
        <f t="shared" ref="H774" si="1895">SUM(H775:H780)</f>
        <v>6969.3290643200808</v>
      </c>
      <c r="I774" s="92">
        <f t="shared" ref="I774" si="1896">SUM(I775:I780)</f>
        <v>7894.5896791319847</v>
      </c>
      <c r="J774" s="92">
        <f t="shared" ref="J774:L774" si="1897">SUM(J775:J780)</f>
        <v>7690.2057134965835</v>
      </c>
      <c r="K774" s="92">
        <f t="shared" si="1897"/>
        <v>7513.1501935475908</v>
      </c>
      <c r="L774" s="92">
        <f t="shared" si="1897"/>
        <v>7351.7359174218063</v>
      </c>
      <c r="M774" s="167">
        <f t="shared" si="1891"/>
        <v>19447.789103782696</v>
      </c>
      <c r="N774" s="94">
        <f t="shared" si="1892"/>
        <v>35032.584496411262</v>
      </c>
      <c r="O774" s="1316">
        <f t="shared" si="1807"/>
        <v>30449.681503597967</v>
      </c>
      <c r="S774" s="95"/>
      <c r="T774" s="1103"/>
    </row>
    <row r="775" spans="1:20">
      <c r="A775" s="160" t="s">
        <v>376</v>
      </c>
      <c r="B775" s="291" t="str">
        <f t="shared" ref="B775:B780" si="1898">B183</f>
        <v>First-line treatment</v>
      </c>
      <c r="C775" s="154"/>
      <c r="D775" s="154"/>
      <c r="E775" s="295">
        <f t="shared" ref="E775:J775" si="1899">E292</f>
        <v>1171.4376835830637</v>
      </c>
      <c r="F775" s="295">
        <f t="shared" si="1899"/>
        <v>1157.2230296200114</v>
      </c>
      <c r="G775" s="295">
        <f t="shared" si="1899"/>
        <v>1115.8120098426048</v>
      </c>
      <c r="H775" s="295">
        <f t="shared" si="1899"/>
        <v>1118.8790643200807</v>
      </c>
      <c r="I775" s="295">
        <f t="shared" si="1899"/>
        <v>2129.189679131985</v>
      </c>
      <c r="J775" s="295">
        <f t="shared" si="1899"/>
        <v>2028.3057134965825</v>
      </c>
      <c r="K775" s="295">
        <f t="shared" ref="K775:L775" si="1900">K292</f>
        <v>1962.8501935475906</v>
      </c>
      <c r="L775" s="295">
        <f t="shared" si="1900"/>
        <v>1910.7859174218072</v>
      </c>
      <c r="M775" s="166">
        <f t="shared" si="1891"/>
        <v>3391.9141037826967</v>
      </c>
      <c r="N775" s="172">
        <f t="shared" si="1892"/>
        <v>7549.4094964112646</v>
      </c>
      <c r="O775" s="1316">
        <f t="shared" si="1807"/>
        <v>8031.1315035979651</v>
      </c>
      <c r="S775" s="95"/>
      <c r="T775" s="1103"/>
    </row>
    <row r="776" spans="1:20">
      <c r="A776" s="160" t="s">
        <v>377</v>
      </c>
      <c r="B776" s="291" t="str">
        <f t="shared" si="1898"/>
        <v>PDR-TB</v>
      </c>
      <c r="C776" s="154"/>
      <c r="D776" s="154"/>
      <c r="E776" s="295">
        <f t="shared" ref="E776:J776" si="1901">E361</f>
        <v>275.625</v>
      </c>
      <c r="F776" s="295">
        <f t="shared" si="1901"/>
        <v>262</v>
      </c>
      <c r="G776" s="295">
        <f t="shared" si="1901"/>
        <v>240.125</v>
      </c>
      <c r="H776" s="295">
        <f t="shared" si="1901"/>
        <v>231.75</v>
      </c>
      <c r="I776" s="295">
        <f t="shared" si="1901"/>
        <v>211.5</v>
      </c>
      <c r="J776" s="295">
        <f t="shared" si="1901"/>
        <v>189.00000000000003</v>
      </c>
      <c r="K776" s="295">
        <f t="shared" ref="K776:L776" si="1902">K361</f>
        <v>180</v>
      </c>
      <c r="L776" s="295">
        <f t="shared" si="1902"/>
        <v>173.25</v>
      </c>
      <c r="M776" s="166">
        <f t="shared" si="1891"/>
        <v>733.875</v>
      </c>
      <c r="N776" s="172">
        <f t="shared" si="1892"/>
        <v>1134.375</v>
      </c>
      <c r="O776" s="1316">
        <f t="shared" si="1807"/>
        <v>753.75</v>
      </c>
      <c r="S776" s="95"/>
      <c r="T776" s="1103"/>
    </row>
    <row r="777" spans="1:20">
      <c r="A777" s="160" t="s">
        <v>378</v>
      </c>
      <c r="B777" s="291" t="str">
        <f t="shared" si="1898"/>
        <v>MDR-TB: no resistance to SLDs</v>
      </c>
      <c r="C777" s="154"/>
      <c r="D777" s="154"/>
      <c r="E777" s="295">
        <f t="shared" ref="E777:J777" si="1903">E430</f>
        <v>2844</v>
      </c>
      <c r="F777" s="295">
        <f t="shared" si="1903"/>
        <v>3047.2000000000003</v>
      </c>
      <c r="G777" s="295">
        <f t="shared" si="1903"/>
        <v>3248.7</v>
      </c>
      <c r="H777" s="295">
        <f t="shared" si="1903"/>
        <v>3577.5</v>
      </c>
      <c r="I777" s="295">
        <f t="shared" si="1903"/>
        <v>3496.4999999999995</v>
      </c>
      <c r="J777" s="295">
        <f t="shared" si="1903"/>
        <v>3415.5000000000005</v>
      </c>
      <c r="K777" s="295">
        <f t="shared" ref="K777:L777" si="1904">K430</f>
        <v>3361.5</v>
      </c>
      <c r="L777" s="295">
        <f t="shared" si="1904"/>
        <v>3307.4999999999995</v>
      </c>
      <c r="M777" s="166">
        <f t="shared" si="1891"/>
        <v>9873.4</v>
      </c>
      <c r="N777" s="172">
        <f t="shared" si="1892"/>
        <v>16785.400000000001</v>
      </c>
      <c r="O777" s="1316">
        <f t="shared" si="1807"/>
        <v>13581</v>
      </c>
      <c r="S777" s="95"/>
      <c r="T777" s="1103"/>
    </row>
    <row r="778" spans="1:20">
      <c r="A778" s="160" t="s">
        <v>379</v>
      </c>
      <c r="B778" s="291" t="str">
        <f t="shared" si="1898"/>
        <v>MDR-TB: 'pre-XDR'</v>
      </c>
      <c r="C778" s="266"/>
      <c r="D778" s="266"/>
      <c r="E778" s="89">
        <f t="shared" ref="E778:J778" si="1905">E499</f>
        <v>1198.8</v>
      </c>
      <c r="F778" s="89">
        <f t="shared" si="1905"/>
        <v>1285.4400000000003</v>
      </c>
      <c r="G778" s="89">
        <f t="shared" si="1905"/>
        <v>1413.7199999999996</v>
      </c>
      <c r="H778" s="89">
        <f t="shared" si="1905"/>
        <v>1603.8000000000002</v>
      </c>
      <c r="I778" s="89">
        <f t="shared" si="1905"/>
        <v>1603.8</v>
      </c>
      <c r="J778" s="89">
        <f t="shared" si="1905"/>
        <v>1603.8000000000002</v>
      </c>
      <c r="K778" s="89">
        <f t="shared" ref="K778:L778" si="1906">K499</f>
        <v>1555.2</v>
      </c>
      <c r="L778" s="89">
        <f t="shared" si="1906"/>
        <v>1522.8</v>
      </c>
      <c r="M778" s="166">
        <f t="shared" si="1891"/>
        <v>4302.96</v>
      </c>
      <c r="N778" s="172">
        <f t="shared" si="1892"/>
        <v>7510.56</v>
      </c>
      <c r="O778" s="1316">
        <f t="shared" si="1807"/>
        <v>6285.6</v>
      </c>
      <c r="S778" s="95"/>
      <c r="T778" s="1103"/>
    </row>
    <row r="779" spans="1:20">
      <c r="A779" s="160" t="s">
        <v>380</v>
      </c>
      <c r="B779" s="291" t="str">
        <f t="shared" si="1898"/>
        <v>MDR-TB: XDR</v>
      </c>
      <c r="C779" s="266"/>
      <c r="D779" s="266"/>
      <c r="E779" s="89">
        <f t="shared" ref="E779:J779" si="1907">E568</f>
        <v>291.59999999999997</v>
      </c>
      <c r="F779" s="89">
        <f t="shared" si="1907"/>
        <v>336.96000000000004</v>
      </c>
      <c r="G779" s="89">
        <f t="shared" si="1907"/>
        <v>371.27999999999992</v>
      </c>
      <c r="H779" s="89">
        <f t="shared" si="1907"/>
        <v>437.40000000000003</v>
      </c>
      <c r="I779" s="89">
        <f t="shared" si="1907"/>
        <v>453.59999999999991</v>
      </c>
      <c r="J779" s="89">
        <f t="shared" si="1907"/>
        <v>453.59999999999997</v>
      </c>
      <c r="K779" s="89">
        <f t="shared" ref="K779:L779" si="1908">K568</f>
        <v>453.59999999999997</v>
      </c>
      <c r="L779" s="89">
        <f t="shared" si="1908"/>
        <v>437.4</v>
      </c>
      <c r="M779" s="166">
        <f t="shared" si="1891"/>
        <v>1145.6400000000001</v>
      </c>
      <c r="N779" s="172">
        <f t="shared" si="1892"/>
        <v>2052.84</v>
      </c>
      <c r="O779" s="1316">
        <f t="shared" si="1807"/>
        <v>1798.1999999999998</v>
      </c>
      <c r="S779" s="95"/>
      <c r="T779" s="1103"/>
    </row>
    <row r="780" spans="1:20">
      <c r="A780" s="160" t="s">
        <v>381</v>
      </c>
      <c r="B780" s="291" t="str">
        <f t="shared" si="1898"/>
        <v>Other treatment and palliative care</v>
      </c>
      <c r="C780" s="266"/>
      <c r="D780" s="266"/>
      <c r="E780" s="89">
        <f t="shared" ref="E780:J780" si="1909">E637</f>
        <v>0</v>
      </c>
      <c r="F780" s="89">
        <f t="shared" si="1909"/>
        <v>0</v>
      </c>
      <c r="G780" s="89">
        <f t="shared" si="1909"/>
        <v>0</v>
      </c>
      <c r="H780" s="89">
        <f t="shared" si="1909"/>
        <v>0</v>
      </c>
      <c r="I780" s="89">
        <f t="shared" si="1909"/>
        <v>0</v>
      </c>
      <c r="J780" s="89">
        <f t="shared" si="1909"/>
        <v>0</v>
      </c>
      <c r="K780" s="89">
        <f t="shared" ref="K780:L780" si="1910">K637</f>
        <v>0</v>
      </c>
      <c r="L780" s="89">
        <f t="shared" si="1910"/>
        <v>0</v>
      </c>
      <c r="M780" s="166">
        <f t="shared" si="1891"/>
        <v>0</v>
      </c>
      <c r="N780" s="172">
        <f t="shared" si="1892"/>
        <v>0</v>
      </c>
      <c r="O780" s="1316">
        <f t="shared" si="1807"/>
        <v>0</v>
      </c>
      <c r="S780" s="95"/>
      <c r="T780" s="1103"/>
    </row>
    <row r="781" spans="1:20">
      <c r="A781" s="162">
        <v>3.3</v>
      </c>
      <c r="B781" s="159" t="s">
        <v>4</v>
      </c>
      <c r="C781" s="163"/>
      <c r="D781" s="163"/>
      <c r="E781" s="92">
        <f>SUM(E773:E774)</f>
        <v>12931.242683583063</v>
      </c>
      <c r="F781" s="92">
        <f t="shared" ref="F781:J781" si="1911">SUM(F773:F774)</f>
        <v>13442.680309620013</v>
      </c>
      <c r="G781" s="92">
        <f t="shared" si="1911"/>
        <v>13778.949489842604</v>
      </c>
      <c r="H781" s="92">
        <f t="shared" si="1911"/>
        <v>14234.314968320081</v>
      </c>
      <c r="I781" s="92">
        <f t="shared" si="1911"/>
        <v>14668.128495131983</v>
      </c>
      <c r="J781" s="92">
        <f t="shared" si="1911"/>
        <v>14324.948113496584</v>
      </c>
      <c r="K781" s="92">
        <f t="shared" ref="K781:L781" si="1912">SUM(K773:K774)</f>
        <v>13945.267313547592</v>
      </c>
      <c r="L781" s="92">
        <f t="shared" si="1912"/>
        <v>13618.293357421804</v>
      </c>
      <c r="M781" s="167">
        <f t="shared" si="1891"/>
        <v>41455.944767782697</v>
      </c>
      <c r="N781" s="94">
        <f t="shared" si="1892"/>
        <v>70449.02137641127</v>
      </c>
      <c r="O781" s="1316">
        <f t="shared" si="1807"/>
        <v>56556.637279597962</v>
      </c>
      <c r="S781" s="95"/>
      <c r="T781" s="1103"/>
    </row>
    <row r="782" spans="1:20">
      <c r="A782" s="183">
        <v>4</v>
      </c>
      <c r="B782" s="182" t="str">
        <f>B226</f>
        <v>DST-1 (MGIT):</v>
      </c>
      <c r="C782" s="183" t="s">
        <v>829</v>
      </c>
      <c r="D782" s="290"/>
      <c r="E782" s="184"/>
      <c r="F782" s="184"/>
      <c r="G782" s="184"/>
      <c r="H782" s="184"/>
      <c r="I782" s="184"/>
      <c r="J782" s="184"/>
      <c r="K782" s="184"/>
      <c r="L782" s="184"/>
      <c r="M782" s="180"/>
      <c r="N782" s="181"/>
      <c r="O782" s="1316">
        <f t="shared" si="1807"/>
        <v>0</v>
      </c>
      <c r="S782" s="95"/>
      <c r="T782" s="1103"/>
    </row>
    <row r="783" spans="1:20">
      <c r="A783" s="162">
        <v>4.0999999999999996</v>
      </c>
      <c r="B783" s="159" t="s">
        <v>663</v>
      </c>
      <c r="C783" s="91"/>
      <c r="D783" s="91"/>
      <c r="E783" s="92">
        <f t="shared" ref="E783:J783" si="1913">E234</f>
        <v>1440.6939</v>
      </c>
      <c r="F783" s="92">
        <f t="shared" si="1913"/>
        <v>1423.2672000000002</v>
      </c>
      <c r="G783" s="92">
        <f t="shared" si="1913"/>
        <v>1378.5646799999997</v>
      </c>
      <c r="H783" s="92">
        <f t="shared" si="1913"/>
        <v>1391.8715999999999</v>
      </c>
      <c r="I783" s="92">
        <f t="shared" si="1913"/>
        <v>1330.4482199999998</v>
      </c>
      <c r="J783" s="92">
        <f t="shared" si="1913"/>
        <v>1270.10808</v>
      </c>
      <c r="K783" s="92">
        <f t="shared" ref="K783:L783" si="1914">K234</f>
        <v>1231.9284599999999</v>
      </c>
      <c r="L783" s="92">
        <f t="shared" si="1914"/>
        <v>1202.5524600000001</v>
      </c>
      <c r="M783" s="167">
        <f t="shared" ref="M783:M791" si="1915">SUM(F783:H783)</f>
        <v>4193.7034800000001</v>
      </c>
      <c r="N783" s="94">
        <f t="shared" ref="N783:N791" si="1916">SUM(F783:J783)</f>
        <v>6794.2597800000003</v>
      </c>
      <c r="O783" s="1316">
        <f t="shared" si="1807"/>
        <v>5035.0372199999993</v>
      </c>
      <c r="S783" s="95"/>
      <c r="T783" s="1103"/>
    </row>
    <row r="784" spans="1:20">
      <c r="A784" s="162">
        <v>4.2</v>
      </c>
      <c r="B784" s="159" t="s">
        <v>664</v>
      </c>
      <c r="C784" s="163"/>
      <c r="D784" s="163"/>
      <c r="E784" s="92">
        <f>SUM(E785:E790)</f>
        <v>407.66849999999999</v>
      </c>
      <c r="F784" s="92">
        <f t="shared" ref="F784" si="1917">SUM(F785:F790)</f>
        <v>400.32960000000008</v>
      </c>
      <c r="G784" s="92">
        <f t="shared" ref="G784" si="1918">SUM(G785:G790)</f>
        <v>387.37560000000002</v>
      </c>
      <c r="H784" s="92">
        <f t="shared" ref="H784" si="1919">SUM(H785:H790)</f>
        <v>388.68120000000005</v>
      </c>
      <c r="I784" s="92">
        <f t="shared" ref="I784" si="1920">SUM(I785:I790)</f>
        <v>371.65229999999997</v>
      </c>
      <c r="J784" s="92">
        <f t="shared" ref="J784:L784" si="1921">SUM(J785:J790)</f>
        <v>356.78069999999997</v>
      </c>
      <c r="K784" s="92">
        <f t="shared" si="1921"/>
        <v>345.53519999999997</v>
      </c>
      <c r="L784" s="92">
        <f t="shared" si="1921"/>
        <v>336.21749999999992</v>
      </c>
      <c r="M784" s="167">
        <f t="shared" si="1915"/>
        <v>1176.3864000000001</v>
      </c>
      <c r="N784" s="94">
        <f t="shared" si="1916"/>
        <v>1904.8194000000001</v>
      </c>
      <c r="O784" s="1316">
        <f t="shared" si="1807"/>
        <v>1410.1857</v>
      </c>
      <c r="S784" s="95"/>
      <c r="T784" s="1103"/>
    </row>
    <row r="785" spans="1:20">
      <c r="A785" s="160" t="s">
        <v>401</v>
      </c>
      <c r="B785" s="291" t="str">
        <f t="shared" ref="B785:B790" si="1922">B183</f>
        <v>First-line treatment</v>
      </c>
      <c r="C785" s="154"/>
      <c r="D785" s="154"/>
      <c r="E785" s="295">
        <f t="shared" ref="E785:J785" si="1923">E302</f>
        <v>344.47950000000003</v>
      </c>
      <c r="F785" s="295">
        <f t="shared" si="1923"/>
        <v>339.04800000000006</v>
      </c>
      <c r="G785" s="295">
        <f t="shared" si="1923"/>
        <v>328.89645000000002</v>
      </c>
      <c r="H785" s="295">
        <f t="shared" si="1923"/>
        <v>330.20460000000003</v>
      </c>
      <c r="I785" s="295">
        <f t="shared" si="1923"/>
        <v>316.15919999999994</v>
      </c>
      <c r="J785" s="295">
        <f t="shared" si="1923"/>
        <v>304.5924</v>
      </c>
      <c r="K785" s="295">
        <f t="shared" ref="K785:L785" si="1924">K302</f>
        <v>294.95339999999999</v>
      </c>
      <c r="L785" s="295">
        <f t="shared" si="1924"/>
        <v>286.96679999999992</v>
      </c>
      <c r="M785" s="166">
        <f t="shared" si="1915"/>
        <v>998.1490500000001</v>
      </c>
      <c r="N785" s="172">
        <f t="shared" si="1916"/>
        <v>1618.90065</v>
      </c>
      <c r="O785" s="1316">
        <f t="shared" si="1807"/>
        <v>1202.6717999999998</v>
      </c>
      <c r="S785" s="95"/>
      <c r="T785" s="1103"/>
    </row>
    <row r="786" spans="1:20">
      <c r="A786" s="160" t="s">
        <v>402</v>
      </c>
      <c r="B786" s="291" t="str">
        <f t="shared" si="1922"/>
        <v>PDR-TB</v>
      </c>
      <c r="C786" s="154"/>
      <c r="D786" s="154"/>
      <c r="E786" s="295">
        <f t="shared" ref="E786:J786" si="1925">E371</f>
        <v>33.736499999999999</v>
      </c>
      <c r="F786" s="295">
        <f t="shared" si="1925"/>
        <v>32.068799999999996</v>
      </c>
      <c r="G786" s="295">
        <f t="shared" si="1925"/>
        <v>29.391299999999998</v>
      </c>
      <c r="H786" s="295">
        <f t="shared" si="1925"/>
        <v>28.366199999999999</v>
      </c>
      <c r="I786" s="295">
        <f t="shared" si="1925"/>
        <v>25.887599999999996</v>
      </c>
      <c r="J786" s="295">
        <f t="shared" si="1925"/>
        <v>23.133600000000001</v>
      </c>
      <c r="K786" s="295">
        <f t="shared" ref="K786:L786" si="1926">K371</f>
        <v>22.032</v>
      </c>
      <c r="L786" s="295">
        <f t="shared" si="1926"/>
        <v>21.205799999999996</v>
      </c>
      <c r="M786" s="166">
        <f t="shared" si="1915"/>
        <v>89.826300000000003</v>
      </c>
      <c r="N786" s="172">
        <f t="shared" si="1916"/>
        <v>138.8475</v>
      </c>
      <c r="O786" s="1316">
        <f t="shared" si="1807"/>
        <v>92.258999999999986</v>
      </c>
      <c r="S786" s="95"/>
      <c r="T786" s="1103"/>
    </row>
    <row r="787" spans="1:20">
      <c r="A787" s="160" t="s">
        <v>403</v>
      </c>
      <c r="B787" s="291" t="str">
        <f t="shared" si="1922"/>
        <v>MDR-TB: no resistance to SLDs</v>
      </c>
      <c r="C787" s="154"/>
      <c r="D787" s="154"/>
      <c r="E787" s="295">
        <f t="shared" ref="E787:J787" si="1927">E440</f>
        <v>24.174000000000003</v>
      </c>
      <c r="F787" s="295">
        <f t="shared" si="1927"/>
        <v>23.908800000000003</v>
      </c>
      <c r="G787" s="295">
        <f t="shared" si="1927"/>
        <v>23.669099999999997</v>
      </c>
      <c r="H787" s="295">
        <f t="shared" si="1927"/>
        <v>24.327000000000002</v>
      </c>
      <c r="I787" s="295">
        <f t="shared" si="1927"/>
        <v>23.776199999999999</v>
      </c>
      <c r="J787" s="295">
        <f t="shared" si="1927"/>
        <v>23.2254</v>
      </c>
      <c r="K787" s="295">
        <f t="shared" ref="K787:L787" si="1928">K440</f>
        <v>22.858200000000004</v>
      </c>
      <c r="L787" s="295">
        <f t="shared" si="1928"/>
        <v>22.490999999999996</v>
      </c>
      <c r="M787" s="166">
        <f t="shared" si="1915"/>
        <v>71.904899999999998</v>
      </c>
      <c r="N787" s="172">
        <f t="shared" si="1916"/>
        <v>118.90649999999999</v>
      </c>
      <c r="O787" s="1316">
        <f t="shared" si="1807"/>
        <v>92.350800000000007</v>
      </c>
      <c r="S787" s="95"/>
      <c r="T787" s="1103"/>
    </row>
    <row r="788" spans="1:20">
      <c r="A788" s="160" t="s">
        <v>404</v>
      </c>
      <c r="B788" s="291" t="str">
        <f t="shared" si="1922"/>
        <v>MDR-TB: 'pre-XDR'</v>
      </c>
      <c r="C788" s="266"/>
      <c r="D788" s="266"/>
      <c r="E788" s="89">
        <f t="shared" ref="E788:J788" si="1929">E509</f>
        <v>4.2457500000000001</v>
      </c>
      <c r="F788" s="89">
        <f t="shared" si="1929"/>
        <v>4.2023999999999999</v>
      </c>
      <c r="G788" s="89">
        <f t="shared" si="1929"/>
        <v>4.2916500000000006</v>
      </c>
      <c r="H788" s="89">
        <f t="shared" si="1929"/>
        <v>4.5441000000000003</v>
      </c>
      <c r="I788" s="89">
        <f t="shared" si="1929"/>
        <v>4.5441000000000003</v>
      </c>
      <c r="J788" s="89">
        <f t="shared" si="1929"/>
        <v>4.5441000000000003</v>
      </c>
      <c r="K788" s="89">
        <f t="shared" ref="K788:L788" si="1930">K509</f>
        <v>4.4064000000000014</v>
      </c>
      <c r="L788" s="89">
        <f t="shared" si="1930"/>
        <v>4.3145999999999995</v>
      </c>
      <c r="M788" s="166">
        <f t="shared" si="1915"/>
        <v>13.038150000000002</v>
      </c>
      <c r="N788" s="172">
        <f t="shared" si="1916"/>
        <v>22.126350000000002</v>
      </c>
      <c r="O788" s="1316">
        <f t="shared" si="1807"/>
        <v>17.809200000000001</v>
      </c>
      <c r="S788" s="95"/>
      <c r="T788" s="1103"/>
    </row>
    <row r="789" spans="1:20">
      <c r="A789" s="160" t="s">
        <v>405</v>
      </c>
      <c r="B789" s="291" t="str">
        <f t="shared" si="1922"/>
        <v>MDR-TB: XDR</v>
      </c>
      <c r="C789" s="266"/>
      <c r="D789" s="266"/>
      <c r="E789" s="89">
        <f t="shared" ref="E789:J789" si="1931">E578</f>
        <v>1.0327500000000003</v>
      </c>
      <c r="F789" s="89">
        <f t="shared" si="1931"/>
        <v>1.1016000000000001</v>
      </c>
      <c r="G789" s="89">
        <f t="shared" si="1931"/>
        <v>1.1271</v>
      </c>
      <c r="H789" s="89">
        <f t="shared" si="1931"/>
        <v>1.2393000000000001</v>
      </c>
      <c r="I789" s="89">
        <f t="shared" si="1931"/>
        <v>1.2852000000000001</v>
      </c>
      <c r="J789" s="89">
        <f t="shared" si="1931"/>
        <v>1.2852000000000003</v>
      </c>
      <c r="K789" s="89">
        <f t="shared" ref="K789:L789" si="1932">K578</f>
        <v>1.2852000000000003</v>
      </c>
      <c r="L789" s="89">
        <f t="shared" si="1932"/>
        <v>1.2392999999999998</v>
      </c>
      <c r="M789" s="166">
        <f t="shared" si="1915"/>
        <v>3.468</v>
      </c>
      <c r="N789" s="172">
        <f t="shared" si="1916"/>
        <v>6.0384000000000002</v>
      </c>
      <c r="O789" s="1316">
        <f t="shared" si="1807"/>
        <v>5.0949000000000009</v>
      </c>
      <c r="S789" s="95"/>
      <c r="T789" s="1103"/>
    </row>
    <row r="790" spans="1:20">
      <c r="A790" s="160" t="s">
        <v>406</v>
      </c>
      <c r="B790" s="291" t="str">
        <f t="shared" si="1922"/>
        <v>Other treatment and palliative care</v>
      </c>
      <c r="C790" s="266"/>
      <c r="D790" s="266"/>
      <c r="E790" s="89">
        <f t="shared" ref="E790:J790" si="1933">E647</f>
        <v>0</v>
      </c>
      <c r="F790" s="89">
        <f t="shared" si="1933"/>
        <v>0</v>
      </c>
      <c r="G790" s="89">
        <f t="shared" si="1933"/>
        <v>0</v>
      </c>
      <c r="H790" s="89">
        <f t="shared" si="1933"/>
        <v>0</v>
      </c>
      <c r="I790" s="89">
        <f t="shared" si="1933"/>
        <v>0</v>
      </c>
      <c r="J790" s="89">
        <f t="shared" si="1933"/>
        <v>0</v>
      </c>
      <c r="K790" s="89">
        <f t="shared" ref="K790:L790" si="1934">K647</f>
        <v>0</v>
      </c>
      <c r="L790" s="89">
        <f t="shared" si="1934"/>
        <v>0</v>
      </c>
      <c r="M790" s="166">
        <f t="shared" si="1915"/>
        <v>0</v>
      </c>
      <c r="N790" s="172">
        <f t="shared" si="1916"/>
        <v>0</v>
      </c>
      <c r="O790" s="1316">
        <f t="shared" si="1807"/>
        <v>0</v>
      </c>
      <c r="S790" s="95"/>
      <c r="T790" s="1103"/>
    </row>
    <row r="791" spans="1:20">
      <c r="A791" s="162">
        <v>4.3</v>
      </c>
      <c r="B791" s="159" t="s">
        <v>4</v>
      </c>
      <c r="C791" s="163"/>
      <c r="D791" s="163"/>
      <c r="E791" s="92">
        <f>SUM(E783:E784)</f>
        <v>1848.3624</v>
      </c>
      <c r="F791" s="92">
        <f t="shared" ref="F791:J791" si="1935">SUM(F783:F784)</f>
        <v>1823.5968000000003</v>
      </c>
      <c r="G791" s="92">
        <f t="shared" si="1935"/>
        <v>1765.9402799999998</v>
      </c>
      <c r="H791" s="92">
        <f t="shared" si="1935"/>
        <v>1780.5527999999999</v>
      </c>
      <c r="I791" s="92">
        <f t="shared" si="1935"/>
        <v>1702.1005199999997</v>
      </c>
      <c r="J791" s="92">
        <f t="shared" si="1935"/>
        <v>1626.88878</v>
      </c>
      <c r="K791" s="92">
        <f t="shared" ref="K791:L791" si="1936">SUM(K783:K784)</f>
        <v>1577.4636599999999</v>
      </c>
      <c r="L791" s="92">
        <f t="shared" si="1936"/>
        <v>1538.7699600000001</v>
      </c>
      <c r="M791" s="167">
        <f t="shared" si="1915"/>
        <v>5370.0898799999995</v>
      </c>
      <c r="N791" s="94">
        <f t="shared" si="1916"/>
        <v>8699.0791799999988</v>
      </c>
      <c r="O791" s="1316">
        <f t="shared" si="1807"/>
        <v>6445.2229200000002</v>
      </c>
      <c r="S791" s="95"/>
      <c r="T791" s="1103"/>
    </row>
    <row r="792" spans="1:20">
      <c r="A792" s="183">
        <v>5</v>
      </c>
      <c r="B792" s="182" t="str">
        <f>B235</f>
        <v>LPA MTBDRPlus:</v>
      </c>
      <c r="C792" s="183" t="s">
        <v>830</v>
      </c>
      <c r="D792" s="290"/>
      <c r="E792" s="184"/>
      <c r="F792" s="184"/>
      <c r="G792" s="184"/>
      <c r="H792" s="184"/>
      <c r="I792" s="184"/>
      <c r="J792" s="184"/>
      <c r="K792" s="184"/>
      <c r="L792" s="184"/>
      <c r="M792" s="180"/>
      <c r="N792" s="181"/>
      <c r="O792" s="1316">
        <f t="shared" si="1807"/>
        <v>0</v>
      </c>
      <c r="S792" s="95"/>
      <c r="T792" s="1103"/>
    </row>
    <row r="793" spans="1:20">
      <c r="A793" s="162">
        <v>5.0999999999999996</v>
      </c>
      <c r="B793" s="159" t="s">
        <v>663</v>
      </c>
      <c r="C793" s="91"/>
      <c r="D793" s="91"/>
      <c r="E793" s="92">
        <f t="shared" ref="E793:J793" si="1937">E243</f>
        <v>1450.1101999999998</v>
      </c>
      <c r="F793" s="92">
        <f t="shared" si="1937"/>
        <v>1534.8959999999997</v>
      </c>
      <c r="G793" s="92">
        <f t="shared" si="1937"/>
        <v>1486.6873999999996</v>
      </c>
      <c r="H793" s="92">
        <f t="shared" si="1937"/>
        <v>1584.4289999999999</v>
      </c>
      <c r="I793" s="92">
        <f t="shared" si="1937"/>
        <v>1514.5080499999999</v>
      </c>
      <c r="J793" s="92">
        <f t="shared" si="1937"/>
        <v>1445.8201999999999</v>
      </c>
      <c r="K793" s="92">
        <f t="shared" ref="K793:L793" si="1938">K243</f>
        <v>1402.3586499999997</v>
      </c>
      <c r="L793" s="92">
        <f t="shared" si="1938"/>
        <v>1368.9186499999996</v>
      </c>
      <c r="M793" s="167">
        <f t="shared" ref="M793:M801" si="1939">SUM(F793:H793)</f>
        <v>4606.0123999999996</v>
      </c>
      <c r="N793" s="94">
        <f t="shared" ref="N793:N801" si="1940">SUM(F793:J793)</f>
        <v>7566.3406500000001</v>
      </c>
      <c r="O793" s="1316">
        <f t="shared" si="1807"/>
        <v>5731.6055499999984</v>
      </c>
      <c r="S793" s="95"/>
      <c r="T793" s="1103"/>
    </row>
    <row r="794" spans="1:20">
      <c r="A794" s="162">
        <v>5.2</v>
      </c>
      <c r="B794" s="159" t="s">
        <v>664</v>
      </c>
      <c r="C794" s="163"/>
      <c r="D794" s="163"/>
      <c r="E794" s="92">
        <f>SUM(E795:E800)</f>
        <v>259.45150000000001</v>
      </c>
      <c r="F794" s="92">
        <f t="shared" ref="F794" si="1941">SUM(F795:F800)</f>
        <v>272.58000000000004</v>
      </c>
      <c r="G794" s="92">
        <f t="shared" ref="G794" si="1942">SUM(G795:G800)</f>
        <v>262.87524999999999</v>
      </c>
      <c r="H794" s="92">
        <f t="shared" ref="H794" si="1943">SUM(H795:H800)</f>
        <v>277.49975000000001</v>
      </c>
      <c r="I794" s="92">
        <f t="shared" ref="I794" si="1944">SUM(I795:I800)</f>
        <v>264.48950000000002</v>
      </c>
      <c r="J794" s="92">
        <f t="shared" ref="J794:L794" si="1945">SUM(J795:J800)</f>
        <v>253.09900000000002</v>
      </c>
      <c r="K794" s="92">
        <f t="shared" si="1945"/>
        <v>244.739</v>
      </c>
      <c r="L794" s="92">
        <f t="shared" si="1945"/>
        <v>237.89425</v>
      </c>
      <c r="M794" s="167">
        <f t="shared" si="1939"/>
        <v>812.95499999999993</v>
      </c>
      <c r="N794" s="94">
        <f t="shared" si="1940"/>
        <v>1330.5435</v>
      </c>
      <c r="O794" s="1316">
        <f t="shared" si="1807"/>
        <v>1000.2217500000002</v>
      </c>
      <c r="S794" s="95"/>
      <c r="T794" s="1103"/>
    </row>
    <row r="795" spans="1:20">
      <c r="A795" s="160" t="s">
        <v>427</v>
      </c>
      <c r="B795" s="291" t="str">
        <f t="shared" ref="B795:B800" si="1946">B183</f>
        <v>First-line treatment</v>
      </c>
      <c r="C795" s="154"/>
      <c r="D795" s="154"/>
      <c r="E795" s="295">
        <f t="shared" ref="E795:J795" si="1947">E312</f>
        <v>231.154</v>
      </c>
      <c r="F795" s="295">
        <f t="shared" si="1947"/>
        <v>243.76000000000002</v>
      </c>
      <c r="G795" s="295">
        <f t="shared" si="1947"/>
        <v>236.4615</v>
      </c>
      <c r="H795" s="295">
        <f t="shared" si="1947"/>
        <v>250.59100000000001</v>
      </c>
      <c r="I795" s="295">
        <f t="shared" si="1947"/>
        <v>239.93200000000002</v>
      </c>
      <c r="J795" s="295">
        <f t="shared" si="1947"/>
        <v>231.15400000000002</v>
      </c>
      <c r="K795" s="295">
        <f t="shared" ref="K795:L795" si="1948">K312</f>
        <v>223.839</v>
      </c>
      <c r="L795" s="295">
        <f t="shared" si="1948"/>
        <v>217.77799999999999</v>
      </c>
      <c r="M795" s="166">
        <f t="shared" si="1939"/>
        <v>730.8125</v>
      </c>
      <c r="N795" s="172">
        <f t="shared" si="1940"/>
        <v>1201.8985</v>
      </c>
      <c r="O795" s="1316">
        <f t="shared" si="1807"/>
        <v>912.70299999999997</v>
      </c>
      <c r="S795" s="95"/>
      <c r="T795" s="1103"/>
    </row>
    <row r="796" spans="1:20">
      <c r="A796" s="160" t="s">
        <v>428</v>
      </c>
      <c r="B796" s="291" t="str">
        <f t="shared" si="1946"/>
        <v>PDR-TB</v>
      </c>
      <c r="C796" s="154"/>
      <c r="D796" s="154"/>
      <c r="E796" s="295">
        <f t="shared" ref="E796:J796" si="1949">E381</f>
        <v>28.297499999999999</v>
      </c>
      <c r="F796" s="295">
        <f t="shared" si="1949"/>
        <v>28.820000000000004</v>
      </c>
      <c r="G796" s="295">
        <f t="shared" si="1949"/>
        <v>26.41375</v>
      </c>
      <c r="H796" s="295">
        <f t="shared" si="1949"/>
        <v>26.908749999999998</v>
      </c>
      <c r="I796" s="295">
        <f t="shared" si="1949"/>
        <v>24.557499999999997</v>
      </c>
      <c r="J796" s="295">
        <f t="shared" si="1949"/>
        <v>21.945</v>
      </c>
      <c r="K796" s="295">
        <f t="shared" ref="K796:L796" si="1950">K381</f>
        <v>20.9</v>
      </c>
      <c r="L796" s="295">
        <f t="shared" si="1950"/>
        <v>20.116249999999997</v>
      </c>
      <c r="M796" s="166">
        <f t="shared" si="1939"/>
        <v>82.142499999999998</v>
      </c>
      <c r="N796" s="172">
        <f t="shared" si="1940"/>
        <v>128.64499999999998</v>
      </c>
      <c r="O796" s="1316">
        <f t="shared" ref="O796:O859" si="1951">I796+J796+K796+L796</f>
        <v>87.518749999999997</v>
      </c>
      <c r="S796" s="95"/>
      <c r="T796" s="1103"/>
    </row>
    <row r="797" spans="1:20">
      <c r="A797" s="160" t="s">
        <v>429</v>
      </c>
      <c r="B797" s="291" t="str">
        <f t="shared" si="1946"/>
        <v>MDR-TB: no resistance to SLDs</v>
      </c>
      <c r="C797" s="154"/>
      <c r="D797" s="154"/>
      <c r="E797" s="295">
        <f t="shared" ref="E797:J797" si="1952">E450</f>
        <v>0</v>
      </c>
      <c r="F797" s="295">
        <f t="shared" si="1952"/>
        <v>0</v>
      </c>
      <c r="G797" s="295">
        <f t="shared" si="1952"/>
        <v>0</v>
      </c>
      <c r="H797" s="295">
        <f t="shared" si="1952"/>
        <v>0</v>
      </c>
      <c r="I797" s="295">
        <f t="shared" si="1952"/>
        <v>0</v>
      </c>
      <c r="J797" s="295">
        <f t="shared" si="1952"/>
        <v>0</v>
      </c>
      <c r="K797" s="295">
        <f t="shared" ref="K797:L797" si="1953">K450</f>
        <v>0</v>
      </c>
      <c r="L797" s="295">
        <f t="shared" si="1953"/>
        <v>0</v>
      </c>
      <c r="M797" s="166">
        <f t="shared" si="1939"/>
        <v>0</v>
      </c>
      <c r="N797" s="172">
        <f t="shared" si="1940"/>
        <v>0</v>
      </c>
      <c r="O797" s="1316">
        <f t="shared" si="1951"/>
        <v>0</v>
      </c>
      <c r="S797" s="95"/>
      <c r="T797" s="1103"/>
    </row>
    <row r="798" spans="1:20">
      <c r="A798" s="160" t="s">
        <v>430</v>
      </c>
      <c r="B798" s="291" t="str">
        <f t="shared" si="1946"/>
        <v>MDR-TB: 'pre-XDR'</v>
      </c>
      <c r="C798" s="266"/>
      <c r="D798" s="266"/>
      <c r="E798" s="89">
        <f t="shared" ref="E798:J798" si="1954">E519</f>
        <v>0</v>
      </c>
      <c r="F798" s="89">
        <f t="shared" si="1954"/>
        <v>0</v>
      </c>
      <c r="G798" s="89">
        <f t="shared" si="1954"/>
        <v>0</v>
      </c>
      <c r="H798" s="89">
        <f t="shared" si="1954"/>
        <v>0</v>
      </c>
      <c r="I798" s="89">
        <f t="shared" si="1954"/>
        <v>0</v>
      </c>
      <c r="J798" s="89">
        <f t="shared" si="1954"/>
        <v>0</v>
      </c>
      <c r="K798" s="89">
        <f t="shared" ref="K798:L798" si="1955">K519</f>
        <v>0</v>
      </c>
      <c r="L798" s="89">
        <f t="shared" si="1955"/>
        <v>0</v>
      </c>
      <c r="M798" s="166">
        <f t="shared" si="1939"/>
        <v>0</v>
      </c>
      <c r="N798" s="172">
        <f t="shared" si="1940"/>
        <v>0</v>
      </c>
      <c r="O798" s="1316">
        <f t="shared" si="1951"/>
        <v>0</v>
      </c>
      <c r="S798" s="95"/>
      <c r="T798" s="1103"/>
    </row>
    <row r="799" spans="1:20">
      <c r="A799" s="160" t="s">
        <v>431</v>
      </c>
      <c r="B799" s="291" t="str">
        <f t="shared" si="1946"/>
        <v>MDR-TB: XDR</v>
      </c>
      <c r="C799" s="266"/>
      <c r="D799" s="266"/>
      <c r="E799" s="89">
        <f t="shared" ref="E799:J799" si="1956">E588</f>
        <v>0</v>
      </c>
      <c r="F799" s="89">
        <f t="shared" si="1956"/>
        <v>0</v>
      </c>
      <c r="G799" s="89">
        <f t="shared" si="1956"/>
        <v>0</v>
      </c>
      <c r="H799" s="89">
        <f t="shared" si="1956"/>
        <v>0</v>
      </c>
      <c r="I799" s="89">
        <f t="shared" si="1956"/>
        <v>0</v>
      </c>
      <c r="J799" s="89">
        <f t="shared" si="1956"/>
        <v>0</v>
      </c>
      <c r="K799" s="89">
        <f t="shared" ref="K799:L799" si="1957">K588</f>
        <v>0</v>
      </c>
      <c r="L799" s="89">
        <f t="shared" si="1957"/>
        <v>0</v>
      </c>
      <c r="M799" s="166">
        <f t="shared" si="1939"/>
        <v>0</v>
      </c>
      <c r="N799" s="172">
        <f t="shared" si="1940"/>
        <v>0</v>
      </c>
      <c r="O799" s="1316">
        <f t="shared" si="1951"/>
        <v>0</v>
      </c>
      <c r="S799" s="95"/>
      <c r="T799" s="1103"/>
    </row>
    <row r="800" spans="1:20">
      <c r="A800" s="160" t="s">
        <v>432</v>
      </c>
      <c r="B800" s="291" t="str">
        <f t="shared" si="1946"/>
        <v>Other treatment and palliative care</v>
      </c>
      <c r="C800" s="266"/>
      <c r="D800" s="266"/>
      <c r="E800" s="89">
        <f t="shared" ref="E800:J800" si="1958">E657</f>
        <v>0</v>
      </c>
      <c r="F800" s="89">
        <f t="shared" si="1958"/>
        <v>0</v>
      </c>
      <c r="G800" s="89">
        <f t="shared" si="1958"/>
        <v>0</v>
      </c>
      <c r="H800" s="89">
        <f t="shared" si="1958"/>
        <v>0</v>
      </c>
      <c r="I800" s="89">
        <f t="shared" si="1958"/>
        <v>0</v>
      </c>
      <c r="J800" s="89">
        <f t="shared" si="1958"/>
        <v>0</v>
      </c>
      <c r="K800" s="89">
        <f t="shared" ref="K800:L800" si="1959">K657</f>
        <v>0</v>
      </c>
      <c r="L800" s="89">
        <f t="shared" si="1959"/>
        <v>0</v>
      </c>
      <c r="M800" s="166">
        <f t="shared" si="1939"/>
        <v>0</v>
      </c>
      <c r="N800" s="172">
        <f t="shared" si="1940"/>
        <v>0</v>
      </c>
      <c r="O800" s="1316">
        <f t="shared" si="1951"/>
        <v>0</v>
      </c>
      <c r="S800" s="95"/>
      <c r="T800" s="1103"/>
    </row>
    <row r="801" spans="1:20">
      <c r="A801" s="162">
        <v>5.3</v>
      </c>
      <c r="B801" s="159" t="s">
        <v>4</v>
      </c>
      <c r="C801" s="163"/>
      <c r="D801" s="163"/>
      <c r="E801" s="92">
        <f>SUM(E793:E794)</f>
        <v>1709.5616999999997</v>
      </c>
      <c r="F801" s="92">
        <f t="shared" ref="F801:J801" si="1960">SUM(F793:F794)</f>
        <v>1807.4759999999997</v>
      </c>
      <c r="G801" s="92">
        <f t="shared" si="1960"/>
        <v>1749.5626499999996</v>
      </c>
      <c r="H801" s="92">
        <f t="shared" si="1960"/>
        <v>1861.9287499999998</v>
      </c>
      <c r="I801" s="92">
        <f t="shared" si="1960"/>
        <v>1778.99755</v>
      </c>
      <c r="J801" s="92">
        <f t="shared" si="1960"/>
        <v>1698.9191999999998</v>
      </c>
      <c r="K801" s="92">
        <f t="shared" ref="K801:L801" si="1961">SUM(K793:K794)</f>
        <v>1647.0976499999997</v>
      </c>
      <c r="L801" s="92">
        <f t="shared" si="1961"/>
        <v>1606.8128999999997</v>
      </c>
      <c r="M801" s="167">
        <f t="shared" si="1939"/>
        <v>5418.9673999999995</v>
      </c>
      <c r="N801" s="94">
        <f t="shared" si="1940"/>
        <v>8896.8841499999999</v>
      </c>
      <c r="O801" s="1316">
        <f t="shared" si="1951"/>
        <v>6731.8272999999999</v>
      </c>
      <c r="S801" s="95"/>
      <c r="T801" s="1103"/>
    </row>
    <row r="802" spans="1:20">
      <c r="A802" s="183">
        <v>6</v>
      </c>
      <c r="B802" s="182" t="str">
        <f>B244</f>
        <v>DST-2 (MGIT):</v>
      </c>
      <c r="C802" s="183" t="s">
        <v>829</v>
      </c>
      <c r="D802" s="290"/>
      <c r="E802" s="184"/>
      <c r="F802" s="184"/>
      <c r="G802" s="184"/>
      <c r="H802" s="184"/>
      <c r="I802" s="184"/>
      <c r="J802" s="184"/>
      <c r="K802" s="184"/>
      <c r="L802" s="184"/>
      <c r="M802" s="180"/>
      <c r="N802" s="181"/>
      <c r="O802" s="1316">
        <f t="shared" si="1951"/>
        <v>0</v>
      </c>
      <c r="S802" s="95"/>
      <c r="T802" s="1103"/>
    </row>
    <row r="803" spans="1:20">
      <c r="A803" s="162">
        <v>6.1</v>
      </c>
      <c r="B803" s="159" t="s">
        <v>663</v>
      </c>
      <c r="C803" s="91"/>
      <c r="D803" s="91"/>
      <c r="E803" s="92">
        <f t="shared" ref="E803:J803" si="1962">E252</f>
        <v>496.94400000000007</v>
      </c>
      <c r="F803" s="92">
        <f t="shared" si="1962"/>
        <v>487.25399999999956</v>
      </c>
      <c r="G803" s="92">
        <f t="shared" si="1962"/>
        <v>477.35999999999962</v>
      </c>
      <c r="H803" s="92">
        <f t="shared" si="1962"/>
        <v>487.40699999999993</v>
      </c>
      <c r="I803" s="92">
        <f t="shared" si="1962"/>
        <v>472.87200000000036</v>
      </c>
      <c r="J803" s="92">
        <f t="shared" si="1962"/>
        <v>458.33699999999999</v>
      </c>
      <c r="K803" s="92">
        <f t="shared" ref="K803:L803" si="1963">K252</f>
        <v>446.709</v>
      </c>
      <c r="L803" s="92">
        <f t="shared" si="1963"/>
        <v>437.98800000000006</v>
      </c>
      <c r="M803" s="167">
        <f t="shared" ref="M803:M811" si="1964">SUM(F803:H803)</f>
        <v>1452.020999999999</v>
      </c>
      <c r="N803" s="94">
        <f t="shared" ref="N803:N811" si="1965">SUM(F803:J803)</f>
        <v>2383.2299999999996</v>
      </c>
      <c r="O803" s="1316">
        <f t="shared" si="1951"/>
        <v>1815.9060000000004</v>
      </c>
      <c r="S803" s="95"/>
      <c r="T803" s="1103"/>
    </row>
    <row r="804" spans="1:20">
      <c r="A804" s="162">
        <v>6.2</v>
      </c>
      <c r="B804" s="159" t="s">
        <v>664</v>
      </c>
      <c r="C804" s="163"/>
      <c r="D804" s="163"/>
      <c r="E804" s="92">
        <f>SUM(E805:E810)</f>
        <v>342.47520000000003</v>
      </c>
      <c r="F804" s="92">
        <f t="shared" ref="F804" si="1966">SUM(F805:F810)</f>
        <v>336.9162</v>
      </c>
      <c r="G804" s="92">
        <f t="shared" ref="G804" si="1967">SUM(G805:G810)</f>
        <v>331.6275</v>
      </c>
      <c r="H804" s="92">
        <f t="shared" ref="H804" si="1968">SUM(H805:H810)</f>
        <v>339.15000000000003</v>
      </c>
      <c r="I804" s="92">
        <f t="shared" ref="I804" si="1969">SUM(I805:I810)</f>
        <v>330.71969999999999</v>
      </c>
      <c r="J804" s="92">
        <f t="shared" ref="J804:L804" si="1970">SUM(J805:J810)</f>
        <v>322.77389999999997</v>
      </c>
      <c r="K804" s="92">
        <f t="shared" si="1970"/>
        <v>314.73119999999994</v>
      </c>
      <c r="L804" s="92">
        <f t="shared" si="1970"/>
        <v>307.85129999999998</v>
      </c>
      <c r="M804" s="167">
        <f t="shared" si="1964"/>
        <v>1007.6937</v>
      </c>
      <c r="N804" s="94">
        <f t="shared" si="1965"/>
        <v>1661.1872999999998</v>
      </c>
      <c r="O804" s="1316">
        <f t="shared" si="1951"/>
        <v>1276.0761</v>
      </c>
      <c r="S804" s="95"/>
      <c r="T804" s="1103"/>
    </row>
    <row r="805" spans="1:20">
      <c r="A805" s="160" t="s">
        <v>673</v>
      </c>
      <c r="B805" s="291" t="str">
        <f t="shared" ref="B805:B810" si="1971">B183</f>
        <v>First-line treatment</v>
      </c>
      <c r="C805" s="154"/>
      <c r="D805" s="154"/>
      <c r="E805" s="295">
        <f t="shared" ref="E805:J805" si="1972">E322</f>
        <v>122.4816</v>
      </c>
      <c r="F805" s="295">
        <f t="shared" si="1972"/>
        <v>120.0795</v>
      </c>
      <c r="G805" s="295">
        <f t="shared" si="1972"/>
        <v>116.08110000000001</v>
      </c>
      <c r="H805" s="295">
        <f t="shared" si="1972"/>
        <v>116.1831</v>
      </c>
      <c r="I805" s="295">
        <f t="shared" si="1972"/>
        <v>111.24120000000001</v>
      </c>
      <c r="J805" s="295">
        <f t="shared" si="1972"/>
        <v>107.17140000000001</v>
      </c>
      <c r="K805" s="295">
        <f t="shared" ref="K805:L805" si="1973">K322</f>
        <v>103.7799</v>
      </c>
      <c r="L805" s="295">
        <f t="shared" si="1973"/>
        <v>100.96979999999999</v>
      </c>
      <c r="M805" s="166">
        <f t="shared" si="1964"/>
        <v>352.34370000000001</v>
      </c>
      <c r="N805" s="172">
        <f t="shared" si="1965"/>
        <v>570.75630000000001</v>
      </c>
      <c r="O805" s="1316">
        <f t="shared" si="1951"/>
        <v>423.16229999999996</v>
      </c>
      <c r="S805" s="95"/>
      <c r="T805" s="1103"/>
    </row>
    <row r="806" spans="1:20">
      <c r="A806" s="160" t="s">
        <v>674</v>
      </c>
      <c r="B806" s="291" t="str">
        <f t="shared" si="1971"/>
        <v>PDR-TB</v>
      </c>
      <c r="C806" s="154"/>
      <c r="D806" s="154"/>
      <c r="E806" s="295">
        <f t="shared" ref="E806:J806" si="1974">E391</f>
        <v>11.995200000000002</v>
      </c>
      <c r="F806" s="295">
        <f t="shared" si="1974"/>
        <v>11.357700000000001</v>
      </c>
      <c r="G806" s="295">
        <f t="shared" si="1974"/>
        <v>10.373400000000002</v>
      </c>
      <c r="H806" s="295">
        <f t="shared" si="1974"/>
        <v>9.9807000000000006</v>
      </c>
      <c r="I806" s="295">
        <f t="shared" si="1974"/>
        <v>9.1085999999999991</v>
      </c>
      <c r="J806" s="295">
        <f t="shared" si="1974"/>
        <v>8.1395999999999997</v>
      </c>
      <c r="K806" s="295">
        <f t="shared" ref="K806:L806" si="1975">K391</f>
        <v>7.7519999999999998</v>
      </c>
      <c r="L806" s="295">
        <f t="shared" si="1975"/>
        <v>7.4612999999999996</v>
      </c>
      <c r="M806" s="166">
        <f t="shared" si="1964"/>
        <v>31.711800000000004</v>
      </c>
      <c r="N806" s="172">
        <f t="shared" si="1965"/>
        <v>48.960000000000008</v>
      </c>
      <c r="O806" s="1316">
        <f t="shared" si="1951"/>
        <v>32.461499999999994</v>
      </c>
      <c r="S806" s="95"/>
      <c r="T806" s="1103"/>
    </row>
    <row r="807" spans="1:20">
      <c r="A807" s="160" t="s">
        <v>675</v>
      </c>
      <c r="B807" s="291" t="str">
        <f t="shared" si="1971"/>
        <v>MDR-TB: no resistance to SLDs</v>
      </c>
      <c r="C807" s="154"/>
      <c r="D807" s="154"/>
      <c r="E807" s="295">
        <f t="shared" ref="E807:J807" si="1976">E460</f>
        <v>128.928</v>
      </c>
      <c r="F807" s="295">
        <f t="shared" si="1976"/>
        <v>127.01549999999999</v>
      </c>
      <c r="G807" s="295">
        <f t="shared" si="1976"/>
        <v>125.307</v>
      </c>
      <c r="H807" s="295">
        <f t="shared" si="1976"/>
        <v>128.39250000000001</v>
      </c>
      <c r="I807" s="295">
        <f t="shared" si="1976"/>
        <v>125.48549999999999</v>
      </c>
      <c r="J807" s="295">
        <f t="shared" si="1976"/>
        <v>122.57849999999999</v>
      </c>
      <c r="K807" s="295">
        <f t="shared" ref="K807:L807" si="1977">K460</f>
        <v>120.64049999999999</v>
      </c>
      <c r="L807" s="295">
        <f t="shared" si="1977"/>
        <v>118.7025</v>
      </c>
      <c r="M807" s="166">
        <f t="shared" si="1964"/>
        <v>380.71500000000003</v>
      </c>
      <c r="N807" s="172">
        <f t="shared" si="1965"/>
        <v>628.779</v>
      </c>
      <c r="O807" s="1316">
        <f t="shared" si="1951"/>
        <v>487.40699999999993</v>
      </c>
      <c r="S807" s="95"/>
      <c r="T807" s="1103"/>
    </row>
    <row r="808" spans="1:20">
      <c r="A808" s="160" t="s">
        <v>676</v>
      </c>
      <c r="B808" s="291" t="str">
        <f t="shared" si="1971"/>
        <v>MDR-TB: 'pre-XDR'</v>
      </c>
      <c r="C808" s="266"/>
      <c r="D808" s="266"/>
      <c r="E808" s="89">
        <f t="shared" ref="E808:J808" si="1978">E529</f>
        <v>72.460800000000006</v>
      </c>
      <c r="F808" s="89">
        <f t="shared" si="1978"/>
        <v>71.44080000000001</v>
      </c>
      <c r="G808" s="89">
        <f t="shared" si="1978"/>
        <v>72.705600000000004</v>
      </c>
      <c r="H808" s="89">
        <f t="shared" si="1978"/>
        <v>76.744799999999998</v>
      </c>
      <c r="I808" s="89">
        <f t="shared" si="1978"/>
        <v>76.744799999999998</v>
      </c>
      <c r="J808" s="89">
        <f t="shared" si="1978"/>
        <v>76.744799999999998</v>
      </c>
      <c r="K808" s="89">
        <f t="shared" ref="K808:L808" si="1979">K529</f>
        <v>74.419200000000004</v>
      </c>
      <c r="L808" s="89">
        <f t="shared" si="1979"/>
        <v>72.868799999999993</v>
      </c>
      <c r="M808" s="166">
        <f t="shared" si="1964"/>
        <v>220.89120000000003</v>
      </c>
      <c r="N808" s="172">
        <f t="shared" si="1965"/>
        <v>374.38080000000002</v>
      </c>
      <c r="O808" s="1316">
        <f t="shared" si="1951"/>
        <v>300.77760000000001</v>
      </c>
      <c r="S808" s="95"/>
      <c r="T808" s="1103"/>
    </row>
    <row r="809" spans="1:20">
      <c r="A809" s="160" t="s">
        <v>677</v>
      </c>
      <c r="B809" s="291" t="str">
        <f t="shared" si="1971"/>
        <v>MDR-TB: XDR</v>
      </c>
      <c r="C809" s="266"/>
      <c r="D809" s="266"/>
      <c r="E809" s="89">
        <f t="shared" ref="E809:J809" si="1980">E598</f>
        <v>6.6096000000000004</v>
      </c>
      <c r="F809" s="89">
        <f t="shared" si="1980"/>
        <v>7.0226999999999995</v>
      </c>
      <c r="G809" s="89">
        <f t="shared" si="1980"/>
        <v>7.1603999999999992</v>
      </c>
      <c r="H809" s="89">
        <f t="shared" si="1980"/>
        <v>7.8488999999999995</v>
      </c>
      <c r="I809" s="89">
        <f t="shared" si="1980"/>
        <v>8.1395999999999997</v>
      </c>
      <c r="J809" s="89">
        <f t="shared" si="1980"/>
        <v>8.1395999999999997</v>
      </c>
      <c r="K809" s="89">
        <f t="shared" ref="K809:L809" si="1981">K598</f>
        <v>8.1395999999999997</v>
      </c>
      <c r="L809" s="89">
        <f t="shared" si="1981"/>
        <v>7.8488999999999995</v>
      </c>
      <c r="M809" s="166">
        <f t="shared" si="1964"/>
        <v>22.032</v>
      </c>
      <c r="N809" s="172">
        <f t="shared" si="1965"/>
        <v>38.311199999999999</v>
      </c>
      <c r="O809" s="1316">
        <f t="shared" si="1951"/>
        <v>32.267699999999998</v>
      </c>
      <c r="S809" s="95"/>
      <c r="T809" s="1103"/>
    </row>
    <row r="810" spans="1:20">
      <c r="A810" s="160" t="s">
        <v>678</v>
      </c>
      <c r="B810" s="291" t="str">
        <f t="shared" si="1971"/>
        <v>Other treatment and palliative care</v>
      </c>
      <c r="C810" s="266"/>
      <c r="D810" s="266"/>
      <c r="E810" s="89">
        <f t="shared" ref="E810:J810" si="1982">E667</f>
        <v>0</v>
      </c>
      <c r="F810" s="89">
        <f t="shared" si="1982"/>
        <v>0</v>
      </c>
      <c r="G810" s="89">
        <f t="shared" si="1982"/>
        <v>0</v>
      </c>
      <c r="H810" s="89">
        <f t="shared" si="1982"/>
        <v>0</v>
      </c>
      <c r="I810" s="89">
        <f t="shared" si="1982"/>
        <v>0</v>
      </c>
      <c r="J810" s="89">
        <f t="shared" si="1982"/>
        <v>0</v>
      </c>
      <c r="K810" s="89">
        <f t="shared" ref="K810:L810" si="1983">K667</f>
        <v>0</v>
      </c>
      <c r="L810" s="89">
        <f t="shared" si="1983"/>
        <v>0</v>
      </c>
      <c r="M810" s="166">
        <f t="shared" si="1964"/>
        <v>0</v>
      </c>
      <c r="N810" s="172">
        <f t="shared" si="1965"/>
        <v>0</v>
      </c>
      <c r="O810" s="1316">
        <f t="shared" si="1951"/>
        <v>0</v>
      </c>
      <c r="S810" s="95"/>
      <c r="T810" s="1103"/>
    </row>
    <row r="811" spans="1:20">
      <c r="A811" s="162">
        <v>6.3</v>
      </c>
      <c r="B811" s="159" t="s">
        <v>4</v>
      </c>
      <c r="C811" s="163"/>
      <c r="D811" s="163"/>
      <c r="E811" s="92">
        <f>SUM(E803:E804)</f>
        <v>839.41920000000005</v>
      </c>
      <c r="F811" s="92">
        <f t="shared" ref="F811:J811" si="1984">SUM(F803:F804)</f>
        <v>824.17019999999957</v>
      </c>
      <c r="G811" s="92">
        <f t="shared" si="1984"/>
        <v>808.98749999999961</v>
      </c>
      <c r="H811" s="92">
        <f t="shared" si="1984"/>
        <v>826.55700000000002</v>
      </c>
      <c r="I811" s="92">
        <f t="shared" si="1984"/>
        <v>803.5917000000004</v>
      </c>
      <c r="J811" s="92">
        <f t="shared" si="1984"/>
        <v>781.1108999999999</v>
      </c>
      <c r="K811" s="92">
        <f t="shared" ref="K811:L811" si="1985">SUM(K803:K804)</f>
        <v>761.4402</v>
      </c>
      <c r="L811" s="92">
        <f t="shared" si="1985"/>
        <v>745.83930000000009</v>
      </c>
      <c r="M811" s="167">
        <f t="shared" si="1964"/>
        <v>2459.7146999999995</v>
      </c>
      <c r="N811" s="94">
        <f t="shared" si="1965"/>
        <v>4044.4173000000001</v>
      </c>
      <c r="O811" s="1316">
        <f t="shared" si="1951"/>
        <v>3091.9821000000006</v>
      </c>
      <c r="S811" s="95"/>
      <c r="T811" s="1103"/>
    </row>
    <row r="812" spans="1:20">
      <c r="A812" s="183">
        <v>7</v>
      </c>
      <c r="B812" s="182" t="str">
        <f>B253</f>
        <v>LPA MTBDRsl:</v>
      </c>
      <c r="C812" s="183" t="s">
        <v>830</v>
      </c>
      <c r="D812" s="290"/>
      <c r="E812" s="184"/>
      <c r="F812" s="184"/>
      <c r="G812" s="184"/>
      <c r="H812" s="184"/>
      <c r="I812" s="184"/>
      <c r="J812" s="184"/>
      <c r="K812" s="184"/>
      <c r="L812" s="184"/>
      <c r="M812" s="180"/>
      <c r="N812" s="181"/>
      <c r="O812" s="1316">
        <f t="shared" si="1951"/>
        <v>0</v>
      </c>
      <c r="S812" s="95"/>
      <c r="T812" s="1103"/>
    </row>
    <row r="813" spans="1:20">
      <c r="A813" s="162">
        <v>7.1</v>
      </c>
      <c r="B813" s="159" t="s">
        <v>663</v>
      </c>
      <c r="C813" s="91"/>
      <c r="D813" s="91"/>
      <c r="E813" s="92">
        <f t="shared" ref="E813:J813" si="1986">E261</f>
        <v>468.92999999999995</v>
      </c>
      <c r="F813" s="92">
        <f t="shared" si="1986"/>
        <v>494.55999999999966</v>
      </c>
      <c r="G813" s="92">
        <f t="shared" si="1986"/>
        <v>486.19999999999959</v>
      </c>
      <c r="H813" s="92">
        <f t="shared" si="1986"/>
        <v>525.63499999999988</v>
      </c>
      <c r="I813" s="92">
        <f t="shared" si="1986"/>
        <v>509.96000000000038</v>
      </c>
      <c r="J813" s="92">
        <f t="shared" si="1986"/>
        <v>494.28499999999997</v>
      </c>
      <c r="K813" s="92">
        <f t="shared" ref="K813:L813" si="1987">K261</f>
        <v>481.745</v>
      </c>
      <c r="L813" s="92">
        <f t="shared" si="1987"/>
        <v>472.34000000000003</v>
      </c>
      <c r="M813" s="167">
        <f t="shared" ref="M813:M821" si="1988">SUM(F813:H813)</f>
        <v>1506.3949999999991</v>
      </c>
      <c r="N813" s="94">
        <f t="shared" ref="N813:N821" si="1989">SUM(F813:J813)</f>
        <v>2510.6399999999994</v>
      </c>
      <c r="O813" s="1316">
        <f t="shared" si="1951"/>
        <v>1958.3300000000004</v>
      </c>
      <c r="S813" s="95"/>
      <c r="T813" s="1103"/>
    </row>
    <row r="814" spans="1:20">
      <c r="A814" s="162">
        <v>7.2</v>
      </c>
      <c r="B814" s="159" t="s">
        <v>664</v>
      </c>
      <c r="C814" s="163"/>
      <c r="D814" s="163"/>
      <c r="E814" s="92">
        <f>SUM(E815:E820)</f>
        <v>316.93200000000002</v>
      </c>
      <c r="F814" s="92">
        <f t="shared" ref="F814" si="1990">SUM(F815:F820)</f>
        <v>334.84000000000003</v>
      </c>
      <c r="G814" s="92">
        <f t="shared" ref="G814" si="1991">SUM(G815:G820)</f>
        <v>330.47575000000001</v>
      </c>
      <c r="H814" s="92">
        <f t="shared" ref="H814" si="1992">SUM(H815:H820)</f>
        <v>357.28550000000001</v>
      </c>
      <c r="I814" s="92">
        <f t="shared" ref="I814" si="1993">SUM(I815:I820)</f>
        <v>347.88049999999998</v>
      </c>
      <c r="J814" s="92">
        <f t="shared" ref="J814:L814" si="1994">SUM(J815:J820)</f>
        <v>339.31150000000002</v>
      </c>
      <c r="K814" s="92">
        <f t="shared" si="1994"/>
        <v>330.63800000000003</v>
      </c>
      <c r="L814" s="92">
        <f t="shared" si="1994"/>
        <v>323.53199999999998</v>
      </c>
      <c r="M814" s="167">
        <f t="shared" si="1988"/>
        <v>1022.6012499999999</v>
      </c>
      <c r="N814" s="94">
        <f t="shared" si="1989"/>
        <v>1709.7932499999999</v>
      </c>
      <c r="O814" s="1316">
        <f t="shared" si="1951"/>
        <v>1341.3620000000001</v>
      </c>
      <c r="S814" s="95"/>
      <c r="T814" s="1103"/>
    </row>
    <row r="815" spans="1:20">
      <c r="A815" s="160" t="s">
        <v>727</v>
      </c>
      <c r="B815" s="291" t="str">
        <f t="shared" ref="B815:B820" si="1995">B183</f>
        <v>First-line treatment</v>
      </c>
      <c r="C815" s="154"/>
      <c r="D815" s="154"/>
      <c r="E815" s="295">
        <f t="shared" ref="E815:J815" si="1996">E332</f>
        <v>115.577</v>
      </c>
      <c r="F815" s="295">
        <f t="shared" si="1996"/>
        <v>121.88000000000001</v>
      </c>
      <c r="G815" s="295">
        <f t="shared" si="1996"/>
        <v>118.23075</v>
      </c>
      <c r="H815" s="295">
        <f t="shared" si="1996"/>
        <v>125.2955</v>
      </c>
      <c r="I815" s="295">
        <f t="shared" si="1996"/>
        <v>119.96600000000001</v>
      </c>
      <c r="J815" s="295">
        <f t="shared" si="1996"/>
        <v>115.57700000000001</v>
      </c>
      <c r="K815" s="295">
        <f t="shared" ref="K815:L815" si="1997">K332</f>
        <v>111.9195</v>
      </c>
      <c r="L815" s="295">
        <f t="shared" si="1997"/>
        <v>108.889</v>
      </c>
      <c r="M815" s="166">
        <f t="shared" si="1988"/>
        <v>365.40625</v>
      </c>
      <c r="N815" s="172">
        <f t="shared" si="1989"/>
        <v>600.94925000000001</v>
      </c>
      <c r="O815" s="1316">
        <f t="shared" si="1951"/>
        <v>456.35149999999999</v>
      </c>
      <c r="S815" s="95"/>
      <c r="T815" s="1103"/>
    </row>
    <row r="816" spans="1:20">
      <c r="A816" s="160" t="s">
        <v>728</v>
      </c>
      <c r="B816" s="291" t="str">
        <f t="shared" si="1995"/>
        <v>PDR-TB</v>
      </c>
      <c r="C816" s="154"/>
      <c r="D816" s="154"/>
      <c r="E816" s="295">
        <f t="shared" ref="E816:J816" si="1998">E401</f>
        <v>11.319000000000001</v>
      </c>
      <c r="F816" s="295">
        <f t="shared" si="1998"/>
        <v>11.528000000000002</v>
      </c>
      <c r="G816" s="295">
        <f t="shared" si="1998"/>
        <v>10.5655</v>
      </c>
      <c r="H816" s="295">
        <f t="shared" si="1998"/>
        <v>10.763500000000001</v>
      </c>
      <c r="I816" s="295">
        <f t="shared" si="1998"/>
        <v>9.8230000000000004</v>
      </c>
      <c r="J816" s="295">
        <f t="shared" si="1998"/>
        <v>8.7779999999999987</v>
      </c>
      <c r="K816" s="295">
        <f t="shared" ref="K816:L816" si="1999">K401</f>
        <v>8.36</v>
      </c>
      <c r="L816" s="295">
        <f t="shared" si="1999"/>
        <v>8.0465</v>
      </c>
      <c r="M816" s="166">
        <f t="shared" si="1988"/>
        <v>32.856999999999999</v>
      </c>
      <c r="N816" s="172">
        <f t="shared" si="1989"/>
        <v>51.457999999999998</v>
      </c>
      <c r="O816" s="1316">
        <f t="shared" si="1951"/>
        <v>35.0075</v>
      </c>
      <c r="S816" s="95"/>
      <c r="T816" s="1103"/>
    </row>
    <row r="817" spans="1:20">
      <c r="A817" s="160" t="s">
        <v>729</v>
      </c>
      <c r="B817" s="291" t="str">
        <f t="shared" si="1995"/>
        <v>MDR-TB: no resistance to SLDs</v>
      </c>
      <c r="C817" s="154"/>
      <c r="D817" s="154"/>
      <c r="E817" s="295">
        <f t="shared" ref="E817:J817" si="2000">E470</f>
        <v>121.66</v>
      </c>
      <c r="F817" s="295">
        <f t="shared" si="2000"/>
        <v>128.92000000000002</v>
      </c>
      <c r="G817" s="295">
        <f t="shared" si="2000"/>
        <v>127.6275</v>
      </c>
      <c r="H817" s="295">
        <f t="shared" si="2000"/>
        <v>138.46250000000001</v>
      </c>
      <c r="I817" s="295">
        <f t="shared" si="2000"/>
        <v>135.32749999999999</v>
      </c>
      <c r="J817" s="295">
        <f t="shared" si="2000"/>
        <v>132.1925</v>
      </c>
      <c r="K817" s="295">
        <f t="shared" ref="K817:L817" si="2001">K470</f>
        <v>130.10249999999999</v>
      </c>
      <c r="L817" s="295">
        <f t="shared" si="2001"/>
        <v>128.01249999999999</v>
      </c>
      <c r="M817" s="166">
        <f t="shared" si="1988"/>
        <v>395.01</v>
      </c>
      <c r="N817" s="172">
        <f t="shared" si="1989"/>
        <v>662.53</v>
      </c>
      <c r="O817" s="1316">
        <f t="shared" si="1951"/>
        <v>525.63499999999999</v>
      </c>
      <c r="S817" s="95"/>
      <c r="T817" s="1103"/>
    </row>
    <row r="818" spans="1:20">
      <c r="A818" s="160" t="s">
        <v>730</v>
      </c>
      <c r="B818" s="291" t="str">
        <f t="shared" si="1995"/>
        <v>MDR-TB: 'pre-XDR'</v>
      </c>
      <c r="C818" s="266"/>
      <c r="D818" s="266"/>
      <c r="E818" s="89">
        <f t="shared" ref="E818:J818" si="2002">E539</f>
        <v>68.376000000000005</v>
      </c>
      <c r="F818" s="89">
        <f t="shared" si="2002"/>
        <v>72.512</v>
      </c>
      <c r="G818" s="89">
        <f t="shared" si="2002"/>
        <v>74.052000000000007</v>
      </c>
      <c r="H818" s="89">
        <f t="shared" si="2002"/>
        <v>82.763999999999996</v>
      </c>
      <c r="I818" s="89">
        <f t="shared" si="2002"/>
        <v>82.763999999999996</v>
      </c>
      <c r="J818" s="89">
        <f t="shared" si="2002"/>
        <v>82.763999999999996</v>
      </c>
      <c r="K818" s="89">
        <f t="shared" ref="K818:L818" si="2003">K539</f>
        <v>80.256000000000014</v>
      </c>
      <c r="L818" s="89">
        <f t="shared" si="2003"/>
        <v>78.584000000000003</v>
      </c>
      <c r="M818" s="166">
        <f t="shared" si="1988"/>
        <v>229.32800000000003</v>
      </c>
      <c r="N818" s="172">
        <f t="shared" si="1989"/>
        <v>394.85600000000005</v>
      </c>
      <c r="O818" s="1316">
        <f t="shared" si="1951"/>
        <v>324.36799999999999</v>
      </c>
      <c r="S818" s="95"/>
      <c r="T818" s="1103"/>
    </row>
    <row r="819" spans="1:20">
      <c r="A819" s="160" t="s">
        <v>731</v>
      </c>
      <c r="B819" s="291" t="str">
        <f t="shared" si="1995"/>
        <v>MDR-TB: XDR</v>
      </c>
      <c r="C819" s="266"/>
      <c r="D819" s="266"/>
      <c r="E819" s="89">
        <f t="shared" ref="E819:J819" si="2004">E608</f>
        <v>0</v>
      </c>
      <c r="F819" s="89">
        <f t="shared" si="2004"/>
        <v>0</v>
      </c>
      <c r="G819" s="89">
        <f t="shared" si="2004"/>
        <v>0</v>
      </c>
      <c r="H819" s="89">
        <f t="shared" si="2004"/>
        <v>0</v>
      </c>
      <c r="I819" s="89">
        <f t="shared" si="2004"/>
        <v>0</v>
      </c>
      <c r="J819" s="89">
        <f t="shared" si="2004"/>
        <v>0</v>
      </c>
      <c r="K819" s="89">
        <f t="shared" ref="K819:L819" si="2005">K608</f>
        <v>0</v>
      </c>
      <c r="L819" s="89">
        <f t="shared" si="2005"/>
        <v>0</v>
      </c>
      <c r="M819" s="166">
        <f t="shared" si="1988"/>
        <v>0</v>
      </c>
      <c r="N819" s="172">
        <f t="shared" si="1989"/>
        <v>0</v>
      </c>
      <c r="O819" s="1316">
        <f t="shared" si="1951"/>
        <v>0</v>
      </c>
      <c r="S819" s="95"/>
      <c r="T819" s="1103"/>
    </row>
    <row r="820" spans="1:20">
      <c r="A820" s="160" t="s">
        <v>732</v>
      </c>
      <c r="B820" s="291" t="str">
        <f t="shared" si="1995"/>
        <v>Other treatment and palliative care</v>
      </c>
      <c r="C820" s="266"/>
      <c r="D820" s="266"/>
      <c r="E820" s="89">
        <f t="shared" ref="E820:J820" si="2006">E677</f>
        <v>0</v>
      </c>
      <c r="F820" s="89">
        <f t="shared" si="2006"/>
        <v>0</v>
      </c>
      <c r="G820" s="89">
        <f t="shared" si="2006"/>
        <v>0</v>
      </c>
      <c r="H820" s="89">
        <f t="shared" si="2006"/>
        <v>0</v>
      </c>
      <c r="I820" s="89">
        <f t="shared" si="2006"/>
        <v>0</v>
      </c>
      <c r="J820" s="89">
        <f t="shared" si="2006"/>
        <v>0</v>
      </c>
      <c r="K820" s="89">
        <f t="shared" ref="K820:L820" si="2007">K677</f>
        <v>0</v>
      </c>
      <c r="L820" s="89">
        <f t="shared" si="2007"/>
        <v>0</v>
      </c>
      <c r="M820" s="166">
        <f t="shared" si="1988"/>
        <v>0</v>
      </c>
      <c r="N820" s="172">
        <f t="shared" si="1989"/>
        <v>0</v>
      </c>
      <c r="O820" s="1316">
        <f t="shared" si="1951"/>
        <v>0</v>
      </c>
      <c r="S820" s="95"/>
      <c r="T820" s="1103"/>
    </row>
    <row r="821" spans="1:20">
      <c r="A821" s="162">
        <v>7.3</v>
      </c>
      <c r="B821" s="159" t="s">
        <v>4</v>
      </c>
      <c r="C821" s="163"/>
      <c r="D821" s="163"/>
      <c r="E821" s="92">
        <f>SUM(E813:E814)</f>
        <v>785.86199999999997</v>
      </c>
      <c r="F821" s="92">
        <f t="shared" ref="F821:J821" si="2008">SUM(F813:F814)</f>
        <v>829.39999999999964</v>
      </c>
      <c r="G821" s="92">
        <f t="shared" si="2008"/>
        <v>816.67574999999965</v>
      </c>
      <c r="H821" s="92">
        <f t="shared" si="2008"/>
        <v>882.92049999999995</v>
      </c>
      <c r="I821" s="92">
        <f t="shared" si="2008"/>
        <v>857.84050000000036</v>
      </c>
      <c r="J821" s="92">
        <f t="shared" si="2008"/>
        <v>833.59649999999999</v>
      </c>
      <c r="K821" s="92">
        <f t="shared" ref="K821:L821" si="2009">SUM(K813:K814)</f>
        <v>812.38300000000004</v>
      </c>
      <c r="L821" s="92">
        <f t="shared" si="2009"/>
        <v>795.87200000000007</v>
      </c>
      <c r="M821" s="167">
        <f t="shared" si="1988"/>
        <v>2528.9962499999992</v>
      </c>
      <c r="N821" s="94">
        <f t="shared" si="1989"/>
        <v>4220.4332499999991</v>
      </c>
      <c r="O821" s="1316">
        <f t="shared" si="1951"/>
        <v>3299.6920000000009</v>
      </c>
      <c r="S821" s="95"/>
      <c r="T821" s="1103"/>
    </row>
    <row r="822" spans="1:20">
      <c r="A822" s="162"/>
      <c r="B822" s="154"/>
      <c r="C822" s="154"/>
      <c r="D822" s="154"/>
      <c r="E822" s="266"/>
      <c r="F822" s="266"/>
      <c r="G822" s="266"/>
      <c r="H822" s="267"/>
      <c r="I822" s="267"/>
      <c r="J822" s="267"/>
      <c r="K822" s="267"/>
      <c r="L822" s="267"/>
      <c r="M822" s="168"/>
      <c r="N822" s="173"/>
      <c r="O822" s="1316">
        <f t="shared" si="1951"/>
        <v>0</v>
      </c>
      <c r="S822" s="95"/>
      <c r="T822" s="1103"/>
    </row>
    <row r="823" spans="1:20" ht="15.75">
      <c r="A823" s="260" t="s">
        <v>985</v>
      </c>
      <c r="B823" s="268" t="s">
        <v>737</v>
      </c>
      <c r="C823" s="269"/>
      <c r="D823" s="269"/>
      <c r="E823" s="270"/>
      <c r="F823" s="270"/>
      <c r="G823" s="270"/>
      <c r="H823" s="271"/>
      <c r="I823" s="271"/>
      <c r="J823" s="271"/>
      <c r="K823" s="271"/>
      <c r="L823" s="271"/>
      <c r="M823" s="177"/>
      <c r="N823" s="178"/>
      <c r="O823" s="1316">
        <f t="shared" si="1951"/>
        <v>0</v>
      </c>
      <c r="S823" s="95"/>
      <c r="T823" s="1103"/>
    </row>
    <row r="824" spans="1:20">
      <c r="A824" s="183">
        <v>1</v>
      </c>
      <c r="B824" s="182" t="str">
        <f>B752</f>
        <v>DSM:</v>
      </c>
      <c r="C824" s="183"/>
      <c r="D824" s="290"/>
      <c r="E824" s="184"/>
      <c r="F824" s="184"/>
      <c r="G824" s="184"/>
      <c r="H824" s="184"/>
      <c r="I824" s="184"/>
      <c r="J824" s="184"/>
      <c r="K824" s="184"/>
      <c r="L824" s="184"/>
      <c r="M824" s="180"/>
      <c r="N824" s="181"/>
      <c r="O824" s="1316">
        <f t="shared" si="1951"/>
        <v>0</v>
      </c>
      <c r="P824" s="149"/>
      <c r="S824" s="95"/>
      <c r="T824" s="1103"/>
    </row>
    <row r="825" spans="1:20">
      <c r="A825" s="160">
        <v>1.1000000000000001</v>
      </c>
      <c r="B825" s="164" t="s">
        <v>738</v>
      </c>
      <c r="C825" s="91"/>
      <c r="D825" s="91"/>
      <c r="E825" s="89">
        <f t="shared" ref="E825:L825" si="2010">E689</f>
        <v>34682.189599999998</v>
      </c>
      <c r="F825" s="89">
        <f t="shared" si="2010"/>
        <v>32360.292699999998</v>
      </c>
      <c r="G825" s="89">
        <f t="shared" si="2010"/>
        <v>29839.434449999997</v>
      </c>
      <c r="H825" s="89">
        <f t="shared" si="2010"/>
        <v>27943.860119999998</v>
      </c>
      <c r="I825" s="89">
        <f t="shared" si="2010"/>
        <v>24068.911200000002</v>
      </c>
      <c r="J825" s="89">
        <f t="shared" si="2010"/>
        <v>20203.065750000002</v>
      </c>
      <c r="K825" s="89">
        <f t="shared" si="2010"/>
        <v>19647.538049999999</v>
      </c>
      <c r="L825" s="89">
        <f t="shared" si="2010"/>
        <v>19175.301599999999</v>
      </c>
      <c r="M825" s="167">
        <f t="shared" ref="M825:M826" si="2011">SUM(F825:H825)</f>
        <v>90143.587269999989</v>
      </c>
      <c r="N825" s="94">
        <f t="shared" ref="N825:N826" si="2012">SUM(F825:J825)</f>
        <v>134415.56422</v>
      </c>
      <c r="O825" s="1316">
        <f t="shared" si="1951"/>
        <v>83094.816599999991</v>
      </c>
      <c r="S825" s="95"/>
      <c r="T825" s="1103"/>
    </row>
    <row r="826" spans="1:20">
      <c r="A826" s="160">
        <v>1.2</v>
      </c>
      <c r="B826" s="164" t="s">
        <v>739</v>
      </c>
      <c r="C826" s="163"/>
      <c r="D826" s="163"/>
      <c r="E826" s="89">
        <f t="shared" ref="E826:J826" si="2013">E761</f>
        <v>65896.160239999997</v>
      </c>
      <c r="F826" s="89">
        <f t="shared" si="2013"/>
        <v>51776.46832</v>
      </c>
      <c r="G826" s="89">
        <f t="shared" si="2013"/>
        <v>35807.321339999995</v>
      </c>
      <c r="H826" s="89">
        <f t="shared" si="2013"/>
        <v>27943.860119999998</v>
      </c>
      <c r="I826" s="89">
        <f t="shared" si="2013"/>
        <v>24068.911200000002</v>
      </c>
      <c r="J826" s="89">
        <f t="shared" si="2013"/>
        <v>20203.065750000002</v>
      </c>
      <c r="K826" s="89">
        <f>K761</f>
        <v>19647.538049999999</v>
      </c>
      <c r="L826" s="89">
        <f t="shared" ref="L826" si="2014">L761</f>
        <v>19175.301599999999</v>
      </c>
      <c r="M826" s="167">
        <f t="shared" si="2011"/>
        <v>115527.64977999999</v>
      </c>
      <c r="N826" s="94">
        <f t="shared" si="2012"/>
        <v>159799.62673000002</v>
      </c>
      <c r="O826" s="1316">
        <f t="shared" si="1951"/>
        <v>83094.816599999991</v>
      </c>
      <c r="P826" s="95"/>
      <c r="Q826" s="95"/>
      <c r="S826" s="95"/>
      <c r="T826" s="1103"/>
    </row>
    <row r="827" spans="1:20">
      <c r="A827" s="183">
        <v>2</v>
      </c>
      <c r="B827" s="182" t="str">
        <f>B762</f>
        <v>Xpert MTB/RIF:</v>
      </c>
      <c r="C827" s="183"/>
      <c r="D827" s="290"/>
      <c r="E827" s="184"/>
      <c r="F827" s="184"/>
      <c r="G827" s="184"/>
      <c r="H827" s="184"/>
      <c r="I827" s="184"/>
      <c r="J827" s="184"/>
      <c r="K827" s="184"/>
      <c r="L827" s="184"/>
      <c r="M827" s="180"/>
      <c r="N827" s="181"/>
      <c r="O827" s="1316">
        <f t="shared" si="1951"/>
        <v>0</v>
      </c>
      <c r="S827" s="95"/>
      <c r="T827" s="1103"/>
    </row>
    <row r="828" spans="1:20">
      <c r="A828" s="160">
        <v>2.1</v>
      </c>
      <c r="B828" s="164" t="s">
        <v>738</v>
      </c>
      <c r="C828" s="91"/>
      <c r="D828" s="91"/>
      <c r="E828" s="89">
        <f t="shared" ref="E828:J828" si="2015">E699</f>
        <v>12307.647999999999</v>
      </c>
      <c r="F828" s="89">
        <f t="shared" si="2015"/>
        <v>17311.0756</v>
      </c>
      <c r="G828" s="89">
        <f t="shared" si="2015"/>
        <v>19549.883999999998</v>
      </c>
      <c r="H828" s="89">
        <f t="shared" si="2015"/>
        <v>20228.357459999999</v>
      </c>
      <c r="I828" s="89">
        <f t="shared" si="2015"/>
        <v>21111.724979999999</v>
      </c>
      <c r="J828" s="89">
        <f t="shared" si="2015"/>
        <v>21722.662</v>
      </c>
      <c r="K828" s="89">
        <f t="shared" ref="K828:L828" si="2016">K699</f>
        <v>21058.725999999999</v>
      </c>
      <c r="L828" s="89">
        <f t="shared" si="2016"/>
        <v>20516.215199999999</v>
      </c>
      <c r="M828" s="167">
        <f t="shared" ref="M828:M829" si="2017">SUM(F828:H828)</f>
        <v>57089.317060000001</v>
      </c>
      <c r="N828" s="94">
        <f t="shared" ref="N828:N829" si="2018">SUM(F828:J828)</f>
        <v>99923.704039999997</v>
      </c>
      <c r="O828" s="1316">
        <f t="shared" si="1951"/>
        <v>84409.328179999982</v>
      </c>
      <c r="S828" s="95"/>
      <c r="T828" s="1103"/>
    </row>
    <row r="829" spans="1:20">
      <c r="A829" s="160">
        <v>2.2000000000000002</v>
      </c>
      <c r="B829" s="164" t="s">
        <v>740</v>
      </c>
      <c r="C829" s="163"/>
      <c r="D829" s="163"/>
      <c r="E829" s="89">
        <f t="shared" ref="E829:J829" si="2019">E771</f>
        <v>13292.259839999999</v>
      </c>
      <c r="F829" s="89">
        <f t="shared" si="2019"/>
        <v>18522.850892000002</v>
      </c>
      <c r="G829" s="89">
        <f t="shared" si="2019"/>
        <v>20722.877039999999</v>
      </c>
      <c r="H829" s="89">
        <f t="shared" si="2019"/>
        <v>21239.775333000001</v>
      </c>
      <c r="I829" s="89">
        <f t="shared" si="2019"/>
        <v>21956.193979200001</v>
      </c>
      <c r="J829" s="89">
        <f t="shared" si="2019"/>
        <v>22374.34186</v>
      </c>
      <c r="K829" s="89">
        <f t="shared" ref="K829:L829" si="2020">K771</f>
        <v>21690.487779999999</v>
      </c>
      <c r="L829" s="89">
        <f t="shared" si="2020"/>
        <v>21131.701656000001</v>
      </c>
      <c r="M829" s="167">
        <f t="shared" si="2017"/>
        <v>60485.503265000007</v>
      </c>
      <c r="N829" s="94">
        <f t="shared" si="2018"/>
        <v>104816.03910420001</v>
      </c>
      <c r="O829" s="1316">
        <f t="shared" si="1951"/>
        <v>87152.725275200006</v>
      </c>
      <c r="Q829" s="95"/>
      <c r="S829" s="95"/>
      <c r="T829" s="1103"/>
    </row>
    <row r="830" spans="1:20">
      <c r="A830" s="183">
        <v>3</v>
      </c>
      <c r="B830" s="182" t="str">
        <f>B772</f>
        <v>Culture:</v>
      </c>
      <c r="C830" s="183"/>
      <c r="D830" s="290"/>
      <c r="E830" s="184"/>
      <c r="F830" s="184"/>
      <c r="G830" s="184"/>
      <c r="H830" s="184"/>
      <c r="I830" s="184"/>
      <c r="J830" s="184"/>
      <c r="K830" s="184"/>
      <c r="L830" s="184"/>
      <c r="M830" s="180"/>
      <c r="N830" s="181"/>
      <c r="O830" s="1316">
        <f t="shared" si="1951"/>
        <v>0</v>
      </c>
      <c r="S830" s="95"/>
      <c r="T830" s="1103"/>
    </row>
    <row r="831" spans="1:20">
      <c r="A831" s="160">
        <v>3.1</v>
      </c>
      <c r="B831" s="164" t="s">
        <v>738</v>
      </c>
      <c r="C831" s="91"/>
      <c r="D831" s="91"/>
      <c r="E831" s="89">
        <f t="shared" ref="E831:J831" si="2021">E709</f>
        <v>12931.242683583063</v>
      </c>
      <c r="F831" s="89">
        <f t="shared" si="2021"/>
        <v>13442.680309620013</v>
      </c>
      <c r="G831" s="89">
        <f t="shared" si="2021"/>
        <v>13778.949489842604</v>
      </c>
      <c r="H831" s="89">
        <f t="shared" si="2021"/>
        <v>14234.314968320081</v>
      </c>
      <c r="I831" s="89">
        <f t="shared" si="2021"/>
        <v>14668.128495131983</v>
      </c>
      <c r="J831" s="89">
        <f t="shared" si="2021"/>
        <v>14324.948113496584</v>
      </c>
      <c r="K831" s="89">
        <f t="shared" ref="K831:L831" si="2022">K709</f>
        <v>13945.267313547592</v>
      </c>
      <c r="L831" s="89">
        <f t="shared" si="2022"/>
        <v>13618.293357421804</v>
      </c>
      <c r="M831" s="167">
        <f t="shared" ref="M831:M832" si="2023">SUM(F831:H831)</f>
        <v>41455.944767782697</v>
      </c>
      <c r="N831" s="94">
        <f t="shared" ref="N831:N832" si="2024">SUM(F831:J831)</f>
        <v>70449.02137641127</v>
      </c>
      <c r="O831" s="1316">
        <f t="shared" si="1951"/>
        <v>56556.637279597962</v>
      </c>
      <c r="S831" s="95"/>
      <c r="T831" s="1103"/>
    </row>
    <row r="832" spans="1:20">
      <c r="A832" s="160">
        <v>3.2</v>
      </c>
      <c r="B832" s="164" t="s">
        <v>741</v>
      </c>
      <c r="C832" s="163"/>
      <c r="D832" s="163"/>
      <c r="E832" s="89">
        <f t="shared" ref="E832:J832" si="2025">E781</f>
        <v>12931.242683583063</v>
      </c>
      <c r="F832" s="89">
        <f t="shared" si="2025"/>
        <v>13442.680309620013</v>
      </c>
      <c r="G832" s="89">
        <f t="shared" si="2025"/>
        <v>13778.949489842604</v>
      </c>
      <c r="H832" s="89">
        <f t="shared" si="2025"/>
        <v>14234.314968320081</v>
      </c>
      <c r="I832" s="89">
        <f t="shared" si="2025"/>
        <v>14668.128495131983</v>
      </c>
      <c r="J832" s="89">
        <f t="shared" si="2025"/>
        <v>14324.948113496584</v>
      </c>
      <c r="K832" s="89">
        <f t="shared" ref="K832:L832" si="2026">K781</f>
        <v>13945.267313547592</v>
      </c>
      <c r="L832" s="89">
        <f t="shared" si="2026"/>
        <v>13618.293357421804</v>
      </c>
      <c r="M832" s="167">
        <f t="shared" si="2023"/>
        <v>41455.944767782697</v>
      </c>
      <c r="N832" s="94">
        <f t="shared" si="2024"/>
        <v>70449.02137641127</v>
      </c>
      <c r="O832" s="1316">
        <f t="shared" si="1951"/>
        <v>56556.637279597962</v>
      </c>
      <c r="P832" s="95"/>
      <c r="Q832" s="95"/>
      <c r="S832" s="95"/>
      <c r="T832" s="1103"/>
    </row>
    <row r="833" spans="1:20">
      <c r="A833" s="183">
        <v>4</v>
      </c>
      <c r="B833" s="182" t="str">
        <f>B782</f>
        <v>DST-1 (MGIT):</v>
      </c>
      <c r="C833" s="183"/>
      <c r="D833" s="290"/>
      <c r="E833" s="184"/>
      <c r="F833" s="184"/>
      <c r="G833" s="184"/>
      <c r="H833" s="184"/>
      <c r="I833" s="184"/>
      <c r="J833" s="184"/>
      <c r="K833" s="184"/>
      <c r="L833" s="184"/>
      <c r="M833" s="180"/>
      <c r="N833" s="181"/>
      <c r="O833" s="1316">
        <f t="shared" si="1951"/>
        <v>0</v>
      </c>
      <c r="S833" s="95"/>
      <c r="T833" s="1103"/>
    </row>
    <row r="834" spans="1:20">
      <c r="A834" s="160">
        <v>4.0999999999999996</v>
      </c>
      <c r="B834" s="164" t="s">
        <v>738</v>
      </c>
      <c r="C834" s="91"/>
      <c r="D834" s="91"/>
      <c r="E834" s="89">
        <f t="shared" ref="E834:J834" si="2027">E719</f>
        <v>1848.3624</v>
      </c>
      <c r="F834" s="89">
        <f t="shared" si="2027"/>
        <v>1823.5968000000003</v>
      </c>
      <c r="G834" s="89">
        <f t="shared" si="2027"/>
        <v>1765.9402799999998</v>
      </c>
      <c r="H834" s="89">
        <f t="shared" si="2027"/>
        <v>1780.5527999999999</v>
      </c>
      <c r="I834" s="89">
        <f t="shared" si="2027"/>
        <v>1702.1005199999997</v>
      </c>
      <c r="J834" s="89">
        <f t="shared" si="2027"/>
        <v>1626.88878</v>
      </c>
      <c r="K834" s="89">
        <f t="shared" ref="K834:L834" si="2028">K719</f>
        <v>1577.4636599999999</v>
      </c>
      <c r="L834" s="89">
        <f t="shared" si="2028"/>
        <v>1538.7699600000001</v>
      </c>
      <c r="M834" s="167">
        <f t="shared" ref="M834:M835" si="2029">SUM(F834:H834)</f>
        <v>5370.0898799999995</v>
      </c>
      <c r="N834" s="94">
        <f t="shared" ref="N834:N835" si="2030">SUM(F834:J834)</f>
        <v>8699.0791799999988</v>
      </c>
      <c r="O834" s="1316">
        <f t="shared" si="1951"/>
        <v>6445.2229200000002</v>
      </c>
      <c r="S834" s="95"/>
      <c r="T834" s="1103"/>
    </row>
    <row r="835" spans="1:20">
      <c r="A835" s="160">
        <v>4.2</v>
      </c>
      <c r="B835" s="164" t="s">
        <v>829</v>
      </c>
      <c r="C835" s="163"/>
      <c r="D835" s="163"/>
      <c r="E835" s="89">
        <f t="shared" ref="E835:J835" si="2031">E791</f>
        <v>1848.3624</v>
      </c>
      <c r="F835" s="89">
        <f t="shared" si="2031"/>
        <v>1823.5968000000003</v>
      </c>
      <c r="G835" s="89">
        <f t="shared" si="2031"/>
        <v>1765.9402799999998</v>
      </c>
      <c r="H835" s="89">
        <f t="shared" si="2031"/>
        <v>1780.5527999999999</v>
      </c>
      <c r="I835" s="89">
        <f t="shared" si="2031"/>
        <v>1702.1005199999997</v>
      </c>
      <c r="J835" s="89">
        <f t="shared" si="2031"/>
        <v>1626.88878</v>
      </c>
      <c r="K835" s="89">
        <f t="shared" ref="K835:L835" si="2032">K791</f>
        <v>1577.4636599999999</v>
      </c>
      <c r="L835" s="89">
        <f t="shared" si="2032"/>
        <v>1538.7699600000001</v>
      </c>
      <c r="M835" s="167">
        <f t="shared" si="2029"/>
        <v>5370.0898799999995</v>
      </c>
      <c r="N835" s="94">
        <f t="shared" si="2030"/>
        <v>8699.0791799999988</v>
      </c>
      <c r="O835" s="1316">
        <f t="shared" si="1951"/>
        <v>6445.2229200000002</v>
      </c>
      <c r="P835" s="95"/>
      <c r="Q835" s="95"/>
      <c r="S835" s="95"/>
      <c r="T835" s="1103"/>
    </row>
    <row r="836" spans="1:20">
      <c r="A836" s="183">
        <v>5</v>
      </c>
      <c r="B836" s="182" t="str">
        <f>B792</f>
        <v>LPA MTBDRPlus:</v>
      </c>
      <c r="C836" s="183"/>
      <c r="D836" s="290"/>
      <c r="E836" s="184"/>
      <c r="F836" s="184"/>
      <c r="G836" s="184"/>
      <c r="H836" s="184"/>
      <c r="I836" s="184"/>
      <c r="J836" s="184"/>
      <c r="K836" s="184"/>
      <c r="L836" s="184"/>
      <c r="M836" s="180"/>
      <c r="N836" s="181"/>
      <c r="O836" s="1316">
        <f t="shared" si="1951"/>
        <v>0</v>
      </c>
      <c r="S836" s="95"/>
      <c r="T836" s="1103"/>
    </row>
    <row r="837" spans="1:20">
      <c r="A837" s="160">
        <v>5.0999999999999996</v>
      </c>
      <c r="B837" s="164" t="s">
        <v>738</v>
      </c>
      <c r="C837" s="91"/>
      <c r="D837" s="91"/>
      <c r="E837" s="89">
        <f t="shared" ref="E837:J837" si="2033">E729</f>
        <v>1709.5616999999997</v>
      </c>
      <c r="F837" s="89">
        <f t="shared" si="2033"/>
        <v>1807.4759999999997</v>
      </c>
      <c r="G837" s="89">
        <f t="shared" si="2033"/>
        <v>1749.5626499999996</v>
      </c>
      <c r="H837" s="89">
        <f t="shared" si="2033"/>
        <v>1861.9287499999998</v>
      </c>
      <c r="I837" s="89">
        <f t="shared" si="2033"/>
        <v>1778.99755</v>
      </c>
      <c r="J837" s="89">
        <f t="shared" si="2033"/>
        <v>1698.9191999999998</v>
      </c>
      <c r="K837" s="89">
        <f t="shared" ref="K837:L837" si="2034">K729</f>
        <v>1647.0976499999997</v>
      </c>
      <c r="L837" s="89">
        <f t="shared" si="2034"/>
        <v>1606.8128999999997</v>
      </c>
      <c r="M837" s="167">
        <f t="shared" ref="M837:M838" si="2035">SUM(F837:H837)</f>
        <v>5418.9673999999995</v>
      </c>
      <c r="N837" s="94">
        <f t="shared" ref="N837:N838" si="2036">SUM(F837:J837)</f>
        <v>8896.8841499999999</v>
      </c>
      <c r="O837" s="1316">
        <f t="shared" si="1951"/>
        <v>6731.8272999999999</v>
      </c>
      <c r="S837" s="95"/>
      <c r="T837" s="1103"/>
    </row>
    <row r="838" spans="1:20">
      <c r="A838" s="160">
        <v>5.2</v>
      </c>
      <c r="B838" s="164" t="s">
        <v>830</v>
      </c>
      <c r="C838" s="163"/>
      <c r="D838" s="163"/>
      <c r="E838" s="89">
        <f t="shared" ref="E838:J838" si="2037">E801</f>
        <v>1709.5616999999997</v>
      </c>
      <c r="F838" s="89">
        <f t="shared" si="2037"/>
        <v>1807.4759999999997</v>
      </c>
      <c r="G838" s="89">
        <f t="shared" si="2037"/>
        <v>1749.5626499999996</v>
      </c>
      <c r="H838" s="89">
        <f t="shared" si="2037"/>
        <v>1861.9287499999998</v>
      </c>
      <c r="I838" s="89">
        <f t="shared" si="2037"/>
        <v>1778.99755</v>
      </c>
      <c r="J838" s="89">
        <f t="shared" si="2037"/>
        <v>1698.9191999999998</v>
      </c>
      <c r="K838" s="89">
        <f t="shared" ref="K838:L838" si="2038">K801</f>
        <v>1647.0976499999997</v>
      </c>
      <c r="L838" s="89">
        <f t="shared" si="2038"/>
        <v>1606.8128999999997</v>
      </c>
      <c r="M838" s="167">
        <f t="shared" si="2035"/>
        <v>5418.9673999999995</v>
      </c>
      <c r="N838" s="94">
        <f t="shared" si="2036"/>
        <v>8896.8841499999999</v>
      </c>
      <c r="O838" s="1316">
        <f t="shared" si="1951"/>
        <v>6731.8272999999999</v>
      </c>
      <c r="P838" s="95"/>
      <c r="Q838" s="95"/>
      <c r="S838" s="95"/>
      <c r="T838" s="1103"/>
    </row>
    <row r="839" spans="1:20">
      <c r="A839" s="183">
        <v>6</v>
      </c>
      <c r="B839" s="182" t="str">
        <f>B802</f>
        <v>DST-2 (MGIT):</v>
      </c>
      <c r="C839" s="183"/>
      <c r="D839" s="290"/>
      <c r="E839" s="184"/>
      <c r="F839" s="184"/>
      <c r="G839" s="184"/>
      <c r="H839" s="184"/>
      <c r="I839" s="184"/>
      <c r="J839" s="184"/>
      <c r="K839" s="184"/>
      <c r="L839" s="184"/>
      <c r="M839" s="180"/>
      <c r="N839" s="181"/>
      <c r="O839" s="1316">
        <f t="shared" si="1951"/>
        <v>0</v>
      </c>
      <c r="S839" s="95"/>
      <c r="T839" s="1103"/>
    </row>
    <row r="840" spans="1:20">
      <c r="A840" s="160">
        <v>6.1</v>
      </c>
      <c r="B840" s="164" t="s">
        <v>738</v>
      </c>
      <c r="C840" s="91"/>
      <c r="D840" s="91"/>
      <c r="E840" s="89">
        <f t="shared" ref="E840:J840" si="2039">E739</f>
        <v>839.41920000000005</v>
      </c>
      <c r="F840" s="89">
        <f t="shared" si="2039"/>
        <v>824.17019999999957</v>
      </c>
      <c r="G840" s="89">
        <f t="shared" si="2039"/>
        <v>808.98749999999961</v>
      </c>
      <c r="H840" s="89">
        <f t="shared" si="2039"/>
        <v>826.55700000000002</v>
      </c>
      <c r="I840" s="89">
        <f t="shared" si="2039"/>
        <v>803.5917000000004</v>
      </c>
      <c r="J840" s="89">
        <f t="shared" si="2039"/>
        <v>781.1108999999999</v>
      </c>
      <c r="K840" s="89">
        <f t="shared" ref="K840:L840" si="2040">K739</f>
        <v>761.4402</v>
      </c>
      <c r="L840" s="89">
        <f t="shared" si="2040"/>
        <v>745.83930000000009</v>
      </c>
      <c r="M840" s="167">
        <f t="shared" ref="M840:M841" si="2041">SUM(F840:H840)</f>
        <v>2459.7146999999995</v>
      </c>
      <c r="N840" s="94">
        <f t="shared" ref="N840:N841" si="2042">SUM(F840:J840)</f>
        <v>4044.4173000000001</v>
      </c>
      <c r="O840" s="1316">
        <f t="shared" si="1951"/>
        <v>3091.9821000000006</v>
      </c>
      <c r="S840" s="95"/>
      <c r="T840" s="1103"/>
    </row>
    <row r="841" spans="1:20">
      <c r="A841" s="160">
        <v>6.2</v>
      </c>
      <c r="B841" s="164" t="s">
        <v>829</v>
      </c>
      <c r="C841" s="163"/>
      <c r="D841" s="163"/>
      <c r="E841" s="89">
        <f t="shared" ref="E841:J841" si="2043">E811</f>
        <v>839.41920000000005</v>
      </c>
      <c r="F841" s="89">
        <f t="shared" si="2043"/>
        <v>824.17019999999957</v>
      </c>
      <c r="G841" s="89">
        <f t="shared" si="2043"/>
        <v>808.98749999999961</v>
      </c>
      <c r="H841" s="89">
        <f t="shared" si="2043"/>
        <v>826.55700000000002</v>
      </c>
      <c r="I841" s="89">
        <f t="shared" si="2043"/>
        <v>803.5917000000004</v>
      </c>
      <c r="J841" s="89">
        <f t="shared" si="2043"/>
        <v>781.1108999999999</v>
      </c>
      <c r="K841" s="89">
        <f t="shared" ref="K841:L841" si="2044">K811</f>
        <v>761.4402</v>
      </c>
      <c r="L841" s="89">
        <f t="shared" si="2044"/>
        <v>745.83930000000009</v>
      </c>
      <c r="M841" s="167">
        <f t="shared" si="2041"/>
        <v>2459.7146999999995</v>
      </c>
      <c r="N841" s="94">
        <f t="shared" si="2042"/>
        <v>4044.4173000000001</v>
      </c>
      <c r="O841" s="1316">
        <f t="shared" si="1951"/>
        <v>3091.9821000000006</v>
      </c>
      <c r="P841" s="95"/>
      <c r="Q841" s="95"/>
      <c r="S841" s="95"/>
      <c r="T841" s="1103"/>
    </row>
    <row r="842" spans="1:20">
      <c r="A842" s="183">
        <v>7</v>
      </c>
      <c r="B842" s="182" t="str">
        <f>B812</f>
        <v>LPA MTBDRsl:</v>
      </c>
      <c r="C842" s="183"/>
      <c r="D842" s="290"/>
      <c r="E842" s="184"/>
      <c r="F842" s="184"/>
      <c r="G842" s="184"/>
      <c r="H842" s="184"/>
      <c r="I842" s="184"/>
      <c r="J842" s="184"/>
      <c r="K842" s="184"/>
      <c r="L842" s="184"/>
      <c r="M842" s="180"/>
      <c r="N842" s="181"/>
      <c r="O842" s="1316">
        <f t="shared" si="1951"/>
        <v>0</v>
      </c>
      <c r="S842" s="95"/>
      <c r="T842" s="1103"/>
    </row>
    <row r="843" spans="1:20">
      <c r="A843" s="160">
        <v>7.1</v>
      </c>
      <c r="B843" s="164" t="s">
        <v>738</v>
      </c>
      <c r="C843" s="91"/>
      <c r="D843" s="91"/>
      <c r="E843" s="89">
        <f t="shared" ref="E843:J843" si="2045">E749</f>
        <v>785.86199999999997</v>
      </c>
      <c r="F843" s="89">
        <f t="shared" si="2045"/>
        <v>829.39999999999964</v>
      </c>
      <c r="G843" s="89">
        <f t="shared" si="2045"/>
        <v>816.67574999999965</v>
      </c>
      <c r="H843" s="89">
        <f t="shared" si="2045"/>
        <v>882.92049999999995</v>
      </c>
      <c r="I843" s="89">
        <f t="shared" si="2045"/>
        <v>857.84050000000036</v>
      </c>
      <c r="J843" s="89">
        <f t="shared" si="2045"/>
        <v>833.59649999999999</v>
      </c>
      <c r="K843" s="89">
        <f t="shared" ref="K843:L843" si="2046">K749</f>
        <v>812.38300000000004</v>
      </c>
      <c r="L843" s="89">
        <f t="shared" si="2046"/>
        <v>795.87200000000007</v>
      </c>
      <c r="M843" s="167">
        <f t="shared" ref="M843:M844" si="2047">SUM(F843:H843)</f>
        <v>2528.9962499999992</v>
      </c>
      <c r="N843" s="94">
        <f t="shared" ref="N843:N844" si="2048">SUM(F843:J843)</f>
        <v>4220.4332499999991</v>
      </c>
      <c r="O843" s="1316">
        <f t="shared" si="1951"/>
        <v>3299.6920000000009</v>
      </c>
      <c r="S843" s="95"/>
      <c r="T843" s="1103"/>
    </row>
    <row r="844" spans="1:20">
      <c r="A844" s="160">
        <v>7.2</v>
      </c>
      <c r="B844" s="164" t="s">
        <v>830</v>
      </c>
      <c r="C844" s="163"/>
      <c r="D844" s="163"/>
      <c r="E844" s="89">
        <f>E821</f>
        <v>785.86199999999997</v>
      </c>
      <c r="F844" s="89">
        <f t="shared" ref="F844:J844" si="2049">F821</f>
        <v>829.39999999999964</v>
      </c>
      <c r="G844" s="89">
        <f t="shared" si="2049"/>
        <v>816.67574999999965</v>
      </c>
      <c r="H844" s="89">
        <f t="shared" si="2049"/>
        <v>882.92049999999995</v>
      </c>
      <c r="I844" s="89">
        <f t="shared" si="2049"/>
        <v>857.84050000000036</v>
      </c>
      <c r="J844" s="89">
        <f t="shared" si="2049"/>
        <v>833.59649999999999</v>
      </c>
      <c r="K844" s="89">
        <f t="shared" ref="K844:L844" si="2050">K821</f>
        <v>812.38300000000004</v>
      </c>
      <c r="L844" s="89">
        <f t="shared" si="2050"/>
        <v>795.87200000000007</v>
      </c>
      <c r="M844" s="167">
        <f t="shared" si="2047"/>
        <v>2528.9962499999992</v>
      </c>
      <c r="N844" s="94">
        <f t="shared" si="2048"/>
        <v>4220.4332499999991</v>
      </c>
      <c r="O844" s="1316">
        <f t="shared" si="1951"/>
        <v>3299.6920000000009</v>
      </c>
      <c r="P844" s="95"/>
      <c r="Q844" s="95"/>
      <c r="S844" s="95"/>
      <c r="T844" s="1103"/>
    </row>
    <row r="845" spans="1:20">
      <c r="A845" s="162"/>
      <c r="B845" s="154"/>
      <c r="C845" s="154"/>
      <c r="D845" s="154"/>
      <c r="E845" s="89"/>
      <c r="F845" s="89"/>
      <c r="G845" s="89"/>
      <c r="H845" s="89"/>
      <c r="I845" s="89"/>
      <c r="J845" s="89"/>
      <c r="K845" s="89"/>
      <c r="L845" s="89"/>
      <c r="M845" s="89"/>
      <c r="N845" s="90"/>
      <c r="O845" s="1316">
        <f t="shared" si="1951"/>
        <v>0</v>
      </c>
      <c r="S845" s="95"/>
      <c r="T845" s="1103"/>
    </row>
    <row r="846" spans="1:20" ht="15.75">
      <c r="A846" s="260" t="s">
        <v>1230</v>
      </c>
      <c r="B846" s="268" t="s">
        <v>1712</v>
      </c>
      <c r="C846" s="269"/>
      <c r="D846" s="269"/>
      <c r="E846" s="270"/>
      <c r="F846" s="270"/>
      <c r="G846" s="270"/>
      <c r="H846" s="271"/>
      <c r="I846" s="271"/>
      <c r="J846" s="271"/>
      <c r="K846" s="271"/>
      <c r="L846" s="271"/>
      <c r="M846" s="177"/>
      <c r="N846" s="178"/>
      <c r="O846" s="1316">
        <f t="shared" si="1951"/>
        <v>0</v>
      </c>
      <c r="S846" s="95"/>
      <c r="T846" s="1103"/>
    </row>
    <row r="847" spans="1:20">
      <c r="A847" s="183">
        <v>1</v>
      </c>
      <c r="B847" s="182" t="s">
        <v>1713</v>
      </c>
      <c r="C847" s="183"/>
      <c r="D847" s="290"/>
      <c r="E847" s="184"/>
      <c r="F847" s="184"/>
      <c r="G847" s="184"/>
      <c r="H847" s="184"/>
      <c r="I847" s="184"/>
      <c r="J847" s="184"/>
      <c r="K847" s="184"/>
      <c r="L847" s="184"/>
      <c r="M847" s="180"/>
      <c r="N847" s="181"/>
      <c r="O847" s="1316">
        <f t="shared" si="1951"/>
        <v>0</v>
      </c>
      <c r="S847" s="95"/>
      <c r="T847" s="1103"/>
    </row>
    <row r="848" spans="1:20">
      <c r="A848" s="160">
        <v>1.1000000000000001</v>
      </c>
      <c r="B848" s="164" t="str">
        <f>B197</f>
        <v>Number of TB suspects to be tested for TB (any method)</v>
      </c>
      <c r="C848" s="91"/>
      <c r="D848" s="91"/>
      <c r="E848" s="89">
        <f>E197</f>
        <v>21666</v>
      </c>
      <c r="F848" s="89">
        <f t="shared" ref="F848:J848" si="2051">F197</f>
        <v>21991.200000000001</v>
      </c>
      <c r="G848" s="89">
        <f t="shared" si="2051"/>
        <v>21952.799999999999</v>
      </c>
      <c r="H848" s="89">
        <f t="shared" si="2051"/>
        <v>21583.439999999999</v>
      </c>
      <c r="I848" s="89">
        <f t="shared" si="2051"/>
        <v>21381.119999999999</v>
      </c>
      <c r="J848" s="89">
        <f t="shared" si="2051"/>
        <v>20943</v>
      </c>
      <c r="K848" s="89">
        <f t="shared" ref="K848:L848" si="2052">K197</f>
        <v>20303.400000000001</v>
      </c>
      <c r="L848" s="89">
        <f t="shared" si="2052"/>
        <v>19780.8</v>
      </c>
      <c r="M848" s="167">
        <f t="shared" ref="M848:M854" si="2053">SUM(F848:H848)</f>
        <v>65527.44</v>
      </c>
      <c r="N848" s="94">
        <f t="shared" ref="N848:N854" si="2054">SUM(F848:J848)</f>
        <v>107851.56</v>
      </c>
      <c r="O848" s="1316">
        <f t="shared" si="1951"/>
        <v>82408.319999999992</v>
      </c>
      <c r="S848" s="95"/>
      <c r="T848" s="1103"/>
    </row>
    <row r="849" spans="1:20">
      <c r="A849" s="160">
        <v>1.2</v>
      </c>
      <c r="B849" s="164" t="str">
        <f>B209</f>
        <v>Target coverage of Xpert investigations (% of suspects to be tested)</v>
      </c>
      <c r="C849" s="163"/>
      <c r="D849" s="163"/>
      <c r="E849" s="272">
        <f>E209</f>
        <v>1</v>
      </c>
      <c r="F849" s="272">
        <f t="shared" ref="F849:J849" si="2055">F209</f>
        <v>1</v>
      </c>
      <c r="G849" s="272">
        <f t="shared" si="2055"/>
        <v>1</v>
      </c>
      <c r="H849" s="272">
        <f t="shared" si="2055"/>
        <v>1</v>
      </c>
      <c r="I849" s="272">
        <f t="shared" si="2055"/>
        <v>1</v>
      </c>
      <c r="J849" s="272">
        <f t="shared" si="2055"/>
        <v>1</v>
      </c>
      <c r="K849" s="272">
        <f t="shared" ref="K849:L849" si="2056">K209</f>
        <v>1</v>
      </c>
      <c r="L849" s="272">
        <f t="shared" si="2056"/>
        <v>1</v>
      </c>
      <c r="M849" s="167"/>
      <c r="N849" s="94"/>
      <c r="O849" s="1316">
        <f t="shared" si="1951"/>
        <v>4</v>
      </c>
      <c r="Q849" s="95"/>
      <c r="S849" s="95"/>
      <c r="T849" s="1103"/>
    </row>
    <row r="850" spans="1:20">
      <c r="A850" s="160">
        <v>1.3</v>
      </c>
      <c r="B850" s="164" t="str">
        <f>B210</f>
        <v>Target number of TB suspects to be tested by Xpert</v>
      </c>
      <c r="C850" s="91"/>
      <c r="D850" s="91"/>
      <c r="E850" s="89">
        <f>E848*E849</f>
        <v>21666</v>
      </c>
      <c r="F850" s="89">
        <f t="shared" ref="F850" si="2057">F848*F849</f>
        <v>21991.200000000001</v>
      </c>
      <c r="G850" s="89">
        <f t="shared" ref="G850" si="2058">G848*G849</f>
        <v>21952.799999999999</v>
      </c>
      <c r="H850" s="89">
        <f t="shared" ref="H850" si="2059">H848*H849</f>
        <v>21583.439999999999</v>
      </c>
      <c r="I850" s="89">
        <f t="shared" ref="I850" si="2060">I848*I849</f>
        <v>21381.119999999999</v>
      </c>
      <c r="J850" s="89">
        <f t="shared" ref="J850:L850" si="2061">J848*J849</f>
        <v>20943</v>
      </c>
      <c r="K850" s="89">
        <f t="shared" si="2061"/>
        <v>20303.400000000001</v>
      </c>
      <c r="L850" s="89">
        <f t="shared" si="2061"/>
        <v>19780.8</v>
      </c>
      <c r="M850" s="167">
        <f t="shared" si="2053"/>
        <v>65527.44</v>
      </c>
      <c r="N850" s="94">
        <f t="shared" si="2054"/>
        <v>107851.56</v>
      </c>
      <c r="O850" s="1316">
        <f t="shared" si="1951"/>
        <v>82408.319999999992</v>
      </c>
      <c r="S850" s="95"/>
      <c r="T850" s="1103"/>
    </row>
    <row r="851" spans="1:20">
      <c r="A851" s="160">
        <v>1.4</v>
      </c>
      <c r="B851" s="164" t="str">
        <f>B213</f>
        <v>Xpert repetition rate</v>
      </c>
      <c r="C851" s="91"/>
      <c r="D851" s="91"/>
      <c r="E851" s="272">
        <f>E213</f>
        <v>0.12</v>
      </c>
      <c r="F851" s="272">
        <f t="shared" ref="F851:J851" si="2062">F213</f>
        <v>0.11</v>
      </c>
      <c r="G851" s="272">
        <f t="shared" si="2062"/>
        <v>0.1</v>
      </c>
      <c r="H851" s="272">
        <f t="shared" si="2062"/>
        <v>0.09</v>
      </c>
      <c r="I851" s="272">
        <f t="shared" si="2062"/>
        <v>8.5000000000000006E-2</v>
      </c>
      <c r="J851" s="272">
        <f t="shared" si="2062"/>
        <v>0.08</v>
      </c>
      <c r="K851" s="272">
        <f t="shared" ref="K851:L851" si="2063">K213</f>
        <v>0.08</v>
      </c>
      <c r="L851" s="272">
        <f t="shared" si="2063"/>
        <v>0.08</v>
      </c>
      <c r="M851" s="167"/>
      <c r="N851" s="94"/>
      <c r="O851" s="1316">
        <f t="shared" si="1951"/>
        <v>0.32500000000000001</v>
      </c>
      <c r="S851" s="95"/>
      <c r="T851" s="1103"/>
    </row>
    <row r="852" spans="1:20">
      <c r="A852" s="160">
        <v>1.5</v>
      </c>
      <c r="B852" s="164" t="str">
        <f>B214</f>
        <v>Number of Xpert investigations (persons)</v>
      </c>
      <c r="C852" s="163"/>
      <c r="D852" s="790" t="s">
        <v>1714</v>
      </c>
      <c r="E852" s="264">
        <f>E850*(1+E851)</f>
        <v>24265.920000000002</v>
      </c>
      <c r="F852" s="264">
        <f t="shared" ref="F852:J852" si="2064">F850*(1+F851)</f>
        <v>24410.232000000004</v>
      </c>
      <c r="G852" s="264">
        <f t="shared" si="2064"/>
        <v>24148.080000000002</v>
      </c>
      <c r="H852" s="264">
        <f t="shared" si="2064"/>
        <v>23525.9496</v>
      </c>
      <c r="I852" s="264">
        <f t="shared" si="2064"/>
        <v>23198.515199999998</v>
      </c>
      <c r="J852" s="264">
        <f t="shared" si="2064"/>
        <v>22618.440000000002</v>
      </c>
      <c r="K852" s="264">
        <f t="shared" ref="K852:L852" si="2065">K850*(1+K851)</f>
        <v>21927.672000000002</v>
      </c>
      <c r="L852" s="264">
        <f t="shared" si="2065"/>
        <v>21363.263999999999</v>
      </c>
      <c r="M852" s="167">
        <f t="shared" si="2053"/>
        <v>72084.261599999998</v>
      </c>
      <c r="N852" s="94">
        <f t="shared" si="2054"/>
        <v>117901.21679999999</v>
      </c>
      <c r="O852" s="1316">
        <f t="shared" si="1951"/>
        <v>89107.891199999998</v>
      </c>
      <c r="P852" s="95"/>
      <c r="Q852" s="95"/>
      <c r="S852" s="95"/>
      <c r="T852" s="1103"/>
    </row>
    <row r="853" spans="1:20">
      <c r="A853" s="160">
        <v>1.6</v>
      </c>
      <c r="B853" s="164" t="str">
        <f>B215</f>
        <v>Average number of cartridges per 1 Xpert investigation</v>
      </c>
      <c r="C853" s="91"/>
      <c r="D853" s="91"/>
      <c r="E853" s="292">
        <f>E215</f>
        <v>1.08</v>
      </c>
      <c r="F853" s="292">
        <f t="shared" ref="F853:J853" si="2066">F215</f>
        <v>1.07</v>
      </c>
      <c r="G853" s="292">
        <f t="shared" si="2066"/>
        <v>1.06</v>
      </c>
      <c r="H853" s="292">
        <f t="shared" si="2066"/>
        <v>1.05</v>
      </c>
      <c r="I853" s="292">
        <f t="shared" si="2066"/>
        <v>1.04</v>
      </c>
      <c r="J853" s="292">
        <f t="shared" si="2066"/>
        <v>1.03</v>
      </c>
      <c r="K853" s="292">
        <f t="shared" ref="K853:L853" si="2067">K215</f>
        <v>1.03</v>
      </c>
      <c r="L853" s="292">
        <f t="shared" si="2067"/>
        <v>1.03</v>
      </c>
      <c r="M853" s="167"/>
      <c r="N853" s="94"/>
      <c r="O853" s="1316">
        <f t="shared" si="1951"/>
        <v>4.1300000000000008</v>
      </c>
      <c r="S853" s="95"/>
      <c r="T853" s="1103"/>
    </row>
    <row r="854" spans="1:20">
      <c r="A854" s="160">
        <v>1.7</v>
      </c>
      <c r="B854" s="164" t="str">
        <f>B216</f>
        <v>Number of Xpert tests (cartridges)</v>
      </c>
      <c r="C854" s="163"/>
      <c r="D854" s="790" t="s">
        <v>1714</v>
      </c>
      <c r="E854" s="264">
        <f>E852*E853</f>
        <v>26207.193600000002</v>
      </c>
      <c r="F854" s="264">
        <f t="shared" ref="F854:J854" si="2068">F852*F853</f>
        <v>26118.948240000005</v>
      </c>
      <c r="G854" s="264">
        <f t="shared" si="2068"/>
        <v>25596.964800000002</v>
      </c>
      <c r="H854" s="264">
        <f t="shared" si="2068"/>
        <v>24702.247080000001</v>
      </c>
      <c r="I854" s="264">
        <f t="shared" si="2068"/>
        <v>24126.455807999999</v>
      </c>
      <c r="J854" s="264">
        <f t="shared" si="2068"/>
        <v>23296.993200000004</v>
      </c>
      <c r="K854" s="264">
        <f t="shared" ref="K854:L854" si="2069">K852*K853</f>
        <v>22585.502160000004</v>
      </c>
      <c r="L854" s="264">
        <f t="shared" si="2069"/>
        <v>22004.161919999999</v>
      </c>
      <c r="M854" s="167">
        <f t="shared" si="2053"/>
        <v>76418.160120000015</v>
      </c>
      <c r="N854" s="94">
        <f t="shared" si="2054"/>
        <v>123841.60912800001</v>
      </c>
      <c r="O854" s="1316">
        <f t="shared" si="1951"/>
        <v>92013.113087999998</v>
      </c>
      <c r="P854" s="95"/>
      <c r="Q854" s="95"/>
      <c r="S854" s="95"/>
      <c r="T854" s="1103"/>
    </row>
    <row r="855" spans="1:20">
      <c r="A855" s="183">
        <v>2</v>
      </c>
      <c r="B855" s="182" t="s">
        <v>1715</v>
      </c>
      <c r="C855" s="183"/>
      <c r="D855" s="290"/>
      <c r="E855" s="184"/>
      <c r="F855" s="184"/>
      <c r="G855" s="184"/>
      <c r="H855" s="184"/>
      <c r="I855" s="184"/>
      <c r="J855" s="184"/>
      <c r="K855" s="184"/>
      <c r="L855" s="184"/>
      <c r="M855" s="180"/>
      <c r="N855" s="181"/>
      <c r="O855" s="1316">
        <f t="shared" si="1951"/>
        <v>0</v>
      </c>
      <c r="S855" s="95"/>
      <c r="T855" s="1103"/>
    </row>
    <row r="856" spans="1:20">
      <c r="A856" s="162">
        <v>2.1</v>
      </c>
      <c r="B856" s="159" t="str">
        <f>B264</f>
        <v>First-line treatment</v>
      </c>
      <c r="C856" s="154"/>
      <c r="D856" s="154"/>
      <c r="E856" s="89"/>
      <c r="F856" s="89"/>
      <c r="G856" s="89"/>
      <c r="H856" s="89"/>
      <c r="I856" s="89"/>
      <c r="J856" s="89"/>
      <c r="K856" s="89"/>
      <c r="L856" s="89"/>
      <c r="M856" s="167"/>
      <c r="N856" s="94"/>
      <c r="O856" s="1316">
        <f t="shared" si="1951"/>
        <v>0</v>
      </c>
      <c r="S856" s="95"/>
      <c r="T856" s="1103"/>
    </row>
    <row r="857" spans="1:20">
      <c r="A857" s="160" t="s">
        <v>342</v>
      </c>
      <c r="B857" s="291" t="str">
        <f>B275</f>
        <v>Number of patients to be enrolled</v>
      </c>
      <c r="C857" s="91"/>
      <c r="D857" s="91"/>
      <c r="E857" s="89">
        <f>E275</f>
        <v>3002</v>
      </c>
      <c r="F857" s="89">
        <f t="shared" ref="F857:J857" si="2070">F275</f>
        <v>2770</v>
      </c>
      <c r="G857" s="89">
        <f t="shared" si="2070"/>
        <v>2529</v>
      </c>
      <c r="H857" s="89">
        <f t="shared" si="2070"/>
        <v>2398</v>
      </c>
      <c r="I857" s="89">
        <f t="shared" si="2070"/>
        <v>2296</v>
      </c>
      <c r="J857" s="89">
        <f t="shared" si="2070"/>
        <v>2212</v>
      </c>
      <c r="K857" s="89">
        <f t="shared" ref="K857:L857" si="2071">K275</f>
        <v>2142</v>
      </c>
      <c r="L857" s="89">
        <f t="shared" si="2071"/>
        <v>2084</v>
      </c>
      <c r="M857" s="167">
        <f t="shared" ref="M857:M861" si="2072">SUM(F857:H857)</f>
        <v>7697</v>
      </c>
      <c r="N857" s="94">
        <f t="shared" ref="N857:N861" si="2073">SUM(F857:J857)</f>
        <v>12205</v>
      </c>
      <c r="O857" s="1316">
        <f t="shared" si="1951"/>
        <v>8734</v>
      </c>
      <c r="S857" s="95"/>
      <c r="T857" s="1103"/>
    </row>
    <row r="858" spans="1:20">
      <c r="A858" s="160" t="s">
        <v>343</v>
      </c>
      <c r="B858" s="291" t="str">
        <f>B276</f>
        <v>Percentage of patients requiring Xpert investigations</v>
      </c>
      <c r="C858" s="163"/>
      <c r="D858" s="163"/>
      <c r="E858" s="272">
        <f>E276</f>
        <v>0.1</v>
      </c>
      <c r="F858" s="272">
        <f t="shared" ref="F858:J858" si="2074">F276</f>
        <v>0.1</v>
      </c>
      <c r="G858" s="272">
        <f t="shared" si="2074"/>
        <v>0.1</v>
      </c>
      <c r="H858" s="272">
        <f t="shared" si="2074"/>
        <v>0.1</v>
      </c>
      <c r="I858" s="272">
        <f t="shared" si="2074"/>
        <v>0.1</v>
      </c>
      <c r="J858" s="272">
        <f t="shared" si="2074"/>
        <v>0.1</v>
      </c>
      <c r="K858" s="272">
        <f t="shared" ref="K858:L858" si="2075">K276</f>
        <v>0.1</v>
      </c>
      <c r="L858" s="272">
        <f t="shared" si="2075"/>
        <v>0.1</v>
      </c>
      <c r="M858" s="167"/>
      <c r="N858" s="94"/>
      <c r="O858" s="1316">
        <f t="shared" si="1951"/>
        <v>0.4</v>
      </c>
      <c r="Q858" s="95"/>
      <c r="S858" s="95"/>
      <c r="T858" s="1103"/>
    </row>
    <row r="859" spans="1:20">
      <c r="A859" s="160" t="s">
        <v>344</v>
      </c>
      <c r="B859" s="291" t="str">
        <f>B277</f>
        <v>Target number of patients to be tested with Xpert</v>
      </c>
      <c r="C859" s="91"/>
      <c r="D859" s="91"/>
      <c r="E859" s="89">
        <f>E857*E858</f>
        <v>300.2</v>
      </c>
      <c r="F859" s="89">
        <f t="shared" ref="F859" si="2076">F857*F858</f>
        <v>277</v>
      </c>
      <c r="G859" s="89">
        <f t="shared" ref="G859" si="2077">G857*G858</f>
        <v>252.9</v>
      </c>
      <c r="H859" s="89">
        <f t="shared" ref="H859" si="2078">H857*H858</f>
        <v>239.8</v>
      </c>
      <c r="I859" s="89">
        <f t="shared" ref="I859" si="2079">I857*I858</f>
        <v>229.60000000000002</v>
      </c>
      <c r="J859" s="89">
        <f t="shared" ref="J859:L859" si="2080">J857*J858</f>
        <v>221.20000000000002</v>
      </c>
      <c r="K859" s="89">
        <f t="shared" si="2080"/>
        <v>214.20000000000002</v>
      </c>
      <c r="L859" s="89">
        <f t="shared" si="2080"/>
        <v>208.4</v>
      </c>
      <c r="M859" s="167">
        <f t="shared" si="2072"/>
        <v>769.7</v>
      </c>
      <c r="N859" s="94">
        <f t="shared" si="2073"/>
        <v>1220.5</v>
      </c>
      <c r="O859" s="1316">
        <f t="shared" si="1951"/>
        <v>873.40000000000009</v>
      </c>
      <c r="S859" s="95"/>
      <c r="T859" s="1103"/>
    </row>
    <row r="860" spans="1:20">
      <c r="A860" s="160" t="s">
        <v>345</v>
      </c>
      <c r="B860" s="291" t="str">
        <f>B278</f>
        <v>Xpert repetition rate</v>
      </c>
      <c r="C860" s="91"/>
      <c r="D860" s="91"/>
      <c r="E860" s="272">
        <f>E278</f>
        <v>0.06</v>
      </c>
      <c r="F860" s="272">
        <f t="shared" ref="F860:J860" si="2081">F278</f>
        <v>5.5E-2</v>
      </c>
      <c r="G860" s="272">
        <f t="shared" si="2081"/>
        <v>0.05</v>
      </c>
      <c r="H860" s="272">
        <f t="shared" si="2081"/>
        <v>4.4999999999999998E-2</v>
      </c>
      <c r="I860" s="272">
        <f t="shared" si="2081"/>
        <v>4.2500000000000003E-2</v>
      </c>
      <c r="J860" s="272">
        <f t="shared" si="2081"/>
        <v>0.04</v>
      </c>
      <c r="K860" s="272">
        <f t="shared" ref="K860:L860" si="2082">K278</f>
        <v>0.04</v>
      </c>
      <c r="L860" s="272">
        <f t="shared" si="2082"/>
        <v>0.04</v>
      </c>
      <c r="M860" s="167"/>
      <c r="N860" s="94"/>
      <c r="O860" s="1316">
        <f t="shared" ref="O860:O923" si="2083">I860+J860+K860+L860</f>
        <v>0.16250000000000001</v>
      </c>
      <c r="S860" s="95"/>
      <c r="T860" s="1103"/>
    </row>
    <row r="861" spans="1:20">
      <c r="A861" s="160" t="s">
        <v>346</v>
      </c>
      <c r="B861" s="291" t="str">
        <f t="shared" ref="B861:B862" si="2084">B280</f>
        <v>Number of Xpert investigations (persons)</v>
      </c>
      <c r="C861" s="91"/>
      <c r="D861" s="790" t="s">
        <v>1714</v>
      </c>
      <c r="E861" s="264">
        <f>E859*(1+E860)</f>
        <v>318.21199999999999</v>
      </c>
      <c r="F861" s="264">
        <f t="shared" ref="F861:J861" si="2085">F859*(1+F860)</f>
        <v>292.23499999999996</v>
      </c>
      <c r="G861" s="264">
        <f t="shared" si="2085"/>
        <v>265.54500000000002</v>
      </c>
      <c r="H861" s="264">
        <f t="shared" si="2085"/>
        <v>250.59100000000001</v>
      </c>
      <c r="I861" s="264">
        <f t="shared" si="2085"/>
        <v>239.35800000000003</v>
      </c>
      <c r="J861" s="264">
        <f t="shared" si="2085"/>
        <v>230.04800000000003</v>
      </c>
      <c r="K861" s="264">
        <f t="shared" ref="K861:L861" si="2086">K859*(1+K860)</f>
        <v>222.76800000000003</v>
      </c>
      <c r="L861" s="264">
        <f t="shared" si="2086"/>
        <v>216.73600000000002</v>
      </c>
      <c r="M861" s="167">
        <f t="shared" si="2072"/>
        <v>808.37099999999998</v>
      </c>
      <c r="N861" s="94">
        <f t="shared" si="2073"/>
        <v>1277.777</v>
      </c>
      <c r="O861" s="1316">
        <f t="shared" si="2083"/>
        <v>908.91000000000008</v>
      </c>
      <c r="S861" s="95"/>
      <c r="T861" s="1103"/>
    </row>
    <row r="862" spans="1:20">
      <c r="A862" s="160" t="s">
        <v>347</v>
      </c>
      <c r="B862" s="291" t="str">
        <f t="shared" si="2084"/>
        <v>Average number of cartridges per 1 Xpert investigation</v>
      </c>
      <c r="C862" s="163"/>
      <c r="D862" s="790"/>
      <c r="E862" s="292">
        <f>E281</f>
        <v>1.08</v>
      </c>
      <c r="F862" s="292">
        <f t="shared" ref="F862:J862" si="2087">F281</f>
        <v>1.07</v>
      </c>
      <c r="G862" s="292">
        <f t="shared" si="2087"/>
        <v>1.06</v>
      </c>
      <c r="H862" s="292">
        <f t="shared" si="2087"/>
        <v>1.05</v>
      </c>
      <c r="I862" s="292">
        <f t="shared" si="2087"/>
        <v>1.04</v>
      </c>
      <c r="J862" s="292">
        <f t="shared" si="2087"/>
        <v>1.03</v>
      </c>
      <c r="K862" s="292">
        <f t="shared" ref="K862:L862" si="2088">K281</f>
        <v>1.03</v>
      </c>
      <c r="L862" s="292">
        <f t="shared" si="2088"/>
        <v>1.03</v>
      </c>
      <c r="M862" s="167"/>
      <c r="N862" s="94"/>
      <c r="O862" s="1316">
        <f t="shared" si="2083"/>
        <v>4.1300000000000008</v>
      </c>
      <c r="P862" s="95"/>
      <c r="Q862" s="95"/>
      <c r="S862" s="95"/>
      <c r="T862" s="1103"/>
    </row>
    <row r="863" spans="1:20">
      <c r="A863" s="160" t="s">
        <v>348</v>
      </c>
      <c r="B863" s="291" t="str">
        <f>B282</f>
        <v>Number of Xpert tests (cartridges)</v>
      </c>
      <c r="C863" s="91"/>
      <c r="D863" s="790" t="s">
        <v>1714</v>
      </c>
      <c r="E863" s="264">
        <f>E861*E862</f>
        <v>343.66896000000003</v>
      </c>
      <c r="F863" s="264">
        <f t="shared" ref="F863:J863" si="2089">F861*F862</f>
        <v>312.69144999999997</v>
      </c>
      <c r="G863" s="264">
        <f t="shared" si="2089"/>
        <v>281.47770000000003</v>
      </c>
      <c r="H863" s="264">
        <f t="shared" si="2089"/>
        <v>263.12055000000004</v>
      </c>
      <c r="I863" s="264">
        <f t="shared" si="2089"/>
        <v>248.93232000000003</v>
      </c>
      <c r="J863" s="264">
        <f t="shared" si="2089"/>
        <v>236.94944000000004</v>
      </c>
      <c r="K863" s="264">
        <f t="shared" ref="K863:L863" si="2090">K861*K862</f>
        <v>229.45104000000003</v>
      </c>
      <c r="L863" s="264">
        <f t="shared" si="2090"/>
        <v>223.23808000000002</v>
      </c>
      <c r="M863" s="167">
        <f t="shared" ref="M863" si="2091">SUM(F863:H863)</f>
        <v>857.28970000000004</v>
      </c>
      <c r="N863" s="94">
        <f t="shared" ref="N863" si="2092">SUM(F863:J863)</f>
        <v>1343.1714600000003</v>
      </c>
      <c r="O863" s="1316">
        <f t="shared" si="2083"/>
        <v>938.57088000000022</v>
      </c>
      <c r="S863" s="95"/>
      <c r="T863" s="1103"/>
    </row>
    <row r="864" spans="1:20">
      <c r="A864" s="162">
        <v>2.2000000000000002</v>
      </c>
      <c r="B864" s="159" t="str">
        <f>B333</f>
        <v>PDR-TB</v>
      </c>
      <c r="C864" s="154"/>
      <c r="D864" s="154"/>
      <c r="E864" s="89"/>
      <c r="F864" s="89"/>
      <c r="G864" s="89"/>
      <c r="H864" s="89"/>
      <c r="I864" s="89"/>
      <c r="J864" s="89"/>
      <c r="K864" s="89"/>
      <c r="L864" s="89"/>
      <c r="M864" s="167"/>
      <c r="N864" s="94"/>
      <c r="O864" s="1316">
        <f t="shared" si="2083"/>
        <v>0</v>
      </c>
      <c r="S864" s="95"/>
      <c r="T864" s="1103"/>
    </row>
    <row r="865" spans="1:20">
      <c r="A865" s="160" t="s">
        <v>350</v>
      </c>
      <c r="B865" s="291" t="str">
        <f>B344</f>
        <v>Number of patients to be enrolled</v>
      </c>
      <c r="C865" s="91"/>
      <c r="D865" s="91"/>
      <c r="E865" s="89">
        <f>E344</f>
        <v>147</v>
      </c>
      <c r="F865" s="89">
        <f t="shared" ref="F865:J865" si="2093">F344</f>
        <v>131</v>
      </c>
      <c r="G865" s="89">
        <f t="shared" si="2093"/>
        <v>113</v>
      </c>
      <c r="H865" s="89">
        <f t="shared" si="2093"/>
        <v>103</v>
      </c>
      <c r="I865" s="89">
        <f t="shared" si="2093"/>
        <v>94</v>
      </c>
      <c r="J865" s="89">
        <f t="shared" si="2093"/>
        <v>84</v>
      </c>
      <c r="K865" s="89">
        <f t="shared" ref="K865:L865" si="2094">K344</f>
        <v>80</v>
      </c>
      <c r="L865" s="89">
        <f t="shared" si="2094"/>
        <v>77</v>
      </c>
      <c r="M865" s="167">
        <f t="shared" ref="M865:M871" si="2095">SUM(F865:H865)</f>
        <v>347</v>
      </c>
      <c r="N865" s="94">
        <f t="shared" ref="N865:N871" si="2096">SUM(F865:J865)</f>
        <v>525</v>
      </c>
      <c r="O865" s="1316">
        <f t="shared" si="2083"/>
        <v>335</v>
      </c>
      <c r="S865" s="95"/>
      <c r="T865" s="1103"/>
    </row>
    <row r="866" spans="1:20">
      <c r="A866" s="160" t="s">
        <v>351</v>
      </c>
      <c r="B866" s="291" t="str">
        <f t="shared" ref="B866:B868" si="2097">B345</f>
        <v>Percentage of patients requiring Xpert investigations</v>
      </c>
      <c r="C866" s="163"/>
      <c r="D866" s="163"/>
      <c r="E866" s="272">
        <f t="shared" ref="E866:J868" si="2098">E345</f>
        <v>0.2</v>
      </c>
      <c r="F866" s="272">
        <f t="shared" si="2098"/>
        <v>0.2</v>
      </c>
      <c r="G866" s="272">
        <f t="shared" si="2098"/>
        <v>0.2</v>
      </c>
      <c r="H866" s="272">
        <f t="shared" si="2098"/>
        <v>0.2</v>
      </c>
      <c r="I866" s="272">
        <f t="shared" si="2098"/>
        <v>0.2</v>
      </c>
      <c r="J866" s="272">
        <f t="shared" si="2098"/>
        <v>0.2</v>
      </c>
      <c r="K866" s="272">
        <f t="shared" ref="K866:L866" si="2099">K345</f>
        <v>0.2</v>
      </c>
      <c r="L866" s="272">
        <f t="shared" si="2099"/>
        <v>0.2</v>
      </c>
      <c r="M866" s="167"/>
      <c r="N866" s="94"/>
      <c r="O866" s="1316">
        <f t="shared" si="2083"/>
        <v>0.8</v>
      </c>
      <c r="Q866" s="95"/>
      <c r="S866" s="95"/>
      <c r="T866" s="1103"/>
    </row>
    <row r="867" spans="1:20">
      <c r="A867" s="160" t="s">
        <v>352</v>
      </c>
      <c r="B867" s="291" t="str">
        <f t="shared" si="2097"/>
        <v>Target number of patients to be tested with Xpert</v>
      </c>
      <c r="C867" s="91"/>
      <c r="D867" s="91"/>
      <c r="E867" s="89">
        <f>E865*E866</f>
        <v>29.400000000000002</v>
      </c>
      <c r="F867" s="89">
        <f t="shared" ref="F867" si="2100">F865*F866</f>
        <v>26.200000000000003</v>
      </c>
      <c r="G867" s="89">
        <f t="shared" ref="G867" si="2101">G865*G866</f>
        <v>22.6</v>
      </c>
      <c r="H867" s="89">
        <f t="shared" ref="H867" si="2102">H865*H866</f>
        <v>20.6</v>
      </c>
      <c r="I867" s="89">
        <f t="shared" ref="I867" si="2103">I865*I866</f>
        <v>18.8</v>
      </c>
      <c r="J867" s="89">
        <f t="shared" ref="J867:L867" si="2104">J865*J866</f>
        <v>16.8</v>
      </c>
      <c r="K867" s="89">
        <f t="shared" si="2104"/>
        <v>16</v>
      </c>
      <c r="L867" s="89">
        <f t="shared" si="2104"/>
        <v>15.4</v>
      </c>
      <c r="M867" s="167">
        <f t="shared" si="2095"/>
        <v>69.400000000000006</v>
      </c>
      <c r="N867" s="94">
        <f t="shared" si="2096"/>
        <v>105</v>
      </c>
      <c r="O867" s="1316">
        <f t="shared" si="2083"/>
        <v>67</v>
      </c>
      <c r="S867" s="95"/>
      <c r="T867" s="1103"/>
    </row>
    <row r="868" spans="1:20">
      <c r="A868" s="160" t="s">
        <v>353</v>
      </c>
      <c r="B868" s="291" t="str">
        <f t="shared" si="2097"/>
        <v>Xpert repetition rate</v>
      </c>
      <c r="C868" s="91"/>
      <c r="D868" s="91"/>
      <c r="E868" s="272">
        <f t="shared" si="2098"/>
        <v>0.06</v>
      </c>
      <c r="F868" s="272">
        <f t="shared" si="2098"/>
        <v>5.5E-2</v>
      </c>
      <c r="G868" s="272">
        <f t="shared" si="2098"/>
        <v>0.05</v>
      </c>
      <c r="H868" s="272">
        <f t="shared" si="2098"/>
        <v>4.4999999999999998E-2</v>
      </c>
      <c r="I868" s="272">
        <f t="shared" si="2098"/>
        <v>4.2500000000000003E-2</v>
      </c>
      <c r="J868" s="272">
        <f t="shared" si="2098"/>
        <v>0.04</v>
      </c>
      <c r="K868" s="272">
        <f t="shared" ref="K868:L868" si="2105">K347</f>
        <v>0.04</v>
      </c>
      <c r="L868" s="272">
        <f t="shared" si="2105"/>
        <v>0.04</v>
      </c>
      <c r="M868" s="167"/>
      <c r="N868" s="94"/>
      <c r="O868" s="1316"/>
      <c r="S868" s="95"/>
      <c r="T868" s="1103"/>
    </row>
    <row r="869" spans="1:20">
      <c r="A869" s="160" t="s">
        <v>354</v>
      </c>
      <c r="B869" s="291" t="str">
        <f>B349</f>
        <v>Number of Xpert investigations (persons)</v>
      </c>
      <c r="C869" s="91"/>
      <c r="D869" s="790" t="s">
        <v>1714</v>
      </c>
      <c r="E869" s="264">
        <f>E867*(1+E868)</f>
        <v>31.164000000000005</v>
      </c>
      <c r="F869" s="264">
        <f t="shared" ref="F869" si="2106">F867*(1+F868)</f>
        <v>27.641000000000002</v>
      </c>
      <c r="G869" s="264">
        <f t="shared" ref="G869" si="2107">G867*(1+G868)</f>
        <v>23.730000000000004</v>
      </c>
      <c r="H869" s="264">
        <f t="shared" ref="H869" si="2108">H867*(1+H868)</f>
        <v>21.527000000000001</v>
      </c>
      <c r="I869" s="264">
        <f t="shared" ref="I869" si="2109">I867*(1+I868)</f>
        <v>19.599</v>
      </c>
      <c r="J869" s="264">
        <f t="shared" ref="J869:L869" si="2110">J867*(1+J868)</f>
        <v>17.472000000000001</v>
      </c>
      <c r="K869" s="264">
        <f t="shared" si="2110"/>
        <v>16.64</v>
      </c>
      <c r="L869" s="264">
        <f t="shared" si="2110"/>
        <v>16.016000000000002</v>
      </c>
      <c r="M869" s="167">
        <f t="shared" si="2095"/>
        <v>72.89800000000001</v>
      </c>
      <c r="N869" s="94">
        <f t="shared" si="2096"/>
        <v>109.96900000000002</v>
      </c>
      <c r="O869" s="1316">
        <f t="shared" si="2083"/>
        <v>69.727000000000004</v>
      </c>
      <c r="S869" s="95"/>
      <c r="T869" s="1103"/>
    </row>
    <row r="870" spans="1:20">
      <c r="A870" s="160" t="s">
        <v>355</v>
      </c>
      <c r="B870" s="291" t="str">
        <f t="shared" ref="B870:B871" si="2111">B350</f>
        <v>Average number of cartridges per 1 Xpert investigation</v>
      </c>
      <c r="C870" s="163"/>
      <c r="D870" s="790"/>
      <c r="E870" s="292">
        <f>E350</f>
        <v>1.08</v>
      </c>
      <c r="F870" s="292">
        <f t="shared" ref="F870:J870" si="2112">F350</f>
        <v>1.07</v>
      </c>
      <c r="G870" s="292">
        <f t="shared" si="2112"/>
        <v>1.06</v>
      </c>
      <c r="H870" s="292">
        <f t="shared" si="2112"/>
        <v>1.05</v>
      </c>
      <c r="I870" s="292">
        <f t="shared" si="2112"/>
        <v>1.04</v>
      </c>
      <c r="J870" s="292">
        <f t="shared" si="2112"/>
        <v>1.03</v>
      </c>
      <c r="K870" s="292">
        <f t="shared" ref="K870:L870" si="2113">K350</f>
        <v>1.03</v>
      </c>
      <c r="L870" s="292">
        <f t="shared" si="2113"/>
        <v>1.03</v>
      </c>
      <c r="M870" s="167"/>
      <c r="N870" s="94"/>
      <c r="O870" s="1316">
        <f t="shared" si="2083"/>
        <v>4.1300000000000008</v>
      </c>
      <c r="P870" s="95"/>
      <c r="Q870" s="95"/>
      <c r="S870" s="95"/>
      <c r="T870" s="1103"/>
    </row>
    <row r="871" spans="1:20">
      <c r="A871" s="160" t="s">
        <v>356</v>
      </c>
      <c r="B871" s="291" t="str">
        <f t="shared" si="2111"/>
        <v>Number of Xpert tests (cartridges)</v>
      </c>
      <c r="C871" s="91"/>
      <c r="D871" s="790" t="s">
        <v>1714</v>
      </c>
      <c r="E871" s="264">
        <f>E869*E870</f>
        <v>33.657120000000006</v>
      </c>
      <c r="F871" s="264">
        <f t="shared" ref="F871" si="2114">F869*F870</f>
        <v>29.575870000000002</v>
      </c>
      <c r="G871" s="264">
        <f t="shared" ref="G871" si="2115">G869*G870</f>
        <v>25.153800000000004</v>
      </c>
      <c r="H871" s="264">
        <f t="shared" ref="H871" si="2116">H869*H870</f>
        <v>22.603350000000002</v>
      </c>
      <c r="I871" s="264">
        <f t="shared" ref="I871" si="2117">I869*I870</f>
        <v>20.382960000000001</v>
      </c>
      <c r="J871" s="264">
        <f t="shared" ref="J871:L871" si="2118">J869*J870</f>
        <v>17.996160000000003</v>
      </c>
      <c r="K871" s="264">
        <f t="shared" si="2118"/>
        <v>17.139200000000002</v>
      </c>
      <c r="L871" s="264">
        <f t="shared" si="2118"/>
        <v>16.496480000000002</v>
      </c>
      <c r="M871" s="167">
        <f t="shared" si="2095"/>
        <v>77.333020000000005</v>
      </c>
      <c r="N871" s="94">
        <f t="shared" si="2096"/>
        <v>115.71214000000001</v>
      </c>
      <c r="O871" s="1316">
        <f t="shared" si="2083"/>
        <v>72.014800000000008</v>
      </c>
      <c r="S871" s="95"/>
      <c r="T871" s="1103"/>
    </row>
    <row r="872" spans="1:20">
      <c r="A872" s="162">
        <v>2.2999999999999998</v>
      </c>
      <c r="B872" s="159" t="str">
        <f>B402</f>
        <v>MDR-TB: no resistance to SLDs</v>
      </c>
      <c r="C872" s="154"/>
      <c r="D872" s="154"/>
      <c r="E872" s="89"/>
      <c r="F872" s="89"/>
      <c r="G872" s="89"/>
      <c r="H872" s="89"/>
      <c r="I872" s="89"/>
      <c r="J872" s="89"/>
      <c r="K872" s="89"/>
      <c r="L872" s="89"/>
      <c r="M872" s="167"/>
      <c r="N872" s="94"/>
      <c r="O872" s="1316">
        <f t="shared" si="2083"/>
        <v>0</v>
      </c>
      <c r="S872" s="95"/>
      <c r="T872" s="1103"/>
    </row>
    <row r="873" spans="1:20">
      <c r="A873" s="160" t="s">
        <v>358</v>
      </c>
      <c r="B873" s="291" t="str">
        <f>B413</f>
        <v>Number of patients to be enrolled</v>
      </c>
      <c r="C873" s="91"/>
      <c r="D873" s="91"/>
      <c r="E873" s="89">
        <f>E413</f>
        <v>316</v>
      </c>
      <c r="F873" s="89">
        <f t="shared" ref="F873:J873" si="2119">F413</f>
        <v>293</v>
      </c>
      <c r="G873" s="89">
        <f t="shared" si="2119"/>
        <v>273</v>
      </c>
      <c r="H873" s="89">
        <f t="shared" si="2119"/>
        <v>265</v>
      </c>
      <c r="I873" s="89">
        <f t="shared" si="2119"/>
        <v>259</v>
      </c>
      <c r="J873" s="89">
        <f t="shared" si="2119"/>
        <v>253</v>
      </c>
      <c r="K873" s="89">
        <f t="shared" ref="K873:L873" si="2120">K413</f>
        <v>249</v>
      </c>
      <c r="L873" s="89">
        <f t="shared" si="2120"/>
        <v>245</v>
      </c>
      <c r="M873" s="167">
        <f t="shared" ref="M873:M879" si="2121">SUM(F873:H873)</f>
        <v>831</v>
      </c>
      <c r="N873" s="94">
        <f t="shared" ref="N873:N879" si="2122">SUM(F873:J873)</f>
        <v>1343</v>
      </c>
      <c r="O873" s="1316">
        <f t="shared" si="2083"/>
        <v>1006</v>
      </c>
      <c r="S873" s="95"/>
      <c r="T873" s="1103"/>
    </row>
    <row r="874" spans="1:20">
      <c r="A874" s="160" t="s">
        <v>359</v>
      </c>
      <c r="B874" s="291" t="str">
        <f t="shared" ref="B874:B876" si="2123">B414</f>
        <v>Percentage of patients requiring Xpert investigations</v>
      </c>
      <c r="C874" s="163"/>
      <c r="D874" s="163"/>
      <c r="E874" s="272">
        <f>E414</f>
        <v>0</v>
      </c>
      <c r="F874" s="272">
        <f t="shared" ref="F874:J874" si="2124">F414</f>
        <v>0</v>
      </c>
      <c r="G874" s="272">
        <f t="shared" si="2124"/>
        <v>0</v>
      </c>
      <c r="H874" s="272">
        <f t="shared" si="2124"/>
        <v>0</v>
      </c>
      <c r="I874" s="272">
        <f t="shared" si="2124"/>
        <v>0</v>
      </c>
      <c r="J874" s="272">
        <f t="shared" si="2124"/>
        <v>0</v>
      </c>
      <c r="K874" s="272">
        <f t="shared" ref="K874:L874" si="2125">K414</f>
        <v>0</v>
      </c>
      <c r="L874" s="272">
        <f t="shared" si="2125"/>
        <v>0</v>
      </c>
      <c r="M874" s="167"/>
      <c r="N874" s="94"/>
      <c r="O874" s="1316">
        <f t="shared" si="2083"/>
        <v>0</v>
      </c>
      <c r="Q874" s="95"/>
      <c r="S874" s="95"/>
      <c r="T874" s="1103"/>
    </row>
    <row r="875" spans="1:20">
      <c r="A875" s="160" t="s">
        <v>360</v>
      </c>
      <c r="B875" s="291" t="str">
        <f t="shared" si="2123"/>
        <v>Target number of patients to be tested with Xpert</v>
      </c>
      <c r="C875" s="91"/>
      <c r="D875" s="91"/>
      <c r="E875" s="89">
        <f>E873*E874</f>
        <v>0</v>
      </c>
      <c r="F875" s="89">
        <f t="shared" ref="F875:J875" si="2126">F873*F874</f>
        <v>0</v>
      </c>
      <c r="G875" s="89">
        <f t="shared" si="2126"/>
        <v>0</v>
      </c>
      <c r="H875" s="89">
        <f t="shared" si="2126"/>
        <v>0</v>
      </c>
      <c r="I875" s="89">
        <f t="shared" si="2126"/>
        <v>0</v>
      </c>
      <c r="J875" s="89">
        <f t="shared" si="2126"/>
        <v>0</v>
      </c>
      <c r="K875" s="89">
        <f t="shared" ref="K875:L875" si="2127">K873*K874</f>
        <v>0</v>
      </c>
      <c r="L875" s="89">
        <f t="shared" si="2127"/>
        <v>0</v>
      </c>
      <c r="M875" s="167">
        <f t="shared" si="2121"/>
        <v>0</v>
      </c>
      <c r="N875" s="94">
        <f t="shared" si="2122"/>
        <v>0</v>
      </c>
      <c r="O875" s="1316">
        <f t="shared" si="2083"/>
        <v>0</v>
      </c>
      <c r="S875" s="95"/>
      <c r="T875" s="1103"/>
    </row>
    <row r="876" spans="1:20">
      <c r="A876" s="160" t="s">
        <v>361</v>
      </c>
      <c r="B876" s="291" t="str">
        <f t="shared" si="2123"/>
        <v>Xpert repetition rate</v>
      </c>
      <c r="C876" s="91"/>
      <c r="D876" s="91"/>
      <c r="E876" s="272">
        <f>E416</f>
        <v>0.06</v>
      </c>
      <c r="F876" s="272">
        <f t="shared" ref="F876:J876" si="2128">F416</f>
        <v>5.5E-2</v>
      </c>
      <c r="G876" s="272">
        <f t="shared" si="2128"/>
        <v>0.05</v>
      </c>
      <c r="H876" s="272">
        <f t="shared" si="2128"/>
        <v>4.4999999999999998E-2</v>
      </c>
      <c r="I876" s="272">
        <f t="shared" si="2128"/>
        <v>4.2500000000000003E-2</v>
      </c>
      <c r="J876" s="272">
        <f t="shared" si="2128"/>
        <v>0.04</v>
      </c>
      <c r="K876" s="272">
        <f t="shared" ref="K876:L876" si="2129">K416</f>
        <v>0.04</v>
      </c>
      <c r="L876" s="272">
        <f t="shared" si="2129"/>
        <v>0.04</v>
      </c>
      <c r="M876" s="167"/>
      <c r="N876" s="94"/>
      <c r="O876" s="1316">
        <f t="shared" si="2083"/>
        <v>0.16250000000000001</v>
      </c>
      <c r="S876" s="95"/>
      <c r="T876" s="1103"/>
    </row>
    <row r="877" spans="1:20">
      <c r="A877" s="160" t="s">
        <v>362</v>
      </c>
      <c r="B877" s="291" t="str">
        <f>B418</f>
        <v>Number of Xpert investigations (persons)</v>
      </c>
      <c r="C877" s="91"/>
      <c r="D877" s="790" t="s">
        <v>1714</v>
      </c>
      <c r="E877" s="264">
        <f>E875*(1+E876)</f>
        <v>0</v>
      </c>
      <c r="F877" s="264">
        <f t="shared" ref="F877:J877" si="2130">F875*(1+F876)</f>
        <v>0</v>
      </c>
      <c r="G877" s="264">
        <f t="shared" si="2130"/>
        <v>0</v>
      </c>
      <c r="H877" s="264">
        <f t="shared" si="2130"/>
        <v>0</v>
      </c>
      <c r="I877" s="264">
        <f t="shared" si="2130"/>
        <v>0</v>
      </c>
      <c r="J877" s="264">
        <f t="shared" si="2130"/>
        <v>0</v>
      </c>
      <c r="K877" s="264">
        <f t="shared" ref="K877:L877" si="2131">K875*(1+K876)</f>
        <v>0</v>
      </c>
      <c r="L877" s="264">
        <f t="shared" si="2131"/>
        <v>0</v>
      </c>
      <c r="M877" s="167">
        <f t="shared" si="2121"/>
        <v>0</v>
      </c>
      <c r="N877" s="94">
        <f t="shared" si="2122"/>
        <v>0</v>
      </c>
      <c r="O877" s="1316">
        <f t="shared" si="2083"/>
        <v>0</v>
      </c>
      <c r="S877" s="95"/>
      <c r="T877" s="1103"/>
    </row>
    <row r="878" spans="1:20">
      <c r="A878" s="160" t="s">
        <v>363</v>
      </c>
      <c r="B878" s="291" t="str">
        <f t="shared" ref="B878:B879" si="2132">B419</f>
        <v>Average number of cartridges per 1 Xpert investigation</v>
      </c>
      <c r="C878" s="163"/>
      <c r="D878" s="790"/>
      <c r="E878" s="292">
        <f>E419</f>
        <v>1.08</v>
      </c>
      <c r="F878" s="292">
        <f t="shared" ref="F878:J878" si="2133">F419</f>
        <v>1.07</v>
      </c>
      <c r="G878" s="292">
        <f t="shared" si="2133"/>
        <v>1.06</v>
      </c>
      <c r="H878" s="292">
        <f t="shared" si="2133"/>
        <v>1.05</v>
      </c>
      <c r="I878" s="292">
        <f t="shared" si="2133"/>
        <v>1.04</v>
      </c>
      <c r="J878" s="292">
        <f t="shared" si="2133"/>
        <v>1.03</v>
      </c>
      <c r="K878" s="292">
        <f t="shared" ref="K878:L878" si="2134">K419</f>
        <v>1.03</v>
      </c>
      <c r="L878" s="292">
        <f t="shared" si="2134"/>
        <v>1.03</v>
      </c>
      <c r="M878" s="167"/>
      <c r="N878" s="94"/>
      <c r="O878" s="1316">
        <f t="shared" si="2083"/>
        <v>4.1300000000000008</v>
      </c>
      <c r="P878" s="95"/>
      <c r="Q878" s="95"/>
      <c r="S878" s="95"/>
      <c r="T878" s="1103"/>
    </row>
    <row r="879" spans="1:20">
      <c r="A879" s="160" t="s">
        <v>364</v>
      </c>
      <c r="B879" s="291" t="str">
        <f t="shared" si="2132"/>
        <v>Number of Xpert tests (cartridges)</v>
      </c>
      <c r="C879" s="91"/>
      <c r="D879" s="790" t="s">
        <v>1714</v>
      </c>
      <c r="E879" s="264">
        <f>E877*E878</f>
        <v>0</v>
      </c>
      <c r="F879" s="264">
        <f t="shared" ref="F879:J879" si="2135">F877*F878</f>
        <v>0</v>
      </c>
      <c r="G879" s="264">
        <f t="shared" si="2135"/>
        <v>0</v>
      </c>
      <c r="H879" s="264">
        <f t="shared" si="2135"/>
        <v>0</v>
      </c>
      <c r="I879" s="264">
        <f t="shared" si="2135"/>
        <v>0</v>
      </c>
      <c r="J879" s="264">
        <f t="shared" si="2135"/>
        <v>0</v>
      </c>
      <c r="K879" s="264">
        <f t="shared" ref="K879:L879" si="2136">K877*K878</f>
        <v>0</v>
      </c>
      <c r="L879" s="264">
        <f t="shared" si="2136"/>
        <v>0</v>
      </c>
      <c r="M879" s="167">
        <f t="shared" si="2121"/>
        <v>0</v>
      </c>
      <c r="N879" s="94">
        <f t="shared" si="2122"/>
        <v>0</v>
      </c>
      <c r="O879" s="1316">
        <f t="shared" si="2083"/>
        <v>0</v>
      </c>
      <c r="S879" s="95"/>
      <c r="T879" s="1103"/>
    </row>
    <row r="880" spans="1:20">
      <c r="A880" s="162">
        <v>2.4</v>
      </c>
      <c r="B880" s="159" t="str">
        <f>B471</f>
        <v>MDR-TB: 'pre-XDR'</v>
      </c>
      <c r="C880" s="154"/>
      <c r="D880" s="154"/>
      <c r="E880" s="89"/>
      <c r="F880" s="89"/>
      <c r="G880" s="89"/>
      <c r="H880" s="89"/>
      <c r="I880" s="89"/>
      <c r="J880" s="89"/>
      <c r="K880" s="89"/>
      <c r="L880" s="89"/>
      <c r="M880" s="167"/>
      <c r="N880" s="94"/>
      <c r="O880" s="1316">
        <f t="shared" si="2083"/>
        <v>0</v>
      </c>
      <c r="S880" s="95"/>
      <c r="T880" s="1103"/>
    </row>
    <row r="881" spans="1:20">
      <c r="A881" s="160" t="s">
        <v>519</v>
      </c>
      <c r="B881" s="291" t="str">
        <f>B482</f>
        <v>Number of patients to be enrolled</v>
      </c>
      <c r="C881" s="91"/>
      <c r="D881" s="91"/>
      <c r="E881" s="89">
        <f>E482</f>
        <v>111</v>
      </c>
      <c r="F881" s="89">
        <f t="shared" ref="F881:J881" si="2137">F482</f>
        <v>103</v>
      </c>
      <c r="G881" s="89">
        <f t="shared" si="2137"/>
        <v>99</v>
      </c>
      <c r="H881" s="89">
        <f t="shared" si="2137"/>
        <v>99</v>
      </c>
      <c r="I881" s="89">
        <f t="shared" si="2137"/>
        <v>99</v>
      </c>
      <c r="J881" s="89">
        <f t="shared" si="2137"/>
        <v>99</v>
      </c>
      <c r="K881" s="89">
        <f t="shared" ref="K881:L881" si="2138">K482</f>
        <v>96</v>
      </c>
      <c r="L881" s="89">
        <f t="shared" si="2138"/>
        <v>94</v>
      </c>
      <c r="M881" s="167">
        <f t="shared" ref="M881:M887" si="2139">SUM(F881:H881)</f>
        <v>301</v>
      </c>
      <c r="N881" s="94">
        <f t="shared" ref="N881:N887" si="2140">SUM(F881:J881)</f>
        <v>499</v>
      </c>
      <c r="O881" s="1316">
        <f t="shared" si="2083"/>
        <v>388</v>
      </c>
      <c r="S881" s="95"/>
      <c r="T881" s="1103"/>
    </row>
    <row r="882" spans="1:20">
      <c r="A882" s="160" t="s">
        <v>520</v>
      </c>
      <c r="B882" s="291" t="str">
        <f t="shared" ref="B882:B884" si="2141">B483</f>
        <v>Percentage of patients requiring Xpert investigations</v>
      </c>
      <c r="C882" s="163"/>
      <c r="D882" s="163"/>
      <c r="E882" s="272">
        <f>E483</f>
        <v>0</v>
      </c>
      <c r="F882" s="272">
        <f t="shared" ref="F882:J882" si="2142">F483</f>
        <v>0</v>
      </c>
      <c r="G882" s="272">
        <f t="shared" si="2142"/>
        <v>0</v>
      </c>
      <c r="H882" s="272">
        <f t="shared" si="2142"/>
        <v>0</v>
      </c>
      <c r="I882" s="272">
        <f t="shared" si="2142"/>
        <v>0</v>
      </c>
      <c r="J882" s="272">
        <f t="shared" si="2142"/>
        <v>0</v>
      </c>
      <c r="K882" s="272">
        <f t="shared" ref="K882:L882" si="2143">K483</f>
        <v>0</v>
      </c>
      <c r="L882" s="272">
        <f t="shared" si="2143"/>
        <v>0</v>
      </c>
      <c r="M882" s="167"/>
      <c r="N882" s="94"/>
      <c r="O882" s="1316">
        <f t="shared" si="2083"/>
        <v>0</v>
      </c>
      <c r="Q882" s="95"/>
      <c r="S882" s="95"/>
      <c r="T882" s="1103"/>
    </row>
    <row r="883" spans="1:20">
      <c r="A883" s="160" t="s">
        <v>521</v>
      </c>
      <c r="B883" s="291" t="str">
        <f t="shared" si="2141"/>
        <v>Target number of patients to be tested with Xpert</v>
      </c>
      <c r="C883" s="91"/>
      <c r="D883" s="91"/>
      <c r="E883" s="89">
        <f>E881*E882</f>
        <v>0</v>
      </c>
      <c r="F883" s="89">
        <f t="shared" ref="F883:J883" si="2144">F881*F882</f>
        <v>0</v>
      </c>
      <c r="G883" s="89">
        <f t="shared" si="2144"/>
        <v>0</v>
      </c>
      <c r="H883" s="89">
        <f t="shared" si="2144"/>
        <v>0</v>
      </c>
      <c r="I883" s="89">
        <f t="shared" si="2144"/>
        <v>0</v>
      </c>
      <c r="J883" s="89">
        <f t="shared" si="2144"/>
        <v>0</v>
      </c>
      <c r="K883" s="89">
        <f t="shared" ref="K883:L883" si="2145">K881*K882</f>
        <v>0</v>
      </c>
      <c r="L883" s="89">
        <f t="shared" si="2145"/>
        <v>0</v>
      </c>
      <c r="M883" s="167">
        <f t="shared" si="2139"/>
        <v>0</v>
      </c>
      <c r="N883" s="94">
        <f t="shared" si="2140"/>
        <v>0</v>
      </c>
      <c r="O883" s="1316">
        <f t="shared" si="2083"/>
        <v>0</v>
      </c>
      <c r="S883" s="95"/>
      <c r="T883" s="1103"/>
    </row>
    <row r="884" spans="1:20">
      <c r="A884" s="160" t="s">
        <v>522</v>
      </c>
      <c r="B884" s="291" t="str">
        <f t="shared" si="2141"/>
        <v>Xpert repetition rate</v>
      </c>
      <c r="C884" s="91"/>
      <c r="D884" s="91"/>
      <c r="E884" s="272">
        <f>E485</f>
        <v>0.06</v>
      </c>
      <c r="F884" s="272">
        <f t="shared" ref="F884:J884" si="2146">F485</f>
        <v>5.5E-2</v>
      </c>
      <c r="G884" s="272">
        <f t="shared" si="2146"/>
        <v>0.05</v>
      </c>
      <c r="H884" s="272">
        <f t="shared" si="2146"/>
        <v>4.4999999999999998E-2</v>
      </c>
      <c r="I884" s="272">
        <f t="shared" si="2146"/>
        <v>4.2500000000000003E-2</v>
      </c>
      <c r="J884" s="272">
        <f t="shared" si="2146"/>
        <v>0.04</v>
      </c>
      <c r="K884" s="272">
        <f t="shared" ref="K884:L884" si="2147">K485</f>
        <v>0.04</v>
      </c>
      <c r="L884" s="272">
        <f t="shared" si="2147"/>
        <v>0.04</v>
      </c>
      <c r="M884" s="167"/>
      <c r="N884" s="94"/>
      <c r="O884" s="1316"/>
      <c r="S884" s="95"/>
      <c r="T884" s="1103"/>
    </row>
    <row r="885" spans="1:20">
      <c r="A885" s="160" t="s">
        <v>523</v>
      </c>
      <c r="B885" s="291" t="str">
        <f>B487</f>
        <v>Number of Xpert investigations (persons)</v>
      </c>
      <c r="C885" s="91"/>
      <c r="D885" s="790" t="s">
        <v>1714</v>
      </c>
      <c r="E885" s="264">
        <f>E883*(1+E884)</f>
        <v>0</v>
      </c>
      <c r="F885" s="264">
        <f t="shared" ref="F885:J885" si="2148">F883*(1+F884)</f>
        <v>0</v>
      </c>
      <c r="G885" s="264">
        <f t="shared" si="2148"/>
        <v>0</v>
      </c>
      <c r="H885" s="264">
        <f t="shared" si="2148"/>
        <v>0</v>
      </c>
      <c r="I885" s="264">
        <f t="shared" si="2148"/>
        <v>0</v>
      </c>
      <c r="J885" s="264">
        <f t="shared" si="2148"/>
        <v>0</v>
      </c>
      <c r="K885" s="264">
        <f t="shared" ref="K885:L885" si="2149">K883*(1+K884)</f>
        <v>0</v>
      </c>
      <c r="L885" s="264">
        <f t="shared" si="2149"/>
        <v>0</v>
      </c>
      <c r="M885" s="167">
        <f t="shared" si="2139"/>
        <v>0</v>
      </c>
      <c r="N885" s="94">
        <f t="shared" si="2140"/>
        <v>0</v>
      </c>
      <c r="O885" s="1316"/>
      <c r="S885" s="95"/>
      <c r="T885" s="1103"/>
    </row>
    <row r="886" spans="1:20">
      <c r="A886" s="160" t="s">
        <v>524</v>
      </c>
      <c r="B886" s="291" t="str">
        <f t="shared" ref="B886:B887" si="2150">B488</f>
        <v>Average number of cartridges per 1 Xpert investigation</v>
      </c>
      <c r="C886" s="163"/>
      <c r="D886" s="790"/>
      <c r="E886" s="292">
        <f>E488</f>
        <v>1.08</v>
      </c>
      <c r="F886" s="292">
        <f t="shared" ref="F886:J886" si="2151">F488</f>
        <v>1.07</v>
      </c>
      <c r="G886" s="292">
        <f t="shared" si="2151"/>
        <v>1.06</v>
      </c>
      <c r="H886" s="292">
        <f t="shared" si="2151"/>
        <v>1.05</v>
      </c>
      <c r="I886" s="292">
        <f t="shared" si="2151"/>
        <v>1.04</v>
      </c>
      <c r="J886" s="292">
        <f t="shared" si="2151"/>
        <v>1.03</v>
      </c>
      <c r="K886" s="292">
        <f t="shared" ref="K886:L886" si="2152">K488</f>
        <v>1.03</v>
      </c>
      <c r="L886" s="292">
        <f t="shared" si="2152"/>
        <v>1.03</v>
      </c>
      <c r="M886" s="167"/>
      <c r="N886" s="94"/>
      <c r="O886" s="1316"/>
      <c r="P886" s="95"/>
      <c r="Q886" s="95"/>
      <c r="S886" s="95"/>
      <c r="T886" s="1103"/>
    </row>
    <row r="887" spans="1:20">
      <c r="A887" s="160" t="s">
        <v>525</v>
      </c>
      <c r="B887" s="291" t="str">
        <f t="shared" si="2150"/>
        <v>Number of Xpert tests (cartridges)</v>
      </c>
      <c r="C887" s="91"/>
      <c r="D887" s="790" t="s">
        <v>1714</v>
      </c>
      <c r="E887" s="264">
        <f>E885*E886</f>
        <v>0</v>
      </c>
      <c r="F887" s="264">
        <f t="shared" ref="F887:J887" si="2153">F885*F886</f>
        <v>0</v>
      </c>
      <c r="G887" s="264">
        <f t="shared" si="2153"/>
        <v>0</v>
      </c>
      <c r="H887" s="264">
        <f t="shared" si="2153"/>
        <v>0</v>
      </c>
      <c r="I887" s="264">
        <f t="shared" si="2153"/>
        <v>0</v>
      </c>
      <c r="J887" s="264">
        <f t="shared" si="2153"/>
        <v>0</v>
      </c>
      <c r="K887" s="264">
        <f t="shared" ref="K887:L887" si="2154">K885*K886</f>
        <v>0</v>
      </c>
      <c r="L887" s="264">
        <f t="shared" si="2154"/>
        <v>0</v>
      </c>
      <c r="M887" s="167">
        <f t="shared" si="2139"/>
        <v>0</v>
      </c>
      <c r="N887" s="94">
        <f t="shared" si="2140"/>
        <v>0</v>
      </c>
      <c r="O887" s="1316">
        <f t="shared" si="2083"/>
        <v>0</v>
      </c>
      <c r="S887" s="95"/>
      <c r="T887" s="1103"/>
    </row>
    <row r="888" spans="1:20">
      <c r="A888" s="162">
        <v>2.5</v>
      </c>
      <c r="B888" s="159" t="str">
        <f>B540</f>
        <v>MDR-TB: XDR</v>
      </c>
      <c r="C888" s="154"/>
      <c r="D888" s="154"/>
      <c r="E888" s="89"/>
      <c r="F888" s="89"/>
      <c r="G888" s="89"/>
      <c r="H888" s="89"/>
      <c r="I888" s="89"/>
      <c r="J888" s="89"/>
      <c r="K888" s="89"/>
      <c r="L888" s="89"/>
      <c r="M888" s="167"/>
      <c r="N888" s="94"/>
      <c r="O888" s="1316">
        <f t="shared" si="2083"/>
        <v>0</v>
      </c>
      <c r="S888" s="95"/>
      <c r="T888" s="1103"/>
    </row>
    <row r="889" spans="1:20">
      <c r="A889" s="160" t="s">
        <v>528</v>
      </c>
      <c r="B889" s="291" t="str">
        <f>B551</f>
        <v>Number of patients to be enrolled</v>
      </c>
      <c r="C889" s="91"/>
      <c r="D889" s="91"/>
      <c r="E889" s="89">
        <f>E551</f>
        <v>27</v>
      </c>
      <c r="F889" s="89">
        <f t="shared" ref="F889:J889" si="2155">F551</f>
        <v>27</v>
      </c>
      <c r="G889" s="89">
        <f t="shared" si="2155"/>
        <v>26</v>
      </c>
      <c r="H889" s="89">
        <f t="shared" si="2155"/>
        <v>27</v>
      </c>
      <c r="I889" s="89">
        <f t="shared" si="2155"/>
        <v>28</v>
      </c>
      <c r="J889" s="89">
        <f t="shared" si="2155"/>
        <v>28</v>
      </c>
      <c r="K889" s="89">
        <f t="shared" ref="K889:L889" si="2156">K551</f>
        <v>28</v>
      </c>
      <c r="L889" s="89">
        <f t="shared" si="2156"/>
        <v>27</v>
      </c>
      <c r="M889" s="167">
        <f t="shared" ref="M889:M895" si="2157">SUM(F889:H889)</f>
        <v>80</v>
      </c>
      <c r="N889" s="94">
        <f t="shared" ref="N889:N895" si="2158">SUM(F889:J889)</f>
        <v>136</v>
      </c>
      <c r="O889" s="1316">
        <f t="shared" si="2083"/>
        <v>111</v>
      </c>
      <c r="S889" s="95"/>
      <c r="T889" s="1103"/>
    </row>
    <row r="890" spans="1:20">
      <c r="A890" s="160" t="s">
        <v>529</v>
      </c>
      <c r="B890" s="291" t="str">
        <f t="shared" ref="B890:B892" si="2159">B552</f>
        <v>Percentage of patients requiring Xpert investigations</v>
      </c>
      <c r="C890" s="163"/>
      <c r="D890" s="163"/>
      <c r="E890" s="272">
        <f>E552</f>
        <v>0</v>
      </c>
      <c r="F890" s="272">
        <f t="shared" ref="F890:J890" si="2160">F552</f>
        <v>0</v>
      </c>
      <c r="G890" s="272">
        <f t="shared" si="2160"/>
        <v>0</v>
      </c>
      <c r="H890" s="272">
        <f t="shared" si="2160"/>
        <v>0</v>
      </c>
      <c r="I890" s="272">
        <f t="shared" si="2160"/>
        <v>0</v>
      </c>
      <c r="J890" s="272">
        <f t="shared" si="2160"/>
        <v>0</v>
      </c>
      <c r="K890" s="272">
        <f t="shared" ref="K890:L890" si="2161">K552</f>
        <v>0</v>
      </c>
      <c r="L890" s="272">
        <f t="shared" si="2161"/>
        <v>0</v>
      </c>
      <c r="M890" s="167"/>
      <c r="N890" s="94"/>
      <c r="O890" s="1316">
        <f t="shared" si="2083"/>
        <v>0</v>
      </c>
      <c r="Q890" s="95"/>
      <c r="S890" s="95"/>
      <c r="T890" s="1103"/>
    </row>
    <row r="891" spans="1:20">
      <c r="A891" s="160" t="s">
        <v>530</v>
      </c>
      <c r="B891" s="291" t="str">
        <f t="shared" si="2159"/>
        <v>Target number of patients to be tested with Xpert</v>
      </c>
      <c r="C891" s="91"/>
      <c r="D891" s="91"/>
      <c r="E891" s="89">
        <f>E889*E890</f>
        <v>0</v>
      </c>
      <c r="F891" s="89">
        <f t="shared" ref="F891:J891" si="2162">F889*F890</f>
        <v>0</v>
      </c>
      <c r="G891" s="89">
        <f t="shared" si="2162"/>
        <v>0</v>
      </c>
      <c r="H891" s="89">
        <f t="shared" si="2162"/>
        <v>0</v>
      </c>
      <c r="I891" s="89">
        <f t="shared" si="2162"/>
        <v>0</v>
      </c>
      <c r="J891" s="89">
        <f t="shared" si="2162"/>
        <v>0</v>
      </c>
      <c r="K891" s="89">
        <f t="shared" ref="K891:L891" si="2163">K889*K890</f>
        <v>0</v>
      </c>
      <c r="L891" s="89">
        <f t="shared" si="2163"/>
        <v>0</v>
      </c>
      <c r="M891" s="167">
        <f t="shared" si="2157"/>
        <v>0</v>
      </c>
      <c r="N891" s="94">
        <f t="shared" si="2158"/>
        <v>0</v>
      </c>
      <c r="O891" s="1316">
        <f t="shared" si="2083"/>
        <v>0</v>
      </c>
      <c r="S891" s="95"/>
      <c r="T891" s="1103"/>
    </row>
    <row r="892" spans="1:20">
      <c r="A892" s="160" t="s">
        <v>531</v>
      </c>
      <c r="B892" s="291" t="str">
        <f t="shared" si="2159"/>
        <v>Xpert repetition rate</v>
      </c>
      <c r="C892" s="91"/>
      <c r="D892" s="91"/>
      <c r="E892" s="272">
        <f>E554</f>
        <v>0.06</v>
      </c>
      <c r="F892" s="272">
        <f t="shared" ref="F892:J892" si="2164">F554</f>
        <v>5.5E-2</v>
      </c>
      <c r="G892" s="272">
        <f t="shared" si="2164"/>
        <v>0.05</v>
      </c>
      <c r="H892" s="272">
        <f t="shared" si="2164"/>
        <v>4.4999999999999998E-2</v>
      </c>
      <c r="I892" s="272">
        <f t="shared" si="2164"/>
        <v>4.2500000000000003E-2</v>
      </c>
      <c r="J892" s="272">
        <f t="shared" si="2164"/>
        <v>0.04</v>
      </c>
      <c r="K892" s="272">
        <f t="shared" ref="K892:L892" si="2165">K554</f>
        <v>0.04</v>
      </c>
      <c r="L892" s="272">
        <f t="shared" si="2165"/>
        <v>0.04</v>
      </c>
      <c r="M892" s="167"/>
      <c r="N892" s="94"/>
      <c r="O892" s="1316"/>
      <c r="S892" s="95"/>
      <c r="T892" s="1103"/>
    </row>
    <row r="893" spans="1:20">
      <c r="A893" s="160" t="s">
        <v>532</v>
      </c>
      <c r="B893" s="291" t="str">
        <f>B556</f>
        <v>Number of Xpert investigations (persons)</v>
      </c>
      <c r="C893" s="91"/>
      <c r="D893" s="790" t="s">
        <v>1714</v>
      </c>
      <c r="E893" s="264">
        <f>E891*(1+E892)</f>
        <v>0</v>
      </c>
      <c r="F893" s="264">
        <f t="shared" ref="F893:J893" si="2166">F891*(1+F892)</f>
        <v>0</v>
      </c>
      <c r="G893" s="264">
        <f t="shared" si="2166"/>
        <v>0</v>
      </c>
      <c r="H893" s="264">
        <f t="shared" si="2166"/>
        <v>0</v>
      </c>
      <c r="I893" s="264">
        <f t="shared" si="2166"/>
        <v>0</v>
      </c>
      <c r="J893" s="264">
        <f t="shared" si="2166"/>
        <v>0</v>
      </c>
      <c r="K893" s="264">
        <f t="shared" ref="K893:L893" si="2167">K891*(1+K892)</f>
        <v>0</v>
      </c>
      <c r="L893" s="264">
        <f t="shared" si="2167"/>
        <v>0</v>
      </c>
      <c r="M893" s="167">
        <f t="shared" si="2157"/>
        <v>0</v>
      </c>
      <c r="N893" s="94">
        <f t="shared" si="2158"/>
        <v>0</v>
      </c>
      <c r="O893" s="1316">
        <f t="shared" si="2083"/>
        <v>0</v>
      </c>
      <c r="S893" s="95"/>
      <c r="T893" s="1103"/>
    </row>
    <row r="894" spans="1:20">
      <c r="A894" s="160" t="s">
        <v>533</v>
      </c>
      <c r="B894" s="291" t="str">
        <f t="shared" ref="B894:B895" si="2168">B557</f>
        <v>Average number of cartridges per 1 Xpert investigation</v>
      </c>
      <c r="C894" s="163"/>
      <c r="D894" s="790"/>
      <c r="E894" s="292">
        <f>E557</f>
        <v>1.08</v>
      </c>
      <c r="F894" s="292">
        <f t="shared" ref="F894:J894" si="2169">F557</f>
        <v>1.07</v>
      </c>
      <c r="G894" s="292">
        <f t="shared" si="2169"/>
        <v>1.06</v>
      </c>
      <c r="H894" s="292">
        <f t="shared" si="2169"/>
        <v>1.05</v>
      </c>
      <c r="I894" s="292">
        <f t="shared" si="2169"/>
        <v>1.04</v>
      </c>
      <c r="J894" s="292">
        <f t="shared" si="2169"/>
        <v>1.03</v>
      </c>
      <c r="K894" s="292">
        <f t="shared" ref="K894:L894" si="2170">K557</f>
        <v>1.03</v>
      </c>
      <c r="L894" s="292">
        <f t="shared" si="2170"/>
        <v>1.03</v>
      </c>
      <c r="M894" s="167"/>
      <c r="N894" s="94"/>
      <c r="O894" s="1316"/>
      <c r="P894" s="95"/>
      <c r="Q894" s="95"/>
      <c r="S894" s="95"/>
      <c r="T894" s="1103"/>
    </row>
    <row r="895" spans="1:20">
      <c r="A895" s="160" t="s">
        <v>534</v>
      </c>
      <c r="B895" s="291" t="str">
        <f t="shared" si="2168"/>
        <v>Number of Xpert tests (cartridges)</v>
      </c>
      <c r="C895" s="91"/>
      <c r="D895" s="790" t="s">
        <v>1714</v>
      </c>
      <c r="E895" s="264">
        <f>E893*E894</f>
        <v>0</v>
      </c>
      <c r="F895" s="264">
        <f t="shared" ref="F895:J895" si="2171">F893*F894</f>
        <v>0</v>
      </c>
      <c r="G895" s="264">
        <f t="shared" si="2171"/>
        <v>0</v>
      </c>
      <c r="H895" s="264">
        <f t="shared" si="2171"/>
        <v>0</v>
      </c>
      <c r="I895" s="264">
        <f t="shared" si="2171"/>
        <v>0</v>
      </c>
      <c r="J895" s="264">
        <f t="shared" si="2171"/>
        <v>0</v>
      </c>
      <c r="K895" s="264">
        <f t="shared" ref="K895:L895" si="2172">K893*K894</f>
        <v>0</v>
      </c>
      <c r="L895" s="264">
        <f t="shared" si="2172"/>
        <v>0</v>
      </c>
      <c r="M895" s="167">
        <f t="shared" si="2157"/>
        <v>0</v>
      </c>
      <c r="N895" s="94">
        <f t="shared" si="2158"/>
        <v>0</v>
      </c>
      <c r="O895" s="1316">
        <f t="shared" si="2083"/>
        <v>0</v>
      </c>
      <c r="S895" s="95"/>
      <c r="T895" s="1103"/>
    </row>
    <row r="896" spans="1:20">
      <c r="A896" s="162">
        <v>2.6</v>
      </c>
      <c r="B896" s="159" t="str">
        <f>B609</f>
        <v>Other treatment and palliative care</v>
      </c>
      <c r="C896" s="154"/>
      <c r="D896" s="154"/>
      <c r="E896" s="89"/>
      <c r="F896" s="89"/>
      <c r="G896" s="89"/>
      <c r="H896" s="89"/>
      <c r="I896" s="89"/>
      <c r="J896" s="89"/>
      <c r="K896" s="89"/>
      <c r="L896" s="89"/>
      <c r="M896" s="167"/>
      <c r="N896" s="94"/>
      <c r="O896" s="1316">
        <f t="shared" si="2083"/>
        <v>0</v>
      </c>
      <c r="S896" s="95"/>
      <c r="T896" s="1103"/>
    </row>
    <row r="897" spans="1:20">
      <c r="A897" s="160" t="s">
        <v>537</v>
      </c>
      <c r="B897" s="291" t="str">
        <f>B620</f>
        <v>Number of patients to be enrolled</v>
      </c>
      <c r="C897" s="91"/>
      <c r="D897" s="91"/>
      <c r="E897" s="89">
        <f>E620</f>
        <v>8</v>
      </c>
      <c r="F897" s="89">
        <f t="shared" ref="F897:J897" si="2173">F620</f>
        <v>7.9999999999995453</v>
      </c>
      <c r="G897" s="89">
        <f t="shared" si="2173"/>
        <v>8.9999999999995453</v>
      </c>
      <c r="H897" s="89">
        <f t="shared" si="2173"/>
        <v>9</v>
      </c>
      <c r="I897" s="89">
        <f t="shared" si="2173"/>
        <v>8.0000000000004547</v>
      </c>
      <c r="J897" s="89">
        <f t="shared" si="2173"/>
        <v>9</v>
      </c>
      <c r="K897" s="89">
        <f t="shared" ref="K897:L897" si="2174">K620</f>
        <v>8</v>
      </c>
      <c r="L897" s="89">
        <f t="shared" si="2174"/>
        <v>9</v>
      </c>
      <c r="M897" s="167">
        <f t="shared" ref="M897:M903" si="2175">SUM(F897:H897)</f>
        <v>25.999999999999091</v>
      </c>
      <c r="N897" s="94">
        <f t="shared" ref="N897:N903" si="2176">SUM(F897:J897)</f>
        <v>42.999999999999545</v>
      </c>
      <c r="O897" s="1316">
        <f t="shared" si="2083"/>
        <v>34.000000000000455</v>
      </c>
      <c r="S897" s="95"/>
      <c r="T897" s="1103"/>
    </row>
    <row r="898" spans="1:20">
      <c r="A898" s="160" t="s">
        <v>538</v>
      </c>
      <c r="B898" s="291" t="str">
        <f t="shared" ref="B898:B900" si="2177">B621</f>
        <v>Percentage of patients requiring Xpert investigations</v>
      </c>
      <c r="C898" s="163"/>
      <c r="D898" s="163"/>
      <c r="E898" s="272">
        <f>E621</f>
        <v>0</v>
      </c>
      <c r="F898" s="272">
        <f t="shared" ref="F898:J898" si="2178">F621</f>
        <v>0</v>
      </c>
      <c r="G898" s="272">
        <f t="shared" si="2178"/>
        <v>0</v>
      </c>
      <c r="H898" s="272">
        <f t="shared" si="2178"/>
        <v>0</v>
      </c>
      <c r="I898" s="272">
        <f t="shared" si="2178"/>
        <v>0</v>
      </c>
      <c r="J898" s="272">
        <f t="shared" si="2178"/>
        <v>0</v>
      </c>
      <c r="K898" s="272">
        <f t="shared" ref="K898:L898" si="2179">K621</f>
        <v>0</v>
      </c>
      <c r="L898" s="272">
        <f t="shared" si="2179"/>
        <v>0</v>
      </c>
      <c r="M898" s="167"/>
      <c r="N898" s="94"/>
      <c r="O898" s="1316">
        <f t="shared" si="2083"/>
        <v>0</v>
      </c>
      <c r="Q898" s="95"/>
      <c r="S898" s="95"/>
      <c r="T898" s="1103"/>
    </row>
    <row r="899" spans="1:20">
      <c r="A899" s="160" t="s">
        <v>539</v>
      </c>
      <c r="B899" s="291" t="str">
        <f t="shared" si="2177"/>
        <v>Target number of patients to be tested with Xpert</v>
      </c>
      <c r="C899" s="91"/>
      <c r="D899" s="91"/>
      <c r="E899" s="89">
        <f>E897*E898</f>
        <v>0</v>
      </c>
      <c r="F899" s="89">
        <f t="shared" ref="F899:J899" si="2180">F897*F898</f>
        <v>0</v>
      </c>
      <c r="G899" s="89">
        <f t="shared" si="2180"/>
        <v>0</v>
      </c>
      <c r="H899" s="89">
        <f t="shared" si="2180"/>
        <v>0</v>
      </c>
      <c r="I899" s="89">
        <f t="shared" si="2180"/>
        <v>0</v>
      </c>
      <c r="J899" s="89">
        <f t="shared" si="2180"/>
        <v>0</v>
      </c>
      <c r="K899" s="89">
        <f t="shared" ref="K899:L899" si="2181">K897*K898</f>
        <v>0</v>
      </c>
      <c r="L899" s="89">
        <f t="shared" si="2181"/>
        <v>0</v>
      </c>
      <c r="M899" s="167">
        <f t="shared" si="2175"/>
        <v>0</v>
      </c>
      <c r="N899" s="94">
        <f t="shared" si="2176"/>
        <v>0</v>
      </c>
      <c r="O899" s="1316">
        <f t="shared" si="2083"/>
        <v>0</v>
      </c>
      <c r="S899" s="95"/>
      <c r="T899" s="1103"/>
    </row>
    <row r="900" spans="1:20">
      <c r="A900" s="160" t="s">
        <v>540</v>
      </c>
      <c r="B900" s="291" t="str">
        <f t="shared" si="2177"/>
        <v>Xpert repetition rate</v>
      </c>
      <c r="C900" s="91"/>
      <c r="D900" s="91"/>
      <c r="E900" s="272">
        <f>E623</f>
        <v>0.06</v>
      </c>
      <c r="F900" s="272">
        <f t="shared" ref="F900:J900" si="2182">F623</f>
        <v>5.5E-2</v>
      </c>
      <c r="G900" s="272">
        <f t="shared" si="2182"/>
        <v>0.05</v>
      </c>
      <c r="H900" s="272">
        <f t="shared" si="2182"/>
        <v>4.4999999999999998E-2</v>
      </c>
      <c r="I900" s="272">
        <f t="shared" si="2182"/>
        <v>4.2500000000000003E-2</v>
      </c>
      <c r="J900" s="272">
        <f t="shared" si="2182"/>
        <v>0.04</v>
      </c>
      <c r="K900" s="272">
        <f t="shared" ref="K900:L900" si="2183">K623</f>
        <v>0.04</v>
      </c>
      <c r="L900" s="272">
        <f t="shared" si="2183"/>
        <v>0.04</v>
      </c>
      <c r="M900" s="167"/>
      <c r="N900" s="94"/>
      <c r="O900" s="1316"/>
      <c r="S900" s="95"/>
      <c r="T900" s="1103"/>
    </row>
    <row r="901" spans="1:20">
      <c r="A901" s="160" t="s">
        <v>541</v>
      </c>
      <c r="B901" s="291" t="str">
        <f>B625</f>
        <v>Number of Xpert investigations (persons)</v>
      </c>
      <c r="C901" s="91"/>
      <c r="D901" s="790" t="s">
        <v>1714</v>
      </c>
      <c r="E901" s="264">
        <f>E899*(1+E900)</f>
        <v>0</v>
      </c>
      <c r="F901" s="264">
        <f t="shared" ref="F901:J901" si="2184">F899*(1+F900)</f>
        <v>0</v>
      </c>
      <c r="G901" s="264">
        <f t="shared" si="2184"/>
        <v>0</v>
      </c>
      <c r="H901" s="264">
        <f t="shared" si="2184"/>
        <v>0</v>
      </c>
      <c r="I901" s="264">
        <f t="shared" si="2184"/>
        <v>0</v>
      </c>
      <c r="J901" s="264">
        <f t="shared" si="2184"/>
        <v>0</v>
      </c>
      <c r="K901" s="264">
        <f t="shared" ref="K901:L901" si="2185">K899*(1+K900)</f>
        <v>0</v>
      </c>
      <c r="L901" s="264">
        <f t="shared" si="2185"/>
        <v>0</v>
      </c>
      <c r="M901" s="167">
        <f t="shared" si="2175"/>
        <v>0</v>
      </c>
      <c r="N901" s="94">
        <f t="shared" si="2176"/>
        <v>0</v>
      </c>
      <c r="O901" s="1316">
        <f t="shared" si="2083"/>
        <v>0</v>
      </c>
      <c r="S901" s="95"/>
      <c r="T901" s="1103"/>
    </row>
    <row r="902" spans="1:20">
      <c r="A902" s="160" t="s">
        <v>542</v>
      </c>
      <c r="B902" s="291" t="str">
        <f t="shared" ref="B902:B903" si="2186">B626</f>
        <v>Average number of cartridges per 1 Xpert investigation</v>
      </c>
      <c r="C902" s="163"/>
      <c r="D902" s="790"/>
      <c r="E902" s="292">
        <f>E626</f>
        <v>1.08</v>
      </c>
      <c r="F902" s="292">
        <f t="shared" ref="F902:J902" si="2187">F626</f>
        <v>1.07</v>
      </c>
      <c r="G902" s="292">
        <f t="shared" si="2187"/>
        <v>1.06</v>
      </c>
      <c r="H902" s="292">
        <f t="shared" si="2187"/>
        <v>1.05</v>
      </c>
      <c r="I902" s="292">
        <f t="shared" si="2187"/>
        <v>1.04</v>
      </c>
      <c r="J902" s="292">
        <f t="shared" si="2187"/>
        <v>1.03</v>
      </c>
      <c r="K902" s="292">
        <f t="shared" ref="K902:L902" si="2188">K626</f>
        <v>1.03</v>
      </c>
      <c r="L902" s="292">
        <f t="shared" si="2188"/>
        <v>1.03</v>
      </c>
      <c r="M902" s="167"/>
      <c r="N902" s="94"/>
      <c r="O902" s="1316"/>
      <c r="P902" s="95"/>
      <c r="Q902" s="95"/>
      <c r="S902" s="95"/>
      <c r="T902" s="1103"/>
    </row>
    <row r="903" spans="1:20">
      <c r="A903" s="160" t="s">
        <v>543</v>
      </c>
      <c r="B903" s="291" t="str">
        <f t="shared" si="2186"/>
        <v>Number of Xpert tests (cartridges)</v>
      </c>
      <c r="C903" s="91"/>
      <c r="D903" s="790" t="s">
        <v>1714</v>
      </c>
      <c r="E903" s="264">
        <f>E901*E902</f>
        <v>0</v>
      </c>
      <c r="F903" s="264">
        <f t="shared" ref="F903:J903" si="2189">F901*F902</f>
        <v>0</v>
      </c>
      <c r="G903" s="264">
        <f t="shared" si="2189"/>
        <v>0</v>
      </c>
      <c r="H903" s="264">
        <f t="shared" si="2189"/>
        <v>0</v>
      </c>
      <c r="I903" s="264">
        <f t="shared" si="2189"/>
        <v>0</v>
      </c>
      <c r="J903" s="264">
        <f t="shared" si="2189"/>
        <v>0</v>
      </c>
      <c r="K903" s="264">
        <f t="shared" ref="K903:L903" si="2190">K901*K902</f>
        <v>0</v>
      </c>
      <c r="L903" s="264">
        <f t="shared" si="2190"/>
        <v>0</v>
      </c>
      <c r="M903" s="167">
        <f t="shared" si="2175"/>
        <v>0</v>
      </c>
      <c r="N903" s="94">
        <f t="shared" si="2176"/>
        <v>0</v>
      </c>
      <c r="O903" s="1316">
        <f t="shared" si="2083"/>
        <v>0</v>
      </c>
      <c r="S903" s="95"/>
      <c r="T903" s="1103"/>
    </row>
    <row r="904" spans="1:20">
      <c r="A904" s="183">
        <v>3</v>
      </c>
      <c r="B904" s="182" t="s">
        <v>1716</v>
      </c>
      <c r="C904" s="183"/>
      <c r="D904" s="290"/>
      <c r="E904" s="184"/>
      <c r="F904" s="184"/>
      <c r="G904" s="184"/>
      <c r="H904" s="184"/>
      <c r="I904" s="184"/>
      <c r="J904" s="184"/>
      <c r="K904" s="184"/>
      <c r="L904" s="184"/>
      <c r="M904" s="180"/>
      <c r="N904" s="181"/>
      <c r="O904" s="1316">
        <f t="shared" si="2083"/>
        <v>0</v>
      </c>
      <c r="S904" s="95"/>
      <c r="T904" s="1103"/>
    </row>
    <row r="905" spans="1:20">
      <c r="A905" s="162">
        <v>3.1</v>
      </c>
      <c r="B905" s="159" t="s">
        <v>299</v>
      </c>
      <c r="C905" s="154"/>
      <c r="D905" s="154"/>
      <c r="E905" s="89"/>
      <c r="F905" s="89"/>
      <c r="G905" s="89"/>
      <c r="H905" s="89"/>
      <c r="I905" s="89"/>
      <c r="J905" s="89"/>
      <c r="K905" s="89"/>
      <c r="L905" s="89"/>
      <c r="M905" s="167"/>
      <c r="N905" s="94"/>
      <c r="O905" s="1316">
        <f t="shared" si="2083"/>
        <v>0</v>
      </c>
      <c r="S905" s="95"/>
      <c r="T905" s="1103"/>
    </row>
    <row r="906" spans="1:20">
      <c r="A906" s="160" t="s">
        <v>368</v>
      </c>
      <c r="B906" s="291" t="s">
        <v>663</v>
      </c>
      <c r="C906" s="91"/>
      <c r="D906" s="790" t="s">
        <v>1714</v>
      </c>
      <c r="E906" s="89">
        <f>E852</f>
        <v>24265.920000000002</v>
      </c>
      <c r="F906" s="89">
        <f t="shared" ref="F906:J906" si="2191">F852</f>
        <v>24410.232000000004</v>
      </c>
      <c r="G906" s="89">
        <f t="shared" si="2191"/>
        <v>24148.080000000002</v>
      </c>
      <c r="H906" s="89">
        <f t="shared" si="2191"/>
        <v>23525.9496</v>
      </c>
      <c r="I906" s="89">
        <f t="shared" si="2191"/>
        <v>23198.515199999998</v>
      </c>
      <c r="J906" s="89">
        <f t="shared" si="2191"/>
        <v>22618.440000000002</v>
      </c>
      <c r="K906" s="89">
        <f t="shared" ref="K906:L906" si="2192">K852</f>
        <v>21927.672000000002</v>
      </c>
      <c r="L906" s="89">
        <f t="shared" si="2192"/>
        <v>21363.263999999999</v>
      </c>
      <c r="M906" s="167">
        <f t="shared" ref="M906:M908" si="2193">SUM(F906:H906)</f>
        <v>72084.261599999998</v>
      </c>
      <c r="N906" s="94">
        <f t="shared" ref="N906:N908" si="2194">SUM(F906:J906)</f>
        <v>117901.21679999999</v>
      </c>
      <c r="O906" s="1316">
        <f t="shared" si="2083"/>
        <v>89107.891199999998</v>
      </c>
      <c r="S906" s="95"/>
      <c r="T906" s="1103"/>
    </row>
    <row r="907" spans="1:20">
      <c r="A907" s="160" t="s">
        <v>369</v>
      </c>
      <c r="B907" s="291" t="s">
        <v>664</v>
      </c>
      <c r="C907" s="163"/>
      <c r="D907" s="790" t="s">
        <v>1714</v>
      </c>
      <c r="E907" s="89">
        <f>SUM(E861,E869,E877,E885,E893,E901)</f>
        <v>349.37599999999998</v>
      </c>
      <c r="F907" s="89">
        <f t="shared" ref="F907:J907" si="2195">SUM(F861,F869,F877,F885,F893,F901)</f>
        <v>319.87599999999998</v>
      </c>
      <c r="G907" s="89">
        <f t="shared" si="2195"/>
        <v>289.27500000000003</v>
      </c>
      <c r="H907" s="89">
        <f t="shared" si="2195"/>
        <v>272.11799999999999</v>
      </c>
      <c r="I907" s="89">
        <f t="shared" si="2195"/>
        <v>258.95700000000005</v>
      </c>
      <c r="J907" s="89">
        <f t="shared" si="2195"/>
        <v>247.52000000000004</v>
      </c>
      <c r="K907" s="89">
        <f t="shared" ref="K907:L907" si="2196">SUM(K861,K869,K877,K885,K893,K901)</f>
        <v>239.40800000000002</v>
      </c>
      <c r="L907" s="89">
        <f t="shared" si="2196"/>
        <v>232.75200000000001</v>
      </c>
      <c r="M907" s="167">
        <f t="shared" si="2193"/>
        <v>881.26900000000001</v>
      </c>
      <c r="N907" s="94">
        <f t="shared" si="2194"/>
        <v>1387.7460000000001</v>
      </c>
      <c r="O907" s="1316">
        <f t="shared" si="2083"/>
        <v>978.63700000000017</v>
      </c>
      <c r="Q907" s="95"/>
      <c r="S907" s="95"/>
      <c r="T907" s="1103"/>
    </row>
    <row r="908" spans="1:20">
      <c r="A908" s="160" t="s">
        <v>370</v>
      </c>
      <c r="B908" s="291" t="s">
        <v>4</v>
      </c>
      <c r="C908" s="91"/>
      <c r="D908" s="790" t="s">
        <v>1714</v>
      </c>
      <c r="E908" s="89">
        <f>SUM(E906:E907)</f>
        <v>24615.296000000002</v>
      </c>
      <c r="F908" s="89">
        <f t="shared" ref="F908:J908" si="2197">SUM(F906:F907)</f>
        <v>24730.108000000004</v>
      </c>
      <c r="G908" s="89">
        <f t="shared" si="2197"/>
        <v>24437.355000000003</v>
      </c>
      <c r="H908" s="89">
        <f t="shared" si="2197"/>
        <v>23798.067599999998</v>
      </c>
      <c r="I908" s="89">
        <f t="shared" si="2197"/>
        <v>23457.472199999997</v>
      </c>
      <c r="J908" s="89">
        <f t="shared" si="2197"/>
        <v>22865.960000000003</v>
      </c>
      <c r="K908" s="89">
        <f t="shared" ref="K908:L908" si="2198">SUM(K906:K907)</f>
        <v>22167.08</v>
      </c>
      <c r="L908" s="89">
        <f t="shared" si="2198"/>
        <v>21596.016</v>
      </c>
      <c r="M908" s="167">
        <f t="shared" si="2193"/>
        <v>72965.530599999998</v>
      </c>
      <c r="N908" s="94">
        <f t="shared" si="2194"/>
        <v>119288.96279999999</v>
      </c>
      <c r="O908" s="1316">
        <f t="shared" si="2083"/>
        <v>90086.528200000001</v>
      </c>
      <c r="S908" s="95"/>
      <c r="T908" s="1103"/>
    </row>
    <row r="909" spans="1:20">
      <c r="A909" s="162">
        <v>3.2</v>
      </c>
      <c r="B909" s="159" t="s">
        <v>300</v>
      </c>
      <c r="C909" s="154"/>
      <c r="D909" s="154"/>
      <c r="E909" s="89"/>
      <c r="F909" s="89"/>
      <c r="G909" s="89"/>
      <c r="H909" s="89"/>
      <c r="I909" s="89"/>
      <c r="J909" s="89"/>
      <c r="K909" s="89"/>
      <c r="L909" s="89"/>
      <c r="M909" s="167"/>
      <c r="N909" s="94"/>
      <c r="O909" s="1316">
        <f t="shared" si="2083"/>
        <v>0</v>
      </c>
      <c r="S909" s="95"/>
      <c r="T909" s="1103"/>
    </row>
    <row r="910" spans="1:20">
      <c r="A910" s="160" t="s">
        <v>376</v>
      </c>
      <c r="B910" s="291" t="s">
        <v>663</v>
      </c>
      <c r="C910" s="91"/>
      <c r="D910" s="790" t="s">
        <v>1714</v>
      </c>
      <c r="E910" s="89">
        <f>E854</f>
        <v>26207.193600000002</v>
      </c>
      <c r="F910" s="89">
        <f t="shared" ref="F910:J910" si="2199">F854</f>
        <v>26118.948240000005</v>
      </c>
      <c r="G910" s="89">
        <f t="shared" si="2199"/>
        <v>25596.964800000002</v>
      </c>
      <c r="H910" s="89">
        <f t="shared" si="2199"/>
        <v>24702.247080000001</v>
      </c>
      <c r="I910" s="89">
        <f t="shared" si="2199"/>
        <v>24126.455807999999</v>
      </c>
      <c r="J910" s="89">
        <f t="shared" si="2199"/>
        <v>23296.993200000004</v>
      </c>
      <c r="K910" s="89">
        <f t="shared" ref="K910:L910" si="2200">K854</f>
        <v>22585.502160000004</v>
      </c>
      <c r="L910" s="89">
        <f t="shared" si="2200"/>
        <v>22004.161919999999</v>
      </c>
      <c r="M910" s="167">
        <f t="shared" ref="M910:M912" si="2201">SUM(F910:H910)</f>
        <v>76418.160120000015</v>
      </c>
      <c r="N910" s="94">
        <f t="shared" ref="N910:N912" si="2202">SUM(F910:J910)</f>
        <v>123841.60912800001</v>
      </c>
      <c r="O910" s="1316">
        <f t="shared" si="2083"/>
        <v>92013.113087999998</v>
      </c>
      <c r="S910" s="95"/>
      <c r="T910" s="1103"/>
    </row>
    <row r="911" spans="1:20">
      <c r="A911" s="160" t="s">
        <v>377</v>
      </c>
      <c r="B911" s="291" t="s">
        <v>664</v>
      </c>
      <c r="C911" s="163"/>
      <c r="D911" s="790" t="s">
        <v>1714</v>
      </c>
      <c r="E911" s="89">
        <f>SUM(E863,E871,E879,E887,E895,E903)</f>
        <v>377.32608000000005</v>
      </c>
      <c r="F911" s="89">
        <f t="shared" ref="F911:J911" si="2203">SUM(F863,F871,F879,F887,F895,F903)</f>
        <v>342.26731999999998</v>
      </c>
      <c r="G911" s="89">
        <f t="shared" si="2203"/>
        <v>306.63150000000002</v>
      </c>
      <c r="H911" s="89">
        <f t="shared" si="2203"/>
        <v>285.72390000000001</v>
      </c>
      <c r="I911" s="89">
        <f t="shared" si="2203"/>
        <v>269.31528000000003</v>
      </c>
      <c r="J911" s="89">
        <f t="shared" si="2203"/>
        <v>254.94560000000004</v>
      </c>
      <c r="K911" s="89">
        <f t="shared" ref="K911:L911" si="2204">SUM(K863,K871,K879,K887,K895,K903)</f>
        <v>246.59024000000005</v>
      </c>
      <c r="L911" s="89">
        <f t="shared" si="2204"/>
        <v>239.73456000000002</v>
      </c>
      <c r="M911" s="167">
        <f t="shared" si="2201"/>
        <v>934.62272000000007</v>
      </c>
      <c r="N911" s="94">
        <f t="shared" si="2202"/>
        <v>1458.8836000000001</v>
      </c>
      <c r="O911" s="1316">
        <f t="shared" si="2083"/>
        <v>1010.58568</v>
      </c>
      <c r="Q911" s="95"/>
      <c r="S911" s="95"/>
      <c r="T911" s="1103"/>
    </row>
    <row r="912" spans="1:20">
      <c r="A912" s="160" t="s">
        <v>378</v>
      </c>
      <c r="B912" s="291" t="s">
        <v>4</v>
      </c>
      <c r="C912" s="91"/>
      <c r="D912" s="790" t="s">
        <v>1714</v>
      </c>
      <c r="E912" s="89">
        <f>SUM(E910:E911)</f>
        <v>26584.519680000001</v>
      </c>
      <c r="F912" s="89">
        <f t="shared" ref="F912" si="2205">SUM(F910:F911)</f>
        <v>26461.215560000004</v>
      </c>
      <c r="G912" s="89">
        <f t="shared" ref="G912" si="2206">SUM(G910:G911)</f>
        <v>25903.596300000001</v>
      </c>
      <c r="H912" s="89">
        <f t="shared" ref="H912" si="2207">SUM(H910:H911)</f>
        <v>24987.970980000002</v>
      </c>
      <c r="I912" s="89">
        <f t="shared" ref="I912" si="2208">SUM(I910:I911)</f>
        <v>24395.771087999998</v>
      </c>
      <c r="J912" s="89">
        <f t="shared" ref="J912:L912" si="2209">SUM(J910:J911)</f>
        <v>23551.938800000004</v>
      </c>
      <c r="K912" s="89">
        <f t="shared" si="2209"/>
        <v>22832.092400000005</v>
      </c>
      <c r="L912" s="89">
        <f t="shared" si="2209"/>
        <v>22243.896479999999</v>
      </c>
      <c r="M912" s="167">
        <f t="shared" si="2201"/>
        <v>77352.78284</v>
      </c>
      <c r="N912" s="94">
        <f t="shared" si="2202"/>
        <v>125300.492728</v>
      </c>
      <c r="O912" s="1316">
        <f t="shared" si="2083"/>
        <v>93023.698768000002</v>
      </c>
      <c r="S912" s="95"/>
      <c r="T912" s="1103"/>
    </row>
    <row r="913" spans="1:20">
      <c r="A913" s="183">
        <v>4</v>
      </c>
      <c r="B913" s="182" t="s">
        <v>1717</v>
      </c>
      <c r="C913" s="183"/>
      <c r="D913" s="290"/>
      <c r="E913" s="184"/>
      <c r="F913" s="184"/>
      <c r="G913" s="184"/>
      <c r="H913" s="184"/>
      <c r="I913" s="184"/>
      <c r="J913" s="184"/>
      <c r="K913" s="184"/>
      <c r="L913" s="184"/>
      <c r="M913" s="180"/>
      <c r="N913" s="181"/>
      <c r="O913" s="1316">
        <f t="shared" si="2083"/>
        <v>0</v>
      </c>
      <c r="S913" s="95"/>
      <c r="T913" s="1103"/>
    </row>
    <row r="914" spans="1:20">
      <c r="A914" s="162">
        <v>4.0999999999999996</v>
      </c>
      <c r="B914" s="159" t="s">
        <v>299</v>
      </c>
      <c r="C914" s="154"/>
      <c r="D914" s="154"/>
      <c r="E914" s="89"/>
      <c r="F914" s="89"/>
      <c r="G914" s="89"/>
      <c r="H914" s="89"/>
      <c r="I914" s="89"/>
      <c r="J914" s="89"/>
      <c r="K914" s="89"/>
      <c r="L914" s="89"/>
      <c r="M914" s="167"/>
      <c r="N914" s="94"/>
      <c r="O914" s="1316">
        <f t="shared" si="2083"/>
        <v>0</v>
      </c>
      <c r="S914" s="95"/>
      <c r="T914" s="1103"/>
    </row>
    <row r="915" spans="1:20">
      <c r="A915" s="160" t="s">
        <v>393</v>
      </c>
      <c r="B915" s="291" t="s">
        <v>663</v>
      </c>
      <c r="C915" s="91"/>
      <c r="D915" s="91"/>
      <c r="E915" s="89">
        <f>E214</f>
        <v>12132.96</v>
      </c>
      <c r="F915" s="89">
        <f t="shared" ref="F915:J915" si="2210">F214</f>
        <v>17087.162400000001</v>
      </c>
      <c r="G915" s="89">
        <f t="shared" si="2210"/>
        <v>19318.464</v>
      </c>
      <c r="H915" s="89">
        <f t="shared" si="2210"/>
        <v>19997.05716</v>
      </c>
      <c r="I915" s="89">
        <f t="shared" si="2210"/>
        <v>20878.663679999998</v>
      </c>
      <c r="J915" s="89">
        <f t="shared" si="2210"/>
        <v>21487.518</v>
      </c>
      <c r="K915" s="89">
        <f t="shared" ref="K915:L915" si="2211">K214</f>
        <v>20831.288399999998</v>
      </c>
      <c r="L915" s="89">
        <f t="shared" si="2211"/>
        <v>20295.1008</v>
      </c>
      <c r="M915" s="167">
        <f t="shared" ref="M915:M923" si="2212">SUM(F915:H915)</f>
        <v>56402.683560000005</v>
      </c>
      <c r="N915" s="94">
        <f t="shared" ref="N915:N923" si="2213">SUM(F915:J915)</f>
        <v>98768.865239999999</v>
      </c>
      <c r="O915" s="1316">
        <f t="shared" si="2083"/>
        <v>83492.570879999985</v>
      </c>
      <c r="S915" s="95"/>
      <c r="T915" s="1103"/>
    </row>
    <row r="916" spans="1:20">
      <c r="A916" s="160" t="s">
        <v>394</v>
      </c>
      <c r="B916" s="291" t="s">
        <v>664</v>
      </c>
      <c r="C916" s="163"/>
      <c r="D916" s="163"/>
      <c r="E916" s="89">
        <f>SUM(E917:E922)</f>
        <v>174.68799999999999</v>
      </c>
      <c r="F916" s="89">
        <f t="shared" ref="F916:J916" si="2214">SUM(F917:F922)</f>
        <v>223.91319999999996</v>
      </c>
      <c r="G916" s="89">
        <f t="shared" si="2214"/>
        <v>231.42000000000004</v>
      </c>
      <c r="H916" s="89">
        <f t="shared" si="2214"/>
        <v>231.30029999999999</v>
      </c>
      <c r="I916" s="89">
        <f t="shared" si="2214"/>
        <v>233.06130000000002</v>
      </c>
      <c r="J916" s="89">
        <f t="shared" si="2214"/>
        <v>235.14400000000001</v>
      </c>
      <c r="K916" s="89">
        <f t="shared" ref="K916:L916" si="2215">SUM(K917:K922)</f>
        <v>227.4376</v>
      </c>
      <c r="L916" s="89">
        <f t="shared" si="2215"/>
        <v>221.11440000000002</v>
      </c>
      <c r="M916" s="167">
        <f t="shared" si="2212"/>
        <v>686.63350000000003</v>
      </c>
      <c r="N916" s="94">
        <f t="shared" si="2213"/>
        <v>1154.8388</v>
      </c>
      <c r="O916" s="1316">
        <f t="shared" si="2083"/>
        <v>916.7573000000001</v>
      </c>
      <c r="Q916" s="95"/>
      <c r="S916" s="95"/>
      <c r="T916" s="1103"/>
    </row>
    <row r="917" spans="1:20">
      <c r="A917" s="160" t="s">
        <v>1718</v>
      </c>
      <c r="B917" s="791" t="str">
        <f>B264</f>
        <v>First-line treatment</v>
      </c>
      <c r="C917" s="91"/>
      <c r="D917" s="91"/>
      <c r="E917" s="89">
        <f>E280</f>
        <v>159.10599999999999</v>
      </c>
      <c r="F917" s="89">
        <f t="shared" ref="F917:J917" si="2216">F280</f>
        <v>204.56449999999995</v>
      </c>
      <c r="G917" s="89">
        <f t="shared" si="2216"/>
        <v>212.43600000000004</v>
      </c>
      <c r="H917" s="89">
        <f t="shared" si="2216"/>
        <v>213.00235000000001</v>
      </c>
      <c r="I917" s="89">
        <f t="shared" si="2216"/>
        <v>215.42220000000003</v>
      </c>
      <c r="J917" s="89">
        <f t="shared" si="2216"/>
        <v>218.54560000000001</v>
      </c>
      <c r="K917" s="89">
        <f t="shared" ref="K917:L917" si="2217">K280</f>
        <v>211.62960000000001</v>
      </c>
      <c r="L917" s="89">
        <f t="shared" si="2217"/>
        <v>205.89920000000001</v>
      </c>
      <c r="M917" s="167">
        <f t="shared" si="2212"/>
        <v>630.00284999999997</v>
      </c>
      <c r="N917" s="94">
        <f t="shared" si="2213"/>
        <v>1063.97065</v>
      </c>
      <c r="O917" s="1316">
        <f t="shared" si="2083"/>
        <v>851.49659999999994</v>
      </c>
      <c r="S917" s="95"/>
      <c r="T917" s="1103"/>
    </row>
    <row r="918" spans="1:20">
      <c r="A918" s="160" t="s">
        <v>1725</v>
      </c>
      <c r="B918" s="791" t="str">
        <f>B333</f>
        <v>PDR-TB</v>
      </c>
      <c r="C918" s="91"/>
      <c r="D918" s="91"/>
      <c r="E918" s="89">
        <f>E349</f>
        <v>15.582000000000003</v>
      </c>
      <c r="F918" s="89">
        <f t="shared" ref="F918:J918" si="2218">F349</f>
        <v>19.348700000000001</v>
      </c>
      <c r="G918" s="89">
        <f t="shared" si="2218"/>
        <v>18.984000000000005</v>
      </c>
      <c r="H918" s="89">
        <f t="shared" si="2218"/>
        <v>18.29795</v>
      </c>
      <c r="I918" s="89">
        <f t="shared" si="2218"/>
        <v>17.639099999999999</v>
      </c>
      <c r="J918" s="89">
        <f t="shared" si="2218"/>
        <v>16.598400000000002</v>
      </c>
      <c r="K918" s="89">
        <f t="shared" ref="K918:L918" si="2219">K349</f>
        <v>15.808</v>
      </c>
      <c r="L918" s="89">
        <f t="shared" si="2219"/>
        <v>15.215200000000001</v>
      </c>
      <c r="M918" s="167">
        <f t="shared" ref="M918:M919" si="2220">SUM(F918:H918)</f>
        <v>56.630650000000003</v>
      </c>
      <c r="N918" s="94">
        <f t="shared" ref="N918:N919" si="2221">SUM(F918:J918)</f>
        <v>90.86815</v>
      </c>
      <c r="O918" s="1316">
        <f t="shared" si="2083"/>
        <v>65.2607</v>
      </c>
      <c r="S918" s="95"/>
      <c r="T918" s="1103"/>
    </row>
    <row r="919" spans="1:20">
      <c r="A919" s="160" t="s">
        <v>1726</v>
      </c>
      <c r="B919" s="791" t="str">
        <f>B402</f>
        <v>MDR-TB: no resistance to SLDs</v>
      </c>
      <c r="C919" s="91"/>
      <c r="D919" s="91"/>
      <c r="E919" s="89">
        <f>E418</f>
        <v>0</v>
      </c>
      <c r="F919" s="89">
        <f t="shared" ref="F919:J919" si="2222">F418</f>
        <v>0</v>
      </c>
      <c r="G919" s="89">
        <f t="shared" si="2222"/>
        <v>0</v>
      </c>
      <c r="H919" s="89">
        <f t="shared" si="2222"/>
        <v>0</v>
      </c>
      <c r="I919" s="89">
        <f t="shared" si="2222"/>
        <v>0</v>
      </c>
      <c r="J919" s="89">
        <f t="shared" si="2222"/>
        <v>0</v>
      </c>
      <c r="K919" s="89">
        <f t="shared" ref="K919:L919" si="2223">K418</f>
        <v>0</v>
      </c>
      <c r="L919" s="89">
        <f t="shared" si="2223"/>
        <v>0</v>
      </c>
      <c r="M919" s="167">
        <f t="shared" si="2220"/>
        <v>0</v>
      </c>
      <c r="N919" s="94">
        <f t="shared" si="2221"/>
        <v>0</v>
      </c>
      <c r="O919" s="1316">
        <f t="shared" si="2083"/>
        <v>0</v>
      </c>
      <c r="S919" s="95"/>
      <c r="T919" s="1103"/>
    </row>
    <row r="920" spans="1:20">
      <c r="A920" s="160" t="s">
        <v>1727</v>
      </c>
      <c r="B920" s="791" t="str">
        <f>B471</f>
        <v>MDR-TB: 'pre-XDR'</v>
      </c>
      <c r="C920" s="91"/>
      <c r="D920" s="91"/>
      <c r="E920" s="89">
        <f>E487</f>
        <v>0</v>
      </c>
      <c r="F920" s="89">
        <f t="shared" ref="F920:J920" si="2224">F487</f>
        <v>0</v>
      </c>
      <c r="G920" s="89">
        <f t="shared" si="2224"/>
        <v>0</v>
      </c>
      <c r="H920" s="89">
        <f t="shared" si="2224"/>
        <v>0</v>
      </c>
      <c r="I920" s="89">
        <f t="shared" si="2224"/>
        <v>0</v>
      </c>
      <c r="J920" s="89">
        <f t="shared" si="2224"/>
        <v>0</v>
      </c>
      <c r="K920" s="89">
        <f t="shared" ref="K920:L920" si="2225">K487</f>
        <v>0</v>
      </c>
      <c r="L920" s="89">
        <f t="shared" si="2225"/>
        <v>0</v>
      </c>
      <c r="M920" s="167">
        <f t="shared" ref="M920:M921" si="2226">SUM(F920:H920)</f>
        <v>0</v>
      </c>
      <c r="N920" s="94">
        <f t="shared" ref="N920:N921" si="2227">SUM(F920:J920)</f>
        <v>0</v>
      </c>
      <c r="O920" s="1316">
        <f t="shared" si="2083"/>
        <v>0</v>
      </c>
      <c r="S920" s="95"/>
      <c r="T920" s="1103"/>
    </row>
    <row r="921" spans="1:20">
      <c r="A921" s="160" t="s">
        <v>1728</v>
      </c>
      <c r="B921" s="791" t="str">
        <f>B540</f>
        <v>MDR-TB: XDR</v>
      </c>
      <c r="C921" s="91"/>
      <c r="D921" s="91"/>
      <c r="E921" s="89">
        <f>E556</f>
        <v>0</v>
      </c>
      <c r="F921" s="89">
        <f t="shared" ref="F921:J921" si="2228">F556</f>
        <v>0</v>
      </c>
      <c r="G921" s="89">
        <f t="shared" si="2228"/>
        <v>0</v>
      </c>
      <c r="H921" s="89">
        <f t="shared" si="2228"/>
        <v>0</v>
      </c>
      <c r="I921" s="89">
        <f t="shared" si="2228"/>
        <v>0</v>
      </c>
      <c r="J921" s="89">
        <f t="shared" si="2228"/>
        <v>0</v>
      </c>
      <c r="K921" s="89">
        <f t="shared" ref="K921:L921" si="2229">K556</f>
        <v>0</v>
      </c>
      <c r="L921" s="89">
        <f t="shared" si="2229"/>
        <v>0</v>
      </c>
      <c r="M921" s="167">
        <f t="shared" si="2226"/>
        <v>0</v>
      </c>
      <c r="N921" s="94">
        <f t="shared" si="2227"/>
        <v>0</v>
      </c>
      <c r="O921" s="1316">
        <f t="shared" si="2083"/>
        <v>0</v>
      </c>
      <c r="S921" s="95"/>
      <c r="T921" s="1103"/>
    </row>
    <row r="922" spans="1:20">
      <c r="A922" s="160" t="s">
        <v>1729</v>
      </c>
      <c r="B922" s="791" t="str">
        <f>B609</f>
        <v>Other treatment and palliative care</v>
      </c>
      <c r="C922" s="91"/>
      <c r="D922" s="91"/>
      <c r="E922" s="89">
        <f>E625</f>
        <v>0</v>
      </c>
      <c r="F922" s="89">
        <f t="shared" ref="F922:J922" si="2230">F625</f>
        <v>0</v>
      </c>
      <c r="G922" s="89">
        <f t="shared" si="2230"/>
        <v>0</v>
      </c>
      <c r="H922" s="89">
        <f t="shared" si="2230"/>
        <v>0</v>
      </c>
      <c r="I922" s="89">
        <f t="shared" si="2230"/>
        <v>0</v>
      </c>
      <c r="J922" s="89">
        <f t="shared" si="2230"/>
        <v>0</v>
      </c>
      <c r="K922" s="89">
        <f t="shared" ref="K922:L922" si="2231">K625</f>
        <v>0</v>
      </c>
      <c r="L922" s="89">
        <f t="shared" si="2231"/>
        <v>0</v>
      </c>
      <c r="M922" s="167">
        <f t="shared" ref="M922" si="2232">SUM(F922:H922)</f>
        <v>0</v>
      </c>
      <c r="N922" s="94">
        <f t="shared" ref="N922" si="2233">SUM(F922:J922)</f>
        <v>0</v>
      </c>
      <c r="O922" s="1316">
        <f t="shared" si="2083"/>
        <v>0</v>
      </c>
      <c r="S922" s="95"/>
      <c r="T922" s="1103"/>
    </row>
    <row r="923" spans="1:20">
      <c r="A923" s="160" t="s">
        <v>395</v>
      </c>
      <c r="B923" s="291" t="s">
        <v>4</v>
      </c>
      <c r="C923" s="91"/>
      <c r="D923" s="91"/>
      <c r="E923" s="89">
        <f>SUM(E915:E916)</f>
        <v>12307.647999999999</v>
      </c>
      <c r="F923" s="89">
        <f t="shared" ref="F923" si="2234">SUM(F915:F916)</f>
        <v>17311.0756</v>
      </c>
      <c r="G923" s="89">
        <f t="shared" ref="G923" si="2235">SUM(G915:G916)</f>
        <v>19549.883999999998</v>
      </c>
      <c r="H923" s="89">
        <f t="shared" ref="H923" si="2236">SUM(H915:H916)</f>
        <v>20228.357459999999</v>
      </c>
      <c r="I923" s="89">
        <f t="shared" ref="I923" si="2237">SUM(I915:I916)</f>
        <v>21111.724979999999</v>
      </c>
      <c r="J923" s="89">
        <f t="shared" ref="J923:L923" si="2238">SUM(J915:J916)</f>
        <v>21722.662</v>
      </c>
      <c r="K923" s="89">
        <f t="shared" si="2238"/>
        <v>21058.725999999999</v>
      </c>
      <c r="L923" s="89">
        <f t="shared" si="2238"/>
        <v>20516.215199999999</v>
      </c>
      <c r="M923" s="167">
        <f t="shared" si="2212"/>
        <v>57089.317060000001</v>
      </c>
      <c r="N923" s="94">
        <f t="shared" si="2213"/>
        <v>99923.704039999997</v>
      </c>
      <c r="O923" s="1316">
        <f t="shared" si="2083"/>
        <v>84409.328179999982</v>
      </c>
      <c r="S923" s="95"/>
      <c r="T923" s="1103"/>
    </row>
    <row r="924" spans="1:20">
      <c r="A924" s="162">
        <v>4.2</v>
      </c>
      <c r="B924" s="159" t="s">
        <v>300</v>
      </c>
      <c r="C924" s="154"/>
      <c r="D924" s="154"/>
      <c r="E924" s="89"/>
      <c r="F924" s="89"/>
      <c r="G924" s="89"/>
      <c r="H924" s="89"/>
      <c r="I924" s="89"/>
      <c r="J924" s="89"/>
      <c r="K924" s="89"/>
      <c r="L924" s="89"/>
      <c r="M924" s="167"/>
      <c r="N924" s="94"/>
      <c r="O924" s="1316">
        <f t="shared" ref="O924:O942" si="2239">I924+J924+K924+L924</f>
        <v>0</v>
      </c>
      <c r="S924" s="95"/>
      <c r="T924" s="1103"/>
    </row>
    <row r="925" spans="1:20">
      <c r="A925" s="160" t="s">
        <v>401</v>
      </c>
      <c r="B925" s="291" t="s">
        <v>663</v>
      </c>
      <c r="C925" s="91"/>
      <c r="D925" s="91"/>
      <c r="E925" s="89">
        <f>E216</f>
        <v>13103.596799999999</v>
      </c>
      <c r="F925" s="89">
        <f t="shared" ref="F925:J925" si="2240">F216</f>
        <v>18283.263768000001</v>
      </c>
      <c r="G925" s="89">
        <f t="shared" si="2240"/>
        <v>20477.571840000001</v>
      </c>
      <c r="H925" s="89">
        <f t="shared" si="2240"/>
        <v>20996.910018000002</v>
      </c>
      <c r="I925" s="89">
        <f t="shared" si="2240"/>
        <v>21713.8102272</v>
      </c>
      <c r="J925" s="89">
        <f t="shared" si="2240"/>
        <v>22132.143540000001</v>
      </c>
      <c r="K925" s="89">
        <f t="shared" ref="K925:L925" si="2241">K216</f>
        <v>21456.227051999998</v>
      </c>
      <c r="L925" s="89">
        <f t="shared" si="2241"/>
        <v>20903.953824</v>
      </c>
      <c r="M925" s="167">
        <f t="shared" ref="M925:M933" si="2242">SUM(F925:H925)</f>
        <v>59757.745626000004</v>
      </c>
      <c r="N925" s="94">
        <f t="shared" ref="N925:N933" si="2243">SUM(F925:J925)</f>
        <v>103603.6993932</v>
      </c>
      <c r="O925" s="1316">
        <f t="shared" si="2239"/>
        <v>86206.134643199999</v>
      </c>
      <c r="S925" s="95"/>
      <c r="T925" s="1103"/>
    </row>
    <row r="926" spans="1:20">
      <c r="A926" s="160" t="s">
        <v>402</v>
      </c>
      <c r="B926" s="291" t="s">
        <v>664</v>
      </c>
      <c r="C926" s="163"/>
      <c r="D926" s="163"/>
      <c r="E926" s="89">
        <f>SUM(E927:E932)</f>
        <v>188.66304000000002</v>
      </c>
      <c r="F926" s="89">
        <f t="shared" ref="F926" si="2244">SUM(F927:F932)</f>
        <v>239.58712399999996</v>
      </c>
      <c r="G926" s="89">
        <f t="shared" ref="G926" si="2245">SUM(G927:G932)</f>
        <v>245.30520000000004</v>
      </c>
      <c r="H926" s="89">
        <f t="shared" ref="H926" si="2246">SUM(H927:H932)</f>
        <v>242.86531500000004</v>
      </c>
      <c r="I926" s="89">
        <f t="shared" ref="I926" si="2247">SUM(I927:I932)</f>
        <v>242.38375200000004</v>
      </c>
      <c r="J926" s="89">
        <f t="shared" ref="J926:L926" si="2248">SUM(J927:J932)</f>
        <v>242.19832</v>
      </c>
      <c r="K926" s="89">
        <f t="shared" si="2248"/>
        <v>234.26072800000003</v>
      </c>
      <c r="L926" s="89">
        <f t="shared" si="2248"/>
        <v>227.74783200000002</v>
      </c>
      <c r="M926" s="167">
        <f t="shared" si="2242"/>
        <v>727.75763900000004</v>
      </c>
      <c r="N926" s="94">
        <f t="shared" si="2243"/>
        <v>1212.3397110000001</v>
      </c>
      <c r="O926" s="1316">
        <f t="shared" si="2239"/>
        <v>946.59063200000014</v>
      </c>
      <c r="Q926" s="95"/>
      <c r="S926" s="95"/>
      <c r="T926" s="1103"/>
    </row>
    <row r="927" spans="1:20">
      <c r="A927" s="160" t="s">
        <v>1719</v>
      </c>
      <c r="B927" s="791" t="str">
        <f>B917</f>
        <v>First-line treatment</v>
      </c>
      <c r="C927" s="91"/>
      <c r="D927" s="91"/>
      <c r="E927" s="89">
        <f>E282</f>
        <v>171.83448000000001</v>
      </c>
      <c r="F927" s="89">
        <f t="shared" ref="F927:J927" si="2249">F282</f>
        <v>218.88401499999995</v>
      </c>
      <c r="G927" s="89">
        <f t="shared" si="2249"/>
        <v>225.18216000000004</v>
      </c>
      <c r="H927" s="89">
        <f t="shared" si="2249"/>
        <v>223.65246750000003</v>
      </c>
      <c r="I927" s="89">
        <f t="shared" si="2249"/>
        <v>224.03908800000005</v>
      </c>
      <c r="J927" s="89">
        <f t="shared" si="2249"/>
        <v>225.101968</v>
      </c>
      <c r="K927" s="89">
        <f t="shared" ref="K927:L927" si="2250">K282</f>
        <v>217.97848800000003</v>
      </c>
      <c r="L927" s="89">
        <f t="shared" si="2250"/>
        <v>212.076176</v>
      </c>
      <c r="M927" s="167">
        <f t="shared" si="2242"/>
        <v>667.71864249999999</v>
      </c>
      <c r="N927" s="94">
        <f t="shared" si="2243"/>
        <v>1116.8596984999999</v>
      </c>
      <c r="O927" s="1316">
        <f t="shared" si="2239"/>
        <v>879.19572000000016</v>
      </c>
      <c r="S927" s="95"/>
      <c r="T927" s="1103"/>
    </row>
    <row r="928" spans="1:20">
      <c r="A928" s="160" t="s">
        <v>1720</v>
      </c>
      <c r="B928" s="791" t="str">
        <f t="shared" ref="B928:B932" si="2251">B918</f>
        <v>PDR-TB</v>
      </c>
      <c r="C928" s="91"/>
      <c r="D928" s="91"/>
      <c r="E928" s="89">
        <f>E351</f>
        <v>16.828560000000003</v>
      </c>
      <c r="F928" s="89">
        <f t="shared" ref="F928:J928" si="2252">F351</f>
        <v>20.703109000000001</v>
      </c>
      <c r="G928" s="89">
        <f t="shared" si="2252"/>
        <v>20.123040000000007</v>
      </c>
      <c r="H928" s="89">
        <f t="shared" si="2252"/>
        <v>19.212847500000002</v>
      </c>
      <c r="I928" s="89">
        <f t="shared" si="2252"/>
        <v>18.344663999999998</v>
      </c>
      <c r="J928" s="89">
        <f t="shared" si="2252"/>
        <v>17.096352000000003</v>
      </c>
      <c r="K928" s="89">
        <f t="shared" ref="K928:L928" si="2253">K351</f>
        <v>16.282240000000002</v>
      </c>
      <c r="L928" s="89">
        <f t="shared" si="2253"/>
        <v>15.671656000000002</v>
      </c>
      <c r="M928" s="167">
        <f t="shared" si="2242"/>
        <v>60.03899650000001</v>
      </c>
      <c r="N928" s="94">
        <f t="shared" si="2243"/>
        <v>95.480012500000015</v>
      </c>
      <c r="O928" s="1316">
        <f t="shared" si="2239"/>
        <v>67.394912000000005</v>
      </c>
      <c r="S928" s="95"/>
      <c r="T928" s="1103"/>
    </row>
    <row r="929" spans="1:20">
      <c r="A929" s="160" t="s">
        <v>1721</v>
      </c>
      <c r="B929" s="791" t="str">
        <f t="shared" si="2251"/>
        <v>MDR-TB: no resistance to SLDs</v>
      </c>
      <c r="C929" s="91"/>
      <c r="D929" s="91"/>
      <c r="E929" s="89">
        <f>E420</f>
        <v>0</v>
      </c>
      <c r="F929" s="89">
        <f t="shared" ref="F929:J929" si="2254">F420</f>
        <v>0</v>
      </c>
      <c r="G929" s="89">
        <f t="shared" si="2254"/>
        <v>0</v>
      </c>
      <c r="H929" s="89">
        <f t="shared" si="2254"/>
        <v>0</v>
      </c>
      <c r="I929" s="89">
        <f t="shared" si="2254"/>
        <v>0</v>
      </c>
      <c r="J929" s="89">
        <f t="shared" si="2254"/>
        <v>0</v>
      </c>
      <c r="K929" s="89">
        <f t="shared" ref="K929:L929" si="2255">K420</f>
        <v>0</v>
      </c>
      <c r="L929" s="89">
        <f t="shared" si="2255"/>
        <v>0</v>
      </c>
      <c r="M929" s="167">
        <f t="shared" si="2242"/>
        <v>0</v>
      </c>
      <c r="N929" s="94">
        <f t="shared" si="2243"/>
        <v>0</v>
      </c>
      <c r="O929" s="1316">
        <f t="shared" si="2239"/>
        <v>0</v>
      </c>
      <c r="S929" s="95"/>
      <c r="T929" s="1103"/>
    </row>
    <row r="930" spans="1:20">
      <c r="A930" s="160" t="s">
        <v>1722</v>
      </c>
      <c r="B930" s="791" t="str">
        <f t="shared" si="2251"/>
        <v>MDR-TB: 'pre-XDR'</v>
      </c>
      <c r="C930" s="91"/>
      <c r="D930" s="91"/>
      <c r="E930" s="89">
        <f>E489</f>
        <v>0</v>
      </c>
      <c r="F930" s="89">
        <f t="shared" ref="F930:J930" si="2256">F489</f>
        <v>0</v>
      </c>
      <c r="G930" s="89">
        <f t="shared" si="2256"/>
        <v>0</v>
      </c>
      <c r="H930" s="89">
        <f t="shared" si="2256"/>
        <v>0</v>
      </c>
      <c r="I930" s="89">
        <f t="shared" si="2256"/>
        <v>0</v>
      </c>
      <c r="J930" s="89">
        <f t="shared" si="2256"/>
        <v>0</v>
      </c>
      <c r="K930" s="89">
        <f t="shared" ref="K930:L930" si="2257">K489</f>
        <v>0</v>
      </c>
      <c r="L930" s="89">
        <f t="shared" si="2257"/>
        <v>0</v>
      </c>
      <c r="M930" s="167">
        <f t="shared" si="2242"/>
        <v>0</v>
      </c>
      <c r="N930" s="94">
        <f t="shared" si="2243"/>
        <v>0</v>
      </c>
      <c r="O930" s="1316">
        <f t="shared" si="2239"/>
        <v>0</v>
      </c>
      <c r="S930" s="95"/>
      <c r="T930" s="1103"/>
    </row>
    <row r="931" spans="1:20">
      <c r="A931" s="160" t="s">
        <v>1723</v>
      </c>
      <c r="B931" s="791" t="str">
        <f t="shared" si="2251"/>
        <v>MDR-TB: XDR</v>
      </c>
      <c r="C931" s="91"/>
      <c r="D931" s="91"/>
      <c r="E931" s="89">
        <f>E558</f>
        <v>0</v>
      </c>
      <c r="F931" s="89">
        <f t="shared" ref="F931:J931" si="2258">F558</f>
        <v>0</v>
      </c>
      <c r="G931" s="89">
        <f t="shared" si="2258"/>
        <v>0</v>
      </c>
      <c r="H931" s="89">
        <f t="shared" si="2258"/>
        <v>0</v>
      </c>
      <c r="I931" s="89">
        <f t="shared" si="2258"/>
        <v>0</v>
      </c>
      <c r="J931" s="89">
        <f t="shared" si="2258"/>
        <v>0</v>
      </c>
      <c r="K931" s="89">
        <f t="shared" ref="K931:L931" si="2259">K558</f>
        <v>0</v>
      </c>
      <c r="L931" s="89">
        <f t="shared" si="2259"/>
        <v>0</v>
      </c>
      <c r="M931" s="167">
        <f t="shared" si="2242"/>
        <v>0</v>
      </c>
      <c r="N931" s="94">
        <f t="shared" si="2243"/>
        <v>0</v>
      </c>
      <c r="O931" s="1316">
        <f t="shared" si="2239"/>
        <v>0</v>
      </c>
      <c r="S931" s="95"/>
      <c r="T931" s="1103"/>
    </row>
    <row r="932" spans="1:20">
      <c r="A932" s="160" t="s">
        <v>1724</v>
      </c>
      <c r="B932" s="791" t="str">
        <f t="shared" si="2251"/>
        <v>Other treatment and palliative care</v>
      </c>
      <c r="C932" s="91"/>
      <c r="D932" s="91"/>
      <c r="E932" s="89">
        <f>E627</f>
        <v>0</v>
      </c>
      <c r="F932" s="89">
        <f t="shared" ref="F932:J932" si="2260">F627</f>
        <v>0</v>
      </c>
      <c r="G932" s="89">
        <f t="shared" si="2260"/>
        <v>0</v>
      </c>
      <c r="H932" s="89">
        <f t="shared" si="2260"/>
        <v>0</v>
      </c>
      <c r="I932" s="89">
        <f t="shared" si="2260"/>
        <v>0</v>
      </c>
      <c r="J932" s="89">
        <f t="shared" si="2260"/>
        <v>0</v>
      </c>
      <c r="K932" s="89">
        <f t="shared" ref="K932:L932" si="2261">K627</f>
        <v>0</v>
      </c>
      <c r="L932" s="89">
        <f t="shared" si="2261"/>
        <v>0</v>
      </c>
      <c r="M932" s="167">
        <f t="shared" si="2242"/>
        <v>0</v>
      </c>
      <c r="N932" s="94">
        <f t="shared" si="2243"/>
        <v>0</v>
      </c>
      <c r="O932" s="1316">
        <f t="shared" si="2239"/>
        <v>0</v>
      </c>
      <c r="S932" s="95"/>
      <c r="T932" s="1103"/>
    </row>
    <row r="933" spans="1:20">
      <c r="A933" s="160" t="s">
        <v>403</v>
      </c>
      <c r="B933" s="291" t="s">
        <v>4</v>
      </c>
      <c r="C933" s="91"/>
      <c r="D933" s="91"/>
      <c r="E933" s="89">
        <f>SUM(E925:E926)</f>
        <v>13292.259839999999</v>
      </c>
      <c r="F933" s="89">
        <f t="shared" ref="F933" si="2262">SUM(F925:F926)</f>
        <v>18522.850892000002</v>
      </c>
      <c r="G933" s="89">
        <f t="shared" ref="G933" si="2263">SUM(G925:G926)</f>
        <v>20722.877039999999</v>
      </c>
      <c r="H933" s="89">
        <f t="shared" ref="H933" si="2264">SUM(H925:H926)</f>
        <v>21239.775333000001</v>
      </c>
      <c r="I933" s="89">
        <f t="shared" ref="I933" si="2265">SUM(I925:I926)</f>
        <v>21956.193979200001</v>
      </c>
      <c r="J933" s="89">
        <f t="shared" ref="J933:L933" si="2266">SUM(J925:J926)</f>
        <v>22374.34186</v>
      </c>
      <c r="K933" s="89">
        <f t="shared" si="2266"/>
        <v>21690.487779999999</v>
      </c>
      <c r="L933" s="89">
        <f t="shared" si="2266"/>
        <v>21131.701656000001</v>
      </c>
      <c r="M933" s="167">
        <f t="shared" si="2242"/>
        <v>60485.503265000007</v>
      </c>
      <c r="N933" s="94">
        <f t="shared" si="2243"/>
        <v>104816.03910420001</v>
      </c>
      <c r="O933" s="1316">
        <f t="shared" si="2239"/>
        <v>87152.725275200006</v>
      </c>
      <c r="S933" s="95"/>
      <c r="T933" s="1103"/>
    </row>
    <row r="934" spans="1:20">
      <c r="A934" s="183">
        <v>5</v>
      </c>
      <c r="B934" s="182" t="s">
        <v>1730</v>
      </c>
      <c r="C934" s="183"/>
      <c r="D934" s="290"/>
      <c r="E934" s="184"/>
      <c r="F934" s="184"/>
      <c r="G934" s="184"/>
      <c r="H934" s="184"/>
      <c r="I934" s="184"/>
      <c r="J934" s="184"/>
      <c r="K934" s="184"/>
      <c r="L934" s="184"/>
      <c r="M934" s="180"/>
      <c r="N934" s="181"/>
      <c r="O934" s="1316">
        <f t="shared" si="2239"/>
        <v>0</v>
      </c>
      <c r="S934" s="95"/>
      <c r="T934" s="1103"/>
    </row>
    <row r="935" spans="1:20">
      <c r="A935" s="162">
        <v>5.0999999999999996</v>
      </c>
      <c r="B935" s="159" t="s">
        <v>299</v>
      </c>
      <c r="C935" s="154"/>
      <c r="D935" s="154"/>
      <c r="E935" s="89"/>
      <c r="F935" s="89"/>
      <c r="G935" s="89"/>
      <c r="H935" s="89"/>
      <c r="I935" s="89"/>
      <c r="J935" s="89"/>
      <c r="K935" s="89"/>
      <c r="L935" s="89"/>
      <c r="M935" s="167"/>
      <c r="N935" s="94"/>
      <c r="O935" s="1316">
        <f t="shared" si="2239"/>
        <v>0</v>
      </c>
      <c r="S935" s="95"/>
      <c r="T935" s="1103"/>
    </row>
    <row r="936" spans="1:20">
      <c r="A936" s="160" t="s">
        <v>419</v>
      </c>
      <c r="B936" s="291" t="s">
        <v>663</v>
      </c>
      <c r="C936" s="91"/>
      <c r="D936" s="790"/>
      <c r="E936" s="89">
        <f>E915</f>
        <v>12132.96</v>
      </c>
      <c r="F936" s="89">
        <f t="shared" ref="F936:J936" si="2267">F915</f>
        <v>17087.162400000001</v>
      </c>
      <c r="G936" s="89">
        <f t="shared" si="2267"/>
        <v>19318.464</v>
      </c>
      <c r="H936" s="89">
        <f t="shared" si="2267"/>
        <v>19997.05716</v>
      </c>
      <c r="I936" s="89">
        <f t="shared" si="2267"/>
        <v>20878.663679999998</v>
      </c>
      <c r="J936" s="89">
        <f t="shared" si="2267"/>
        <v>21487.518</v>
      </c>
      <c r="K936" s="89">
        <f t="shared" ref="K936:L936" si="2268">K915</f>
        <v>20831.288399999998</v>
      </c>
      <c r="L936" s="89">
        <f t="shared" si="2268"/>
        <v>20295.1008</v>
      </c>
      <c r="M936" s="167">
        <f t="shared" ref="M936:M938" si="2269">SUM(F936:H936)</f>
        <v>56402.683560000005</v>
      </c>
      <c r="N936" s="94">
        <f t="shared" ref="N936:N938" si="2270">SUM(F936:J936)</f>
        <v>98768.865239999999</v>
      </c>
      <c r="O936" s="1316">
        <f t="shared" si="2239"/>
        <v>83492.570879999985</v>
      </c>
      <c r="S936" s="95"/>
      <c r="T936" s="1103"/>
    </row>
    <row r="937" spans="1:20">
      <c r="A937" s="160" t="s">
        <v>420</v>
      </c>
      <c r="B937" s="291" t="s">
        <v>664</v>
      </c>
      <c r="C937" s="163"/>
      <c r="D937" s="790"/>
      <c r="E937" s="89">
        <f>E916</f>
        <v>174.68799999999999</v>
      </c>
      <c r="F937" s="89">
        <f t="shared" ref="F937:J937" si="2271">F916</f>
        <v>223.91319999999996</v>
      </c>
      <c r="G937" s="89">
        <f t="shared" si="2271"/>
        <v>231.42000000000004</v>
      </c>
      <c r="H937" s="89">
        <f t="shared" si="2271"/>
        <v>231.30029999999999</v>
      </c>
      <c r="I937" s="89">
        <f t="shared" si="2271"/>
        <v>233.06130000000002</v>
      </c>
      <c r="J937" s="89">
        <f t="shared" si="2271"/>
        <v>235.14400000000001</v>
      </c>
      <c r="K937" s="89">
        <f t="shared" ref="K937:L937" si="2272">K916</f>
        <v>227.4376</v>
      </c>
      <c r="L937" s="89">
        <f t="shared" si="2272"/>
        <v>221.11440000000002</v>
      </c>
      <c r="M937" s="167">
        <f t="shared" si="2269"/>
        <v>686.63350000000003</v>
      </c>
      <c r="N937" s="94">
        <f t="shared" si="2270"/>
        <v>1154.8388</v>
      </c>
      <c r="O937" s="1316">
        <f t="shared" si="2239"/>
        <v>916.7573000000001</v>
      </c>
      <c r="Q937" s="95"/>
      <c r="S937" s="95"/>
      <c r="T937" s="1103"/>
    </row>
    <row r="938" spans="1:20">
      <c r="A938" s="160" t="s">
        <v>421</v>
      </c>
      <c r="B938" s="291" t="s">
        <v>4</v>
      </c>
      <c r="C938" s="91"/>
      <c r="D938" s="790"/>
      <c r="E938" s="89">
        <f>SUM(E936:E937)</f>
        <v>12307.647999999999</v>
      </c>
      <c r="F938" s="89">
        <f t="shared" ref="F938" si="2273">SUM(F936:F937)</f>
        <v>17311.0756</v>
      </c>
      <c r="G938" s="89">
        <f t="shared" ref="G938" si="2274">SUM(G936:G937)</f>
        <v>19549.883999999998</v>
      </c>
      <c r="H938" s="89">
        <f t="shared" ref="H938" si="2275">SUM(H936:H937)</f>
        <v>20228.357459999999</v>
      </c>
      <c r="I938" s="89">
        <f t="shared" ref="I938" si="2276">SUM(I936:I937)</f>
        <v>21111.724979999999</v>
      </c>
      <c r="J938" s="89">
        <f t="shared" ref="J938:L938" si="2277">SUM(J936:J937)</f>
        <v>21722.662</v>
      </c>
      <c r="K938" s="89">
        <f t="shared" si="2277"/>
        <v>21058.725999999999</v>
      </c>
      <c r="L938" s="89">
        <f t="shared" si="2277"/>
        <v>20516.215199999999</v>
      </c>
      <c r="M938" s="167">
        <f t="shared" si="2269"/>
        <v>57089.317060000001</v>
      </c>
      <c r="N938" s="94">
        <f t="shared" si="2270"/>
        <v>99923.704039999997</v>
      </c>
      <c r="O938" s="1316">
        <f t="shared" si="2239"/>
        <v>84409.328179999982</v>
      </c>
      <c r="S938" s="95"/>
      <c r="T938" s="1103"/>
    </row>
    <row r="939" spans="1:20">
      <c r="A939" s="162">
        <v>5.2</v>
      </c>
      <c r="B939" s="159" t="s">
        <v>300</v>
      </c>
      <c r="C939" s="154"/>
      <c r="D939" s="154"/>
      <c r="E939" s="89"/>
      <c r="F939" s="89"/>
      <c r="G939" s="89"/>
      <c r="H939" s="89"/>
      <c r="I939" s="89"/>
      <c r="J939" s="89"/>
      <c r="K939" s="89"/>
      <c r="L939" s="89"/>
      <c r="M939" s="167"/>
      <c r="N939" s="94"/>
      <c r="O939" s="1316">
        <f t="shared" si="2239"/>
        <v>0</v>
      </c>
      <c r="S939" s="95"/>
      <c r="T939" s="1103"/>
    </row>
    <row r="940" spans="1:20">
      <c r="A940" s="160" t="s">
        <v>427</v>
      </c>
      <c r="B940" s="291" t="s">
        <v>663</v>
      </c>
      <c r="C940" s="91"/>
      <c r="D940" s="790"/>
      <c r="E940" s="89">
        <f>E925</f>
        <v>13103.596799999999</v>
      </c>
      <c r="F940" s="89">
        <f t="shared" ref="F940:J940" si="2278">F925</f>
        <v>18283.263768000001</v>
      </c>
      <c r="G940" s="89">
        <f t="shared" si="2278"/>
        <v>20477.571840000001</v>
      </c>
      <c r="H940" s="89">
        <f t="shared" si="2278"/>
        <v>20996.910018000002</v>
      </c>
      <c r="I940" s="89">
        <f t="shared" si="2278"/>
        <v>21713.8102272</v>
      </c>
      <c r="J940" s="89">
        <f t="shared" si="2278"/>
        <v>22132.143540000001</v>
      </c>
      <c r="K940" s="89">
        <f t="shared" ref="K940:L940" si="2279">K925</f>
        <v>21456.227051999998</v>
      </c>
      <c r="L940" s="89">
        <f t="shared" si="2279"/>
        <v>20903.953824</v>
      </c>
      <c r="M940" s="167">
        <f t="shared" ref="M940:M942" si="2280">SUM(F940:H940)</f>
        <v>59757.745626000004</v>
      </c>
      <c r="N940" s="94">
        <f t="shared" ref="N940:N942" si="2281">SUM(F940:J940)</f>
        <v>103603.6993932</v>
      </c>
      <c r="O940" s="1316">
        <f t="shared" si="2239"/>
        <v>86206.134643199999</v>
      </c>
      <c r="S940" s="95"/>
      <c r="T940" s="1103"/>
    </row>
    <row r="941" spans="1:20">
      <c r="A941" s="160" t="s">
        <v>428</v>
      </c>
      <c r="B941" s="291" t="s">
        <v>664</v>
      </c>
      <c r="C941" s="163"/>
      <c r="D941" s="790"/>
      <c r="E941" s="89">
        <f>E926</f>
        <v>188.66304000000002</v>
      </c>
      <c r="F941" s="89">
        <f t="shared" ref="F941:J941" si="2282">F926</f>
        <v>239.58712399999996</v>
      </c>
      <c r="G941" s="89">
        <f t="shared" si="2282"/>
        <v>245.30520000000004</v>
      </c>
      <c r="H941" s="89">
        <f t="shared" si="2282"/>
        <v>242.86531500000004</v>
      </c>
      <c r="I941" s="89">
        <f t="shared" si="2282"/>
        <v>242.38375200000004</v>
      </c>
      <c r="J941" s="89">
        <f t="shared" si="2282"/>
        <v>242.19832</v>
      </c>
      <c r="K941" s="89">
        <f t="shared" ref="K941:L941" si="2283">K926</f>
        <v>234.26072800000003</v>
      </c>
      <c r="L941" s="89">
        <f t="shared" si="2283"/>
        <v>227.74783200000002</v>
      </c>
      <c r="M941" s="167">
        <f t="shared" si="2280"/>
        <v>727.75763900000004</v>
      </c>
      <c r="N941" s="94">
        <f t="shared" si="2281"/>
        <v>1212.3397110000001</v>
      </c>
      <c r="O941" s="1316">
        <f t="shared" si="2239"/>
        <v>946.59063200000014</v>
      </c>
      <c r="Q941" s="95"/>
      <c r="S941" s="95"/>
      <c r="T941" s="1103"/>
    </row>
    <row r="942" spans="1:20">
      <c r="A942" s="160" t="s">
        <v>429</v>
      </c>
      <c r="B942" s="291" t="s">
        <v>4</v>
      </c>
      <c r="C942" s="91"/>
      <c r="D942" s="790"/>
      <c r="E942" s="89">
        <f>SUM(E940:E941)</f>
        <v>13292.259839999999</v>
      </c>
      <c r="F942" s="89">
        <f t="shared" ref="F942" si="2284">SUM(F940:F941)</f>
        <v>18522.850892000002</v>
      </c>
      <c r="G942" s="89">
        <f t="shared" ref="G942" si="2285">SUM(G940:G941)</f>
        <v>20722.877039999999</v>
      </c>
      <c r="H942" s="89">
        <f t="shared" ref="H942" si="2286">SUM(H940:H941)</f>
        <v>21239.775333000001</v>
      </c>
      <c r="I942" s="89">
        <f t="shared" ref="I942" si="2287">SUM(I940:I941)</f>
        <v>21956.193979200001</v>
      </c>
      <c r="J942" s="89">
        <f t="shared" ref="J942:L942" si="2288">SUM(J940:J941)</f>
        <v>22374.34186</v>
      </c>
      <c r="K942" s="89">
        <f t="shared" si="2288"/>
        <v>21690.487779999999</v>
      </c>
      <c r="L942" s="89">
        <f t="shared" si="2288"/>
        <v>21131.701656000001</v>
      </c>
      <c r="M942" s="167">
        <f t="shared" si="2280"/>
        <v>60485.503265000007</v>
      </c>
      <c r="N942" s="94">
        <f t="shared" si="2281"/>
        <v>104816.03910420001</v>
      </c>
      <c r="O942" s="1316">
        <f t="shared" si="2239"/>
        <v>87152.725275200006</v>
      </c>
      <c r="S942" s="95"/>
      <c r="T942" s="1103"/>
    </row>
    <row r="943" spans="1:20">
      <c r="A943" s="163"/>
      <c r="B943" s="266"/>
      <c r="C943" s="154"/>
      <c r="D943" s="154"/>
      <c r="E943" s="296"/>
      <c r="F943" s="296"/>
      <c r="G943" s="296"/>
    </row>
    <row r="944" spans="1:20">
      <c r="A944" s="154"/>
      <c r="B944" s="154"/>
      <c r="C944" s="154"/>
      <c r="D944" s="154"/>
      <c r="E944" s="154"/>
      <c r="F944" s="154"/>
      <c r="G944" s="15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7"/>
  <sheetViews>
    <sheetView zoomScale="80" zoomScaleNormal="80" workbookViewId="0">
      <selection activeCell="R30" sqref="R30"/>
    </sheetView>
  </sheetViews>
  <sheetFormatPr defaultColWidth="8.85546875" defaultRowHeight="15"/>
  <cols>
    <col min="1" max="1" width="9" style="1" customWidth="1"/>
    <col min="2" max="3" width="8.85546875" style="1" customWidth="1"/>
    <col min="4" max="4" width="8.42578125" style="1" customWidth="1"/>
    <col min="5" max="5" width="6.7109375" style="1" customWidth="1"/>
    <col min="6" max="6" width="8.140625" style="1" customWidth="1"/>
    <col min="7" max="7" width="7.7109375" style="1" customWidth="1"/>
    <col min="8" max="8" width="8.42578125" style="1" customWidth="1"/>
    <col min="9" max="9" width="7.7109375" style="1" customWidth="1"/>
    <col min="10" max="10" width="8.85546875" style="1" customWidth="1"/>
    <col min="11" max="11" width="7.7109375" style="1" customWidth="1"/>
    <col min="12" max="12" width="10.7109375" style="1" customWidth="1"/>
    <col min="13" max="13" width="7.7109375" style="1" customWidth="1"/>
    <col min="14" max="14" width="8.85546875" style="1" customWidth="1"/>
    <col min="15" max="16" width="7.7109375" style="1" customWidth="1"/>
    <col min="17" max="17" width="12.85546875" style="1" customWidth="1"/>
    <col min="18" max="18" width="8.28515625" style="1" customWidth="1"/>
    <col min="19" max="20" width="5.7109375" style="1" customWidth="1"/>
    <col min="21" max="21" width="5.5703125" style="1" customWidth="1"/>
    <col min="22" max="33" width="8.85546875" style="1"/>
    <col min="34" max="34" width="27.28515625" style="1" customWidth="1"/>
    <col min="35" max="16384" width="8.85546875" style="1"/>
  </cols>
  <sheetData>
    <row r="2" spans="1:20" ht="15.75">
      <c r="A2" s="205" t="s">
        <v>758</v>
      </c>
    </row>
    <row r="3" spans="1:20">
      <c r="A3" s="212" t="s">
        <v>759</v>
      </c>
    </row>
    <row r="5" spans="1:20">
      <c r="A5" s="213" t="s">
        <v>41</v>
      </c>
      <c r="B5" s="214" t="s">
        <v>1837</v>
      </c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</row>
    <row r="6" spans="1:20" ht="15.75" thickBot="1">
      <c r="A6" s="185"/>
    </row>
    <row r="7" spans="1:20" ht="12.6" customHeight="1" thickBot="1">
      <c r="A7" s="1784" t="s">
        <v>0</v>
      </c>
      <c r="B7" s="1793" t="s">
        <v>8</v>
      </c>
      <c r="C7" s="1794"/>
      <c r="D7" s="1794"/>
      <c r="E7" s="1794"/>
      <c r="F7" s="1794"/>
      <c r="G7" s="1794"/>
      <c r="H7" s="1794"/>
      <c r="I7" s="1795"/>
      <c r="J7" s="1787" t="s">
        <v>1</v>
      </c>
      <c r="K7" s="1788"/>
      <c r="L7" s="1787" t="s">
        <v>2</v>
      </c>
      <c r="M7" s="1788"/>
      <c r="N7" s="1787" t="s">
        <v>53</v>
      </c>
      <c r="O7" s="1796"/>
      <c r="P7" s="1788"/>
      <c r="Q7" s="1797" t="s">
        <v>3</v>
      </c>
      <c r="R7" s="1787" t="s">
        <v>54</v>
      </c>
      <c r="S7" s="1796"/>
      <c r="T7" s="1788"/>
    </row>
    <row r="8" spans="1:20" ht="12.6" customHeight="1">
      <c r="A8" s="1785"/>
      <c r="B8" s="1787" t="s">
        <v>55</v>
      </c>
      <c r="C8" s="1796"/>
      <c r="D8" s="1796"/>
      <c r="E8" s="1788"/>
      <c r="F8" s="1787" t="s">
        <v>6</v>
      </c>
      <c r="G8" s="1796"/>
      <c r="H8" s="1796"/>
      <c r="I8" s="1788"/>
      <c r="J8" s="1789" t="s">
        <v>5</v>
      </c>
      <c r="K8" s="1791" t="s">
        <v>6</v>
      </c>
      <c r="L8" s="1789" t="s">
        <v>5</v>
      </c>
      <c r="M8" s="1791" t="s">
        <v>6</v>
      </c>
      <c r="N8" s="1789" t="s">
        <v>5</v>
      </c>
      <c r="O8" s="1800" t="s">
        <v>6</v>
      </c>
      <c r="P8" s="1791" t="s">
        <v>7</v>
      </c>
      <c r="Q8" s="1798"/>
      <c r="R8" s="1789" t="s">
        <v>56</v>
      </c>
      <c r="S8" s="1800" t="s">
        <v>6</v>
      </c>
      <c r="T8" s="1791" t="s">
        <v>57</v>
      </c>
    </row>
    <row r="9" spans="1:20" ht="28.5" customHeight="1" thickBot="1">
      <c r="A9" s="1786"/>
      <c r="B9" s="26" t="s">
        <v>58</v>
      </c>
      <c r="C9" s="158" t="s">
        <v>59</v>
      </c>
      <c r="D9" s="158" t="s">
        <v>60</v>
      </c>
      <c r="E9" s="157" t="s">
        <v>4</v>
      </c>
      <c r="F9" s="26" t="s">
        <v>58</v>
      </c>
      <c r="G9" s="158" t="s">
        <v>59</v>
      </c>
      <c r="H9" s="158" t="s">
        <v>60</v>
      </c>
      <c r="I9" s="157" t="s">
        <v>4</v>
      </c>
      <c r="J9" s="1790"/>
      <c r="K9" s="1792"/>
      <c r="L9" s="1790"/>
      <c r="M9" s="1792"/>
      <c r="N9" s="1790"/>
      <c r="O9" s="1801"/>
      <c r="P9" s="1792"/>
      <c r="Q9" s="1799"/>
      <c r="R9" s="1790"/>
      <c r="S9" s="1801"/>
      <c r="T9" s="1792"/>
    </row>
    <row r="10" spans="1:20">
      <c r="A10" s="194">
        <v>1996</v>
      </c>
      <c r="B10" s="195">
        <v>1318</v>
      </c>
      <c r="C10" s="196">
        <v>7895</v>
      </c>
      <c r="D10" s="196"/>
      <c r="E10" s="201">
        <f>B10+C10+D10</f>
        <v>9213</v>
      </c>
      <c r="F10" s="195">
        <v>653</v>
      </c>
      <c r="G10" s="196">
        <v>5234</v>
      </c>
      <c r="H10" s="196"/>
      <c r="I10" s="201">
        <f>SUM(F10:H10)</f>
        <v>5887</v>
      </c>
      <c r="J10" s="195">
        <v>1430</v>
      </c>
      <c r="K10" s="197">
        <v>1007</v>
      </c>
      <c r="L10" s="195"/>
      <c r="M10" s="197"/>
      <c r="N10" s="203">
        <f>SUM(O10:P10)</f>
        <v>10643</v>
      </c>
      <c r="O10" s="196">
        <v>6894</v>
      </c>
      <c r="P10" s="197">
        <v>3749</v>
      </c>
      <c r="Q10" s="198">
        <v>5154497</v>
      </c>
      <c r="R10" s="206">
        <f>N10*100000/Q10</f>
        <v>206.47989512846743</v>
      </c>
      <c r="S10" s="207">
        <f t="shared" ref="S10" si="0">(I10+K10)*100000/Q10</f>
        <v>133.74728901772568</v>
      </c>
      <c r="T10" s="208">
        <f t="shared" ref="T10" si="1">F10*100000/Q10</f>
        <v>12.668549423930211</v>
      </c>
    </row>
    <row r="11" spans="1:20">
      <c r="A11" s="189">
        <v>1997</v>
      </c>
      <c r="B11" s="191">
        <v>1148</v>
      </c>
      <c r="C11" s="186">
        <v>5269</v>
      </c>
      <c r="D11" s="186"/>
      <c r="E11" s="202">
        <f>B11+C11+D11</f>
        <v>6417</v>
      </c>
      <c r="F11" s="191">
        <v>595</v>
      </c>
      <c r="G11" s="186">
        <v>3194</v>
      </c>
      <c r="H11" s="186"/>
      <c r="I11" s="202">
        <f t="shared" ref="I11:I27" si="2">SUM(F11:H11)</f>
        <v>3789</v>
      </c>
      <c r="J11" s="191">
        <v>2029</v>
      </c>
      <c r="K11" s="192">
        <v>1636</v>
      </c>
      <c r="L11" s="191"/>
      <c r="M11" s="192"/>
      <c r="N11" s="204">
        <f t="shared" ref="N11:N27" si="3">SUM(O11:P11)</f>
        <v>8446</v>
      </c>
      <c r="O11" s="186">
        <v>5425</v>
      </c>
      <c r="P11" s="192">
        <v>3021</v>
      </c>
      <c r="Q11" s="193">
        <v>5154497</v>
      </c>
      <c r="R11" s="209">
        <f t="shared" ref="R11:R27" si="4">N11*100000/Q11</f>
        <v>163.8569195015537</v>
      </c>
      <c r="S11" s="210">
        <f t="shared" ref="S11:S27" si="5">(I11+K11)*100000/Q11</f>
        <v>105.2479029476591</v>
      </c>
      <c r="T11" s="211">
        <f t="shared" ref="T11:T27" si="6">F11*100000/Q11</f>
        <v>11.543318387807773</v>
      </c>
    </row>
    <row r="12" spans="1:20">
      <c r="A12" s="189">
        <v>1998</v>
      </c>
      <c r="B12" s="191">
        <v>915</v>
      </c>
      <c r="C12" s="186">
        <v>3676</v>
      </c>
      <c r="D12" s="186">
        <v>363</v>
      </c>
      <c r="E12" s="202">
        <f t="shared" ref="E12:E27" si="7">B12+C12+D12</f>
        <v>4954</v>
      </c>
      <c r="F12" s="191">
        <v>534</v>
      </c>
      <c r="G12" s="186">
        <v>1944</v>
      </c>
      <c r="H12" s="186">
        <v>363</v>
      </c>
      <c r="I12" s="202">
        <f t="shared" si="2"/>
        <v>2841</v>
      </c>
      <c r="J12" s="191">
        <v>1741</v>
      </c>
      <c r="K12" s="192">
        <v>1615</v>
      </c>
      <c r="L12" s="191"/>
      <c r="M12" s="192"/>
      <c r="N12" s="204">
        <f t="shared" si="3"/>
        <v>6695</v>
      </c>
      <c r="O12" s="186">
        <v>4456</v>
      </c>
      <c r="P12" s="192">
        <v>2239</v>
      </c>
      <c r="Q12" s="193">
        <v>5194252</v>
      </c>
      <c r="R12" s="209">
        <f t="shared" si="4"/>
        <v>128.89247575974366</v>
      </c>
      <c r="S12" s="210">
        <f t="shared" si="5"/>
        <v>85.78713547205642</v>
      </c>
      <c r="T12" s="211">
        <f t="shared" si="6"/>
        <v>10.280594780538179</v>
      </c>
    </row>
    <row r="13" spans="1:20">
      <c r="A13" s="189">
        <v>1999</v>
      </c>
      <c r="B13" s="191">
        <v>1383</v>
      </c>
      <c r="C13" s="186">
        <v>3027</v>
      </c>
      <c r="D13" s="186">
        <v>483</v>
      </c>
      <c r="E13" s="202">
        <f t="shared" si="7"/>
        <v>4893</v>
      </c>
      <c r="F13" s="191">
        <v>724</v>
      </c>
      <c r="G13" s="186">
        <v>1820</v>
      </c>
      <c r="H13" s="186">
        <v>321</v>
      </c>
      <c r="I13" s="202">
        <f t="shared" si="2"/>
        <v>2865</v>
      </c>
      <c r="J13" s="191">
        <v>1719</v>
      </c>
      <c r="K13" s="192">
        <v>1613</v>
      </c>
      <c r="L13" s="191"/>
      <c r="M13" s="192"/>
      <c r="N13" s="204">
        <f t="shared" si="3"/>
        <v>6612</v>
      </c>
      <c r="O13" s="186">
        <v>4476</v>
      </c>
      <c r="P13" s="192">
        <v>2136</v>
      </c>
      <c r="Q13" s="193">
        <v>5194252</v>
      </c>
      <c r="R13" s="209">
        <f t="shared" si="4"/>
        <v>127.29455559722555</v>
      </c>
      <c r="S13" s="210">
        <f t="shared" si="5"/>
        <v>86.210680575374468</v>
      </c>
      <c r="T13" s="211">
        <f t="shared" si="6"/>
        <v>13.938484309194086</v>
      </c>
    </row>
    <row r="14" spans="1:20">
      <c r="A14" s="189">
        <v>2000</v>
      </c>
      <c r="B14" s="191">
        <v>1451</v>
      </c>
      <c r="C14" s="186">
        <v>2987</v>
      </c>
      <c r="D14" s="186">
        <v>524</v>
      </c>
      <c r="E14" s="202">
        <f t="shared" si="7"/>
        <v>4962</v>
      </c>
      <c r="F14" s="191">
        <v>807</v>
      </c>
      <c r="G14" s="186">
        <v>1945</v>
      </c>
      <c r="H14" s="186">
        <v>317</v>
      </c>
      <c r="I14" s="202">
        <f t="shared" si="2"/>
        <v>3069</v>
      </c>
      <c r="J14" s="191">
        <v>1473</v>
      </c>
      <c r="K14" s="192">
        <v>1324</v>
      </c>
      <c r="L14" s="191"/>
      <c r="M14" s="192"/>
      <c r="N14" s="204">
        <f t="shared" si="3"/>
        <v>6435</v>
      </c>
      <c r="O14" s="186">
        <v>4393</v>
      </c>
      <c r="P14" s="192">
        <v>2042</v>
      </c>
      <c r="Q14" s="193">
        <v>4452100</v>
      </c>
      <c r="R14" s="209">
        <f t="shared" si="4"/>
        <v>144.53853237797892</v>
      </c>
      <c r="S14" s="210">
        <f t="shared" si="5"/>
        <v>98.672536555782671</v>
      </c>
      <c r="T14" s="211">
        <f t="shared" si="6"/>
        <v>18.126277487028592</v>
      </c>
    </row>
    <row r="15" spans="1:20">
      <c r="A15" s="189">
        <v>2001</v>
      </c>
      <c r="B15" s="191">
        <v>1727</v>
      </c>
      <c r="C15" s="186">
        <v>2642</v>
      </c>
      <c r="D15" s="186">
        <v>386</v>
      </c>
      <c r="E15" s="202">
        <f t="shared" si="7"/>
        <v>4755</v>
      </c>
      <c r="F15" s="191">
        <v>1031</v>
      </c>
      <c r="G15" s="186">
        <v>1535</v>
      </c>
      <c r="H15" s="186">
        <v>234</v>
      </c>
      <c r="I15" s="202">
        <f t="shared" si="2"/>
        <v>2800</v>
      </c>
      <c r="J15" s="191">
        <v>1171</v>
      </c>
      <c r="K15" s="192">
        <v>1100</v>
      </c>
      <c r="L15" s="191"/>
      <c r="M15" s="192"/>
      <c r="N15" s="204">
        <f t="shared" si="3"/>
        <v>5926</v>
      </c>
      <c r="O15" s="186">
        <v>3900</v>
      </c>
      <c r="P15" s="192">
        <v>2026</v>
      </c>
      <c r="Q15" s="193">
        <v>4452100</v>
      </c>
      <c r="R15" s="209">
        <f t="shared" si="4"/>
        <v>133.10572538801912</v>
      </c>
      <c r="S15" s="210">
        <f t="shared" si="5"/>
        <v>87.59911053210844</v>
      </c>
      <c r="T15" s="211">
        <f t="shared" si="6"/>
        <v>23.157611015026617</v>
      </c>
    </row>
    <row r="16" spans="1:20">
      <c r="A16" s="189">
        <v>2002</v>
      </c>
      <c r="B16" s="191">
        <v>1738</v>
      </c>
      <c r="C16" s="186">
        <v>2893</v>
      </c>
      <c r="D16" s="186">
        <v>388</v>
      </c>
      <c r="E16" s="202">
        <f t="shared" si="7"/>
        <v>5019</v>
      </c>
      <c r="F16" s="191">
        <v>1034</v>
      </c>
      <c r="G16" s="186">
        <v>1819</v>
      </c>
      <c r="H16" s="186">
        <v>264</v>
      </c>
      <c r="I16" s="202">
        <f t="shared" si="2"/>
        <v>3117</v>
      </c>
      <c r="J16" s="191">
        <v>1346</v>
      </c>
      <c r="K16" s="192">
        <v>1261</v>
      </c>
      <c r="L16" s="191"/>
      <c r="M16" s="192"/>
      <c r="N16" s="204">
        <f t="shared" si="3"/>
        <v>6365</v>
      </c>
      <c r="O16" s="186">
        <v>4378</v>
      </c>
      <c r="P16" s="192">
        <v>1987</v>
      </c>
      <c r="Q16" s="193">
        <v>4369500</v>
      </c>
      <c r="R16" s="209">
        <f t="shared" si="4"/>
        <v>145.66884082847008</v>
      </c>
      <c r="S16" s="210">
        <f t="shared" si="5"/>
        <v>100.1945302666209</v>
      </c>
      <c r="T16" s="211">
        <f t="shared" si="6"/>
        <v>23.664034786588854</v>
      </c>
    </row>
    <row r="17" spans="1:20">
      <c r="A17" s="190">
        <v>2003</v>
      </c>
      <c r="B17" s="191">
        <v>1778</v>
      </c>
      <c r="C17" s="186">
        <v>2598</v>
      </c>
      <c r="D17" s="186">
        <v>398</v>
      </c>
      <c r="E17" s="202">
        <f t="shared" si="7"/>
        <v>4774</v>
      </c>
      <c r="F17" s="191">
        <v>1012</v>
      </c>
      <c r="G17" s="186">
        <v>1585</v>
      </c>
      <c r="H17" s="186">
        <v>274</v>
      </c>
      <c r="I17" s="202">
        <f t="shared" si="2"/>
        <v>2871</v>
      </c>
      <c r="J17" s="191">
        <v>1299</v>
      </c>
      <c r="K17" s="192">
        <v>1225</v>
      </c>
      <c r="L17" s="191"/>
      <c r="M17" s="192"/>
      <c r="N17" s="204">
        <f t="shared" si="3"/>
        <v>6073</v>
      </c>
      <c r="O17" s="186">
        <v>4096</v>
      </c>
      <c r="P17" s="192">
        <v>1977</v>
      </c>
      <c r="Q17" s="193">
        <v>4369500</v>
      </c>
      <c r="R17" s="209">
        <f t="shared" si="4"/>
        <v>138.98615402219934</v>
      </c>
      <c r="S17" s="210">
        <f t="shared" si="5"/>
        <v>93.740702597551206</v>
      </c>
      <c r="T17" s="211">
        <f t="shared" si="6"/>
        <v>23.16054468474654</v>
      </c>
    </row>
    <row r="18" spans="1:20">
      <c r="A18" s="190">
        <v>2004</v>
      </c>
      <c r="B18" s="191">
        <v>2240</v>
      </c>
      <c r="C18" s="186">
        <v>2216</v>
      </c>
      <c r="D18" s="186">
        <v>264</v>
      </c>
      <c r="E18" s="202">
        <f t="shared" si="7"/>
        <v>4720</v>
      </c>
      <c r="F18" s="191">
        <v>1301</v>
      </c>
      <c r="G18" s="186">
        <v>1306</v>
      </c>
      <c r="H18" s="186">
        <v>170</v>
      </c>
      <c r="I18" s="202">
        <f t="shared" si="2"/>
        <v>2777</v>
      </c>
      <c r="J18" s="191">
        <v>1142</v>
      </c>
      <c r="K18" s="192">
        <v>1042</v>
      </c>
      <c r="L18" s="191"/>
      <c r="M18" s="192"/>
      <c r="N18" s="204">
        <f t="shared" si="3"/>
        <v>5862</v>
      </c>
      <c r="O18" s="186">
        <v>3819</v>
      </c>
      <c r="P18" s="192">
        <v>2043</v>
      </c>
      <c r="Q18" s="193">
        <v>4369500</v>
      </c>
      <c r="R18" s="209">
        <f t="shared" si="4"/>
        <v>134.15722622725713</v>
      </c>
      <c r="S18" s="210">
        <f t="shared" si="5"/>
        <v>87.401304497082052</v>
      </c>
      <c r="T18" s="211">
        <f t="shared" si="6"/>
        <v>29.774573749856962</v>
      </c>
    </row>
    <row r="19" spans="1:20">
      <c r="A19" s="190">
        <v>2005</v>
      </c>
      <c r="B19" s="191">
        <v>2589</v>
      </c>
      <c r="C19" s="186">
        <v>2331</v>
      </c>
      <c r="D19" s="186">
        <v>140</v>
      </c>
      <c r="E19" s="202">
        <f t="shared" si="7"/>
        <v>5060</v>
      </c>
      <c r="F19" s="191">
        <v>1489</v>
      </c>
      <c r="G19" s="186">
        <v>1387</v>
      </c>
      <c r="H19" s="186">
        <v>112</v>
      </c>
      <c r="I19" s="202">
        <f t="shared" si="2"/>
        <v>2988</v>
      </c>
      <c r="J19" s="191">
        <v>1367</v>
      </c>
      <c r="K19" s="192">
        <v>1243</v>
      </c>
      <c r="L19" s="191">
        <v>2</v>
      </c>
      <c r="M19" s="192">
        <v>1</v>
      </c>
      <c r="N19" s="204">
        <f t="shared" si="3"/>
        <v>6429</v>
      </c>
      <c r="O19" s="186">
        <v>4232</v>
      </c>
      <c r="P19" s="192">
        <v>2197</v>
      </c>
      <c r="Q19" s="193">
        <v>4401300</v>
      </c>
      <c r="R19" s="209">
        <f t="shared" si="4"/>
        <v>146.07047917660691</v>
      </c>
      <c r="S19" s="210">
        <f t="shared" si="5"/>
        <v>96.130688660168587</v>
      </c>
      <c r="T19" s="211">
        <f t="shared" si="6"/>
        <v>33.830913593710946</v>
      </c>
    </row>
    <row r="20" spans="1:20">
      <c r="A20" s="190">
        <v>2006</v>
      </c>
      <c r="B20" s="191">
        <v>2986</v>
      </c>
      <c r="C20" s="186">
        <v>1802</v>
      </c>
      <c r="D20" s="186">
        <v>149</v>
      </c>
      <c r="E20" s="202">
        <f t="shared" si="7"/>
        <v>4937</v>
      </c>
      <c r="F20" s="191">
        <v>1815</v>
      </c>
      <c r="G20" s="186">
        <v>1121</v>
      </c>
      <c r="H20" s="186">
        <v>96</v>
      </c>
      <c r="I20" s="202">
        <f t="shared" si="2"/>
        <v>3032</v>
      </c>
      <c r="J20" s="191">
        <v>1374</v>
      </c>
      <c r="K20" s="192">
        <v>1252</v>
      </c>
      <c r="L20" s="191">
        <v>0</v>
      </c>
      <c r="M20" s="192">
        <v>0</v>
      </c>
      <c r="N20" s="204">
        <f t="shared" si="3"/>
        <v>6311</v>
      </c>
      <c r="O20" s="186">
        <v>4284</v>
      </c>
      <c r="P20" s="192">
        <v>2027</v>
      </c>
      <c r="Q20" s="193">
        <v>4398000</v>
      </c>
      <c r="R20" s="209">
        <f t="shared" si="4"/>
        <v>143.49704411095954</v>
      </c>
      <c r="S20" s="210">
        <f t="shared" si="5"/>
        <v>97.407912687585267</v>
      </c>
      <c r="T20" s="211">
        <f t="shared" si="6"/>
        <v>41.268758526603001</v>
      </c>
    </row>
    <row r="21" spans="1:20">
      <c r="A21" s="190">
        <v>2007</v>
      </c>
      <c r="B21" s="191">
        <v>2998</v>
      </c>
      <c r="C21" s="186">
        <v>1441</v>
      </c>
      <c r="D21" s="186">
        <v>107</v>
      </c>
      <c r="E21" s="202">
        <f t="shared" si="7"/>
        <v>4546</v>
      </c>
      <c r="F21" s="191">
        <v>1862</v>
      </c>
      <c r="G21" s="186">
        <v>889</v>
      </c>
      <c r="H21" s="186">
        <v>75</v>
      </c>
      <c r="I21" s="202">
        <f t="shared" si="2"/>
        <v>2826</v>
      </c>
      <c r="J21" s="191">
        <v>1363</v>
      </c>
      <c r="K21" s="192">
        <v>1235</v>
      </c>
      <c r="L21" s="191">
        <v>2</v>
      </c>
      <c r="M21" s="192">
        <v>2</v>
      </c>
      <c r="N21" s="204">
        <f t="shared" si="3"/>
        <v>5911</v>
      </c>
      <c r="O21" s="186">
        <v>4063</v>
      </c>
      <c r="P21" s="192">
        <v>1848</v>
      </c>
      <c r="Q21" s="193">
        <v>4398000</v>
      </c>
      <c r="R21" s="209">
        <f t="shared" si="4"/>
        <v>134.40200090950432</v>
      </c>
      <c r="S21" s="210">
        <f t="shared" si="5"/>
        <v>92.337426102773989</v>
      </c>
      <c r="T21" s="211">
        <f t="shared" si="6"/>
        <v>42.337426102773989</v>
      </c>
    </row>
    <row r="22" spans="1:20">
      <c r="A22" s="190">
        <v>2008</v>
      </c>
      <c r="B22" s="191">
        <v>2850</v>
      </c>
      <c r="C22" s="186">
        <v>1555</v>
      </c>
      <c r="D22" s="186">
        <v>77</v>
      </c>
      <c r="E22" s="202">
        <f t="shared" si="7"/>
        <v>4482</v>
      </c>
      <c r="F22" s="191">
        <v>1868</v>
      </c>
      <c r="G22" s="186">
        <v>1001</v>
      </c>
      <c r="H22" s="186">
        <v>62</v>
      </c>
      <c r="I22" s="202">
        <f t="shared" si="2"/>
        <v>2931</v>
      </c>
      <c r="J22" s="191">
        <v>1354</v>
      </c>
      <c r="K22" s="192">
        <v>1217</v>
      </c>
      <c r="L22" s="191">
        <v>0</v>
      </c>
      <c r="M22" s="192">
        <v>0</v>
      </c>
      <c r="N22" s="204">
        <f t="shared" si="3"/>
        <v>5836</v>
      </c>
      <c r="O22" s="186">
        <v>4148</v>
      </c>
      <c r="P22" s="192">
        <v>1688</v>
      </c>
      <c r="Q22" s="193">
        <v>4398000</v>
      </c>
      <c r="R22" s="209">
        <f t="shared" si="4"/>
        <v>132.69668030923148</v>
      </c>
      <c r="S22" s="210">
        <f t="shared" si="5"/>
        <v>94.3155979990905</v>
      </c>
      <c r="T22" s="211">
        <f t="shared" si="6"/>
        <v>42.473851750795816</v>
      </c>
    </row>
    <row r="23" spans="1:20">
      <c r="A23" s="190">
        <v>2009</v>
      </c>
      <c r="B23" s="191">
        <v>2904</v>
      </c>
      <c r="C23" s="186">
        <v>1595</v>
      </c>
      <c r="D23" s="186">
        <v>93</v>
      </c>
      <c r="E23" s="202">
        <f t="shared" si="7"/>
        <v>4592</v>
      </c>
      <c r="F23" s="191">
        <v>2056</v>
      </c>
      <c r="G23" s="186">
        <v>1057</v>
      </c>
      <c r="H23" s="186">
        <v>62</v>
      </c>
      <c r="I23" s="202">
        <f t="shared" si="2"/>
        <v>3175</v>
      </c>
      <c r="J23" s="191">
        <v>1390</v>
      </c>
      <c r="K23" s="192">
        <v>1283</v>
      </c>
      <c r="L23" s="191">
        <v>0</v>
      </c>
      <c r="M23" s="192">
        <v>0</v>
      </c>
      <c r="N23" s="204">
        <f t="shared" si="3"/>
        <v>5982</v>
      </c>
      <c r="O23" s="186">
        <v>4458</v>
      </c>
      <c r="P23" s="192">
        <v>1524</v>
      </c>
      <c r="Q23" s="193">
        <v>4410900</v>
      </c>
      <c r="R23" s="209">
        <f t="shared" si="4"/>
        <v>135.61858124192341</v>
      </c>
      <c r="S23" s="210">
        <f t="shared" si="5"/>
        <v>101.06780929062096</v>
      </c>
      <c r="T23" s="211">
        <f t="shared" si="6"/>
        <v>46.611802579972341</v>
      </c>
    </row>
    <row r="24" spans="1:20">
      <c r="A24" s="190">
        <v>2010</v>
      </c>
      <c r="B24" s="191">
        <v>2904</v>
      </c>
      <c r="C24" s="186">
        <v>1550</v>
      </c>
      <c r="D24" s="186">
        <v>72</v>
      </c>
      <c r="E24" s="202">
        <f t="shared" si="7"/>
        <v>4526</v>
      </c>
      <c r="F24" s="191">
        <v>2141</v>
      </c>
      <c r="G24" s="186">
        <v>1034</v>
      </c>
      <c r="H24" s="186">
        <v>55</v>
      </c>
      <c r="I24" s="202">
        <f t="shared" si="2"/>
        <v>3230</v>
      </c>
      <c r="J24" s="191">
        <v>1272</v>
      </c>
      <c r="K24" s="192">
        <v>1155</v>
      </c>
      <c r="L24" s="191">
        <v>0</v>
      </c>
      <c r="M24" s="192">
        <v>0</v>
      </c>
      <c r="N24" s="204">
        <f t="shared" si="3"/>
        <v>5798</v>
      </c>
      <c r="O24" s="186">
        <v>4385</v>
      </c>
      <c r="P24" s="192">
        <v>1413</v>
      </c>
      <c r="Q24" s="193">
        <v>4452800</v>
      </c>
      <c r="R24" s="209">
        <f t="shared" si="4"/>
        <v>130.2102048149479</v>
      </c>
      <c r="S24" s="210">
        <f t="shared" si="5"/>
        <v>98.477362558390226</v>
      </c>
      <c r="T24" s="211">
        <f t="shared" si="6"/>
        <v>48.082105641394179</v>
      </c>
    </row>
    <row r="25" spans="1:20">
      <c r="A25" s="190">
        <v>2011</v>
      </c>
      <c r="B25" s="191">
        <v>2794</v>
      </c>
      <c r="C25" s="186">
        <v>1522</v>
      </c>
      <c r="D25" s="186">
        <v>56</v>
      </c>
      <c r="E25" s="202">
        <f t="shared" si="7"/>
        <v>4372</v>
      </c>
      <c r="F25" s="191">
        <v>2029</v>
      </c>
      <c r="G25" s="186">
        <v>1094</v>
      </c>
      <c r="H25" s="186">
        <v>47</v>
      </c>
      <c r="I25" s="202">
        <f t="shared" si="2"/>
        <v>3170</v>
      </c>
      <c r="J25" s="191">
        <v>1164</v>
      </c>
      <c r="K25" s="192">
        <v>1056</v>
      </c>
      <c r="L25" s="191">
        <v>0</v>
      </c>
      <c r="M25" s="192">
        <v>0</v>
      </c>
      <c r="N25" s="204">
        <f t="shared" si="3"/>
        <v>5536</v>
      </c>
      <c r="O25" s="186">
        <v>4226</v>
      </c>
      <c r="P25" s="192">
        <v>1310</v>
      </c>
      <c r="Q25" s="193">
        <v>4483400</v>
      </c>
      <c r="R25" s="209">
        <f t="shared" si="4"/>
        <v>123.47771780345273</v>
      </c>
      <c r="S25" s="210">
        <f t="shared" si="5"/>
        <v>94.258821430164602</v>
      </c>
      <c r="T25" s="211">
        <f t="shared" si="6"/>
        <v>45.255832627024134</v>
      </c>
    </row>
    <row r="26" spans="1:20">
      <c r="A26" s="190">
        <v>2012</v>
      </c>
      <c r="B26" s="191">
        <v>2280</v>
      </c>
      <c r="C26" s="186">
        <v>1573</v>
      </c>
      <c r="D26" s="186">
        <v>54</v>
      </c>
      <c r="E26" s="202">
        <f t="shared" si="7"/>
        <v>3907</v>
      </c>
      <c r="F26" s="191">
        <v>1649</v>
      </c>
      <c r="G26" s="186">
        <v>1139</v>
      </c>
      <c r="H26" s="186">
        <v>47</v>
      </c>
      <c r="I26" s="202">
        <f t="shared" si="2"/>
        <v>2835</v>
      </c>
      <c r="J26" s="191">
        <v>1068</v>
      </c>
      <c r="K26" s="192">
        <v>944</v>
      </c>
      <c r="L26" s="191">
        <v>0</v>
      </c>
      <c r="M26" s="192">
        <v>0</v>
      </c>
      <c r="N26" s="204">
        <f t="shared" si="3"/>
        <v>4975</v>
      </c>
      <c r="O26" s="186">
        <v>3779</v>
      </c>
      <c r="P26" s="192">
        <v>1196</v>
      </c>
      <c r="Q26" s="193">
        <v>4490700</v>
      </c>
      <c r="R26" s="209">
        <f t="shared" si="4"/>
        <v>110.78451020998953</v>
      </c>
      <c r="S26" s="210">
        <f t="shared" si="5"/>
        <v>84.151691273075471</v>
      </c>
      <c r="T26" s="211">
        <f t="shared" si="6"/>
        <v>36.720333132919144</v>
      </c>
    </row>
    <row r="27" spans="1:20">
      <c r="A27" s="1056">
        <v>2013</v>
      </c>
      <c r="B27" s="1057">
        <v>1913</v>
      </c>
      <c r="C27" s="1058">
        <v>1549</v>
      </c>
      <c r="D27" s="1058">
        <v>42</v>
      </c>
      <c r="E27" s="1059">
        <f t="shared" si="7"/>
        <v>3504</v>
      </c>
      <c r="F27" s="1057">
        <v>1334</v>
      </c>
      <c r="G27" s="1058">
        <v>1040</v>
      </c>
      <c r="H27" s="1058">
        <v>38</v>
      </c>
      <c r="I27" s="1059">
        <f t="shared" si="2"/>
        <v>2412</v>
      </c>
      <c r="J27" s="1057">
        <v>816</v>
      </c>
      <c r="K27" s="1060">
        <v>721</v>
      </c>
      <c r="L27" s="1057">
        <v>0</v>
      </c>
      <c r="M27" s="1060">
        <v>0</v>
      </c>
      <c r="N27" s="1061">
        <f t="shared" si="3"/>
        <v>4320</v>
      </c>
      <c r="O27" s="1058">
        <v>3133</v>
      </c>
      <c r="P27" s="1060">
        <v>1187</v>
      </c>
      <c r="Q27" s="1062">
        <v>4487200</v>
      </c>
      <c r="R27" s="1063">
        <f t="shared" si="4"/>
        <v>96.273845605277231</v>
      </c>
      <c r="S27" s="1064">
        <f t="shared" si="5"/>
        <v>69.820823676234625</v>
      </c>
      <c r="T27" s="1065">
        <f t="shared" si="6"/>
        <v>29.729006953111071</v>
      </c>
    </row>
    <row r="28" spans="1:20">
      <c r="A28" s="1066">
        <v>2014</v>
      </c>
      <c r="B28" s="1067">
        <v>1616</v>
      </c>
      <c r="C28" s="1067">
        <v>1423</v>
      </c>
      <c r="D28" s="1067">
        <v>55</v>
      </c>
      <c r="E28" s="1068">
        <f t="shared" ref="E28" si="8">B28+C28+D28</f>
        <v>3094</v>
      </c>
      <c r="F28" s="1067">
        <v>1142</v>
      </c>
      <c r="G28" s="1067">
        <v>965</v>
      </c>
      <c r="H28" s="1067">
        <v>39</v>
      </c>
      <c r="I28" s="1068">
        <f t="shared" ref="I28" si="9">SUM(F28:H28)</f>
        <v>2146</v>
      </c>
      <c r="J28" s="1067">
        <v>756</v>
      </c>
      <c r="K28" s="1067">
        <v>661</v>
      </c>
      <c r="L28" s="1067">
        <v>0</v>
      </c>
      <c r="M28" s="1067">
        <v>0</v>
      </c>
      <c r="N28" s="1068">
        <f t="shared" ref="N28" si="10">SUM(O28:P28)</f>
        <v>3850</v>
      </c>
      <c r="O28" s="1067">
        <v>2807</v>
      </c>
      <c r="P28" s="1067">
        <v>1043</v>
      </c>
      <c r="Q28" s="1069">
        <f>Population!L6*1000</f>
        <v>4362800</v>
      </c>
      <c r="R28" s="1070">
        <f t="shared" ref="R28" si="11">N28*100000/Q28</f>
        <v>88.246080498762268</v>
      </c>
      <c r="S28" s="1071">
        <f t="shared" ref="S28" si="12">(I28+K28)*100000/Q28</f>
        <v>64.33941505455212</v>
      </c>
      <c r="T28" s="1071">
        <f t="shared" ref="T28" si="13">F28*100000/Q28</f>
        <v>26.175850371321172</v>
      </c>
    </row>
    <row r="29" spans="1:20">
      <c r="A29" s="1066">
        <v>2015</v>
      </c>
      <c r="B29" s="1067">
        <v>1298</v>
      </c>
      <c r="C29" s="1067">
        <v>1569</v>
      </c>
      <c r="D29" s="1067">
        <v>51</v>
      </c>
      <c r="E29" s="1068">
        <v>2918</v>
      </c>
      <c r="F29" s="1067">
        <v>890</v>
      </c>
      <c r="G29" s="1067">
        <v>1077</v>
      </c>
      <c r="H29" s="1067">
        <v>39</v>
      </c>
      <c r="I29" s="1068">
        <v>2006</v>
      </c>
      <c r="J29" s="1067">
        <v>693</v>
      </c>
      <c r="K29" s="1067">
        <v>616</v>
      </c>
      <c r="L29" s="1067"/>
      <c r="M29" s="1067"/>
      <c r="N29" s="1068">
        <v>3611</v>
      </c>
      <c r="O29" s="1067">
        <v>2622</v>
      </c>
      <c r="P29" s="1067">
        <v>989</v>
      </c>
      <c r="Q29" s="1069">
        <v>3717100</v>
      </c>
      <c r="R29" s="1070">
        <v>97.145624276990134</v>
      </c>
      <c r="S29" s="1071">
        <v>70.538860939980097</v>
      </c>
      <c r="T29" s="1071">
        <v>23.943396734013074</v>
      </c>
    </row>
    <row r="30" spans="1:20">
      <c r="A30" s="1066">
        <v>2016</v>
      </c>
      <c r="B30" s="1067">
        <v>1201</v>
      </c>
      <c r="C30" s="1067">
        <v>1464</v>
      </c>
      <c r="D30" s="1067">
        <v>47</v>
      </c>
      <c r="E30" s="1068">
        <v>2712</v>
      </c>
      <c r="F30" s="1067">
        <v>836</v>
      </c>
      <c r="G30" s="1067">
        <v>1027</v>
      </c>
      <c r="H30" s="1067">
        <v>40</v>
      </c>
      <c r="I30" s="1068">
        <v>1903</v>
      </c>
      <c r="J30" s="1067">
        <v>620</v>
      </c>
      <c r="K30" s="1067">
        <v>562</v>
      </c>
      <c r="L30" s="1067"/>
      <c r="M30" s="1067"/>
      <c r="N30" s="1068">
        <v>3332</v>
      </c>
      <c r="O30" s="1067">
        <v>2465</v>
      </c>
      <c r="P30" s="1067">
        <v>867</v>
      </c>
      <c r="Q30" s="1069">
        <v>3720400</v>
      </c>
      <c r="R30" s="1070">
        <v>89.56026233738308</v>
      </c>
      <c r="S30" s="1071">
        <v>66.256316525104836</v>
      </c>
      <c r="T30" s="1071">
        <v>22.470702075045693</v>
      </c>
    </row>
    <row r="32" spans="1:20">
      <c r="A32" s="213" t="s">
        <v>43</v>
      </c>
      <c r="B32" s="214" t="s">
        <v>1836</v>
      </c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</row>
    <row r="33" spans="1:20" ht="15.75" thickBot="1"/>
    <row r="34" spans="1:20" ht="12.6" customHeight="1" thickBot="1">
      <c r="A34" s="1802" t="s">
        <v>0</v>
      </c>
      <c r="B34" s="1805" t="s">
        <v>8</v>
      </c>
      <c r="C34" s="1806"/>
      <c r="D34" s="1806"/>
      <c r="E34" s="1806"/>
      <c r="F34" s="1806"/>
      <c r="G34" s="1806"/>
      <c r="H34" s="1806"/>
      <c r="I34" s="1807"/>
      <c r="J34" s="1784" t="s">
        <v>1</v>
      </c>
      <c r="K34" s="1808"/>
      <c r="L34" s="1784" t="s">
        <v>2</v>
      </c>
      <c r="M34" s="1808"/>
      <c r="N34" s="1784" t="s">
        <v>53</v>
      </c>
      <c r="O34" s="1809"/>
      <c r="P34" s="1808"/>
      <c r="Q34" s="1802" t="s">
        <v>3</v>
      </c>
      <c r="R34" s="1784" t="s">
        <v>54</v>
      </c>
      <c r="S34" s="1809"/>
      <c r="T34" s="1808"/>
    </row>
    <row r="35" spans="1:20" ht="12.6" customHeight="1">
      <c r="A35" s="1803"/>
      <c r="B35" s="1784" t="s">
        <v>55</v>
      </c>
      <c r="C35" s="1809"/>
      <c r="D35" s="1809"/>
      <c r="E35" s="1808"/>
      <c r="F35" s="1784" t="s">
        <v>6</v>
      </c>
      <c r="G35" s="1809"/>
      <c r="H35" s="1809"/>
      <c r="I35" s="1808"/>
      <c r="J35" s="1810" t="s">
        <v>5</v>
      </c>
      <c r="K35" s="1812" t="s">
        <v>6</v>
      </c>
      <c r="L35" s="1810" t="s">
        <v>5</v>
      </c>
      <c r="M35" s="1812" t="s">
        <v>6</v>
      </c>
      <c r="N35" s="1810" t="s">
        <v>5</v>
      </c>
      <c r="O35" s="1814" t="s">
        <v>6</v>
      </c>
      <c r="P35" s="1812" t="s">
        <v>7</v>
      </c>
      <c r="Q35" s="1803"/>
      <c r="R35" s="1810" t="s">
        <v>56</v>
      </c>
      <c r="S35" s="1814" t="s">
        <v>6</v>
      </c>
      <c r="T35" s="1812" t="s">
        <v>57</v>
      </c>
    </row>
    <row r="36" spans="1:20" ht="28.5" customHeight="1" thickBot="1">
      <c r="A36" s="1804"/>
      <c r="B36" s="26" t="s">
        <v>58</v>
      </c>
      <c r="C36" s="158" t="s">
        <v>59</v>
      </c>
      <c r="D36" s="158" t="s">
        <v>60</v>
      </c>
      <c r="E36" s="157" t="s">
        <v>4</v>
      </c>
      <c r="F36" s="26" t="s">
        <v>58</v>
      </c>
      <c r="G36" s="158" t="s">
        <v>59</v>
      </c>
      <c r="H36" s="158" t="s">
        <v>60</v>
      </c>
      <c r="I36" s="157" t="s">
        <v>4</v>
      </c>
      <c r="J36" s="1811"/>
      <c r="K36" s="1813"/>
      <c r="L36" s="1811"/>
      <c r="M36" s="1813"/>
      <c r="N36" s="1811"/>
      <c r="O36" s="1815"/>
      <c r="P36" s="1813"/>
      <c r="Q36" s="1804"/>
      <c r="R36" s="1811"/>
      <c r="S36" s="1815"/>
      <c r="T36" s="1813"/>
    </row>
    <row r="37" spans="1:20">
      <c r="A37" s="194">
        <v>1996</v>
      </c>
      <c r="B37" s="195"/>
      <c r="C37" s="196"/>
      <c r="D37" s="196"/>
      <c r="E37" s="201"/>
      <c r="F37" s="195"/>
      <c r="G37" s="196"/>
      <c r="H37" s="196"/>
      <c r="I37" s="201"/>
      <c r="J37" s="195"/>
      <c r="K37" s="197"/>
      <c r="L37" s="195"/>
      <c r="M37" s="197"/>
      <c r="N37" s="203"/>
      <c r="O37" s="196"/>
      <c r="P37" s="197"/>
      <c r="Q37" s="198"/>
      <c r="R37" s="195"/>
      <c r="S37" s="199"/>
      <c r="T37" s="200"/>
    </row>
    <row r="38" spans="1:20">
      <c r="A38" s="189">
        <v>1997</v>
      </c>
      <c r="B38" s="191"/>
      <c r="C38" s="186"/>
      <c r="D38" s="186"/>
      <c r="E38" s="202"/>
      <c r="F38" s="191"/>
      <c r="G38" s="186"/>
      <c r="H38" s="186"/>
      <c r="I38" s="202"/>
      <c r="J38" s="191"/>
      <c r="K38" s="192"/>
      <c r="L38" s="191"/>
      <c r="M38" s="192"/>
      <c r="N38" s="204"/>
      <c r="O38" s="186"/>
      <c r="P38" s="192"/>
      <c r="Q38" s="193"/>
      <c r="R38" s="191"/>
      <c r="S38" s="187"/>
      <c r="T38" s="188"/>
    </row>
    <row r="39" spans="1:20">
      <c r="A39" s="189">
        <v>1998</v>
      </c>
      <c r="B39" s="191"/>
      <c r="C39" s="186"/>
      <c r="D39" s="186"/>
      <c r="E39" s="202"/>
      <c r="F39" s="191"/>
      <c r="G39" s="186"/>
      <c r="H39" s="186"/>
      <c r="I39" s="202"/>
      <c r="J39" s="191"/>
      <c r="K39" s="192"/>
      <c r="L39" s="191"/>
      <c r="M39" s="192"/>
      <c r="N39" s="204"/>
      <c r="O39" s="186"/>
      <c r="P39" s="192"/>
      <c r="Q39" s="193"/>
      <c r="R39" s="191"/>
      <c r="S39" s="187"/>
      <c r="T39" s="188"/>
    </row>
    <row r="40" spans="1:20">
      <c r="A40" s="189">
        <v>1999</v>
      </c>
      <c r="B40" s="191">
        <v>340</v>
      </c>
      <c r="C40" s="186">
        <v>82</v>
      </c>
      <c r="D40" s="186">
        <v>0</v>
      </c>
      <c r="E40" s="202">
        <f>SUM(B40:D40)</f>
        <v>422</v>
      </c>
      <c r="F40" s="191">
        <v>154</v>
      </c>
      <c r="G40" s="186">
        <v>22</v>
      </c>
      <c r="H40" s="186">
        <v>0</v>
      </c>
      <c r="I40" s="202">
        <f>SUM(F40:H40)</f>
        <v>176</v>
      </c>
      <c r="J40" s="191">
        <v>0</v>
      </c>
      <c r="K40" s="192">
        <v>0</v>
      </c>
      <c r="L40" s="191">
        <v>0</v>
      </c>
      <c r="M40" s="192">
        <v>0</v>
      </c>
      <c r="N40" s="204">
        <v>422</v>
      </c>
      <c r="O40" s="186">
        <f>SUM(I40,K40,M40)</f>
        <v>176</v>
      </c>
      <c r="P40" s="192">
        <f>N40-O40</f>
        <v>246</v>
      </c>
      <c r="Q40" s="193"/>
      <c r="R40" s="191"/>
      <c r="S40" s="187"/>
      <c r="T40" s="188"/>
    </row>
    <row r="41" spans="1:20">
      <c r="A41" s="189">
        <v>2000</v>
      </c>
      <c r="B41" s="191">
        <v>380</v>
      </c>
      <c r="C41" s="186">
        <v>147</v>
      </c>
      <c r="D41" s="186">
        <v>0</v>
      </c>
      <c r="E41" s="202">
        <f t="shared" ref="E41:E44" si="14">SUM(B41:D41)</f>
        <v>527</v>
      </c>
      <c r="F41" s="191">
        <v>206</v>
      </c>
      <c r="G41" s="186">
        <v>49</v>
      </c>
      <c r="H41" s="186">
        <v>0</v>
      </c>
      <c r="I41" s="202">
        <f t="shared" ref="I41:I44" si="15">SUM(F41:H41)</f>
        <v>255</v>
      </c>
      <c r="J41" s="191">
        <v>0</v>
      </c>
      <c r="K41" s="192">
        <v>0</v>
      </c>
      <c r="L41" s="191">
        <v>0</v>
      </c>
      <c r="M41" s="192">
        <v>0</v>
      </c>
      <c r="N41" s="204">
        <v>527</v>
      </c>
      <c r="O41" s="186">
        <f t="shared" ref="O41:O44" si="16">SUM(I41,K41,M41)</f>
        <v>255</v>
      </c>
      <c r="P41" s="192">
        <f t="shared" ref="P41:P44" si="17">N41-O41</f>
        <v>272</v>
      </c>
      <c r="Q41" s="193"/>
      <c r="R41" s="191"/>
      <c r="S41" s="187"/>
      <c r="T41" s="188"/>
    </row>
    <row r="42" spans="1:20">
      <c r="A42" s="189">
        <v>2001</v>
      </c>
      <c r="B42" s="191">
        <v>359</v>
      </c>
      <c r="C42" s="186">
        <v>117</v>
      </c>
      <c r="D42" s="186">
        <v>0</v>
      </c>
      <c r="E42" s="202">
        <f t="shared" si="14"/>
        <v>476</v>
      </c>
      <c r="F42" s="191">
        <v>224</v>
      </c>
      <c r="G42" s="186">
        <v>24</v>
      </c>
      <c r="H42" s="186">
        <v>0</v>
      </c>
      <c r="I42" s="202">
        <f t="shared" si="15"/>
        <v>248</v>
      </c>
      <c r="J42" s="191">
        <v>3</v>
      </c>
      <c r="K42" s="192">
        <v>2</v>
      </c>
      <c r="L42" s="191">
        <v>0</v>
      </c>
      <c r="M42" s="192">
        <v>0</v>
      </c>
      <c r="N42" s="204">
        <v>479</v>
      </c>
      <c r="O42" s="186">
        <f t="shared" si="16"/>
        <v>250</v>
      </c>
      <c r="P42" s="192">
        <f t="shared" si="17"/>
        <v>229</v>
      </c>
      <c r="Q42" s="1385"/>
      <c r="R42" s="191"/>
      <c r="S42" s="187"/>
      <c r="T42" s="188"/>
    </row>
    <row r="43" spans="1:20">
      <c r="A43" s="189">
        <v>2002</v>
      </c>
      <c r="B43" s="191">
        <v>289</v>
      </c>
      <c r="C43" s="186">
        <v>139</v>
      </c>
      <c r="D43" s="186">
        <v>0</v>
      </c>
      <c r="E43" s="202">
        <f t="shared" si="14"/>
        <v>428</v>
      </c>
      <c r="F43" s="191">
        <v>165</v>
      </c>
      <c r="G43" s="186">
        <v>39</v>
      </c>
      <c r="H43" s="186">
        <v>0</v>
      </c>
      <c r="I43" s="202">
        <f t="shared" si="15"/>
        <v>204</v>
      </c>
      <c r="J43" s="191">
        <v>13</v>
      </c>
      <c r="K43" s="192">
        <v>10</v>
      </c>
      <c r="L43" s="191">
        <v>0</v>
      </c>
      <c r="M43" s="192">
        <v>0</v>
      </c>
      <c r="N43" s="204">
        <v>441</v>
      </c>
      <c r="O43" s="186">
        <f t="shared" si="16"/>
        <v>214</v>
      </c>
      <c r="P43" s="192">
        <f t="shared" si="17"/>
        <v>227</v>
      </c>
      <c r="Q43" s="1385">
        <v>8500</v>
      </c>
      <c r="R43" s="191">
        <f>N43*100000/Q43</f>
        <v>5188.2352941176468</v>
      </c>
      <c r="S43" s="187">
        <f t="shared" ref="S43:S57" si="18">(I43+K43)*100000/Q43</f>
        <v>2517.6470588235293</v>
      </c>
      <c r="T43" s="188">
        <f t="shared" ref="T43:T57" si="19">F43*100000/Q43</f>
        <v>1941.1764705882354</v>
      </c>
    </row>
    <row r="44" spans="1:20">
      <c r="A44" s="190">
        <v>2003</v>
      </c>
      <c r="B44" s="191">
        <v>207</v>
      </c>
      <c r="C44" s="186">
        <v>151</v>
      </c>
      <c r="D44" s="186">
        <v>0</v>
      </c>
      <c r="E44" s="202">
        <f t="shared" si="14"/>
        <v>358</v>
      </c>
      <c r="F44" s="191">
        <v>84</v>
      </c>
      <c r="G44" s="186">
        <v>43</v>
      </c>
      <c r="H44" s="186">
        <v>0</v>
      </c>
      <c r="I44" s="202">
        <f t="shared" si="15"/>
        <v>127</v>
      </c>
      <c r="J44" s="191">
        <v>30</v>
      </c>
      <c r="K44" s="192">
        <v>19</v>
      </c>
      <c r="L44" s="191">
        <v>0</v>
      </c>
      <c r="M44" s="192">
        <v>0</v>
      </c>
      <c r="N44" s="204">
        <v>388</v>
      </c>
      <c r="O44" s="186">
        <f t="shared" si="16"/>
        <v>146</v>
      </c>
      <c r="P44" s="192">
        <f t="shared" si="17"/>
        <v>242</v>
      </c>
      <c r="Q44" s="1385">
        <v>8500</v>
      </c>
      <c r="R44" s="191">
        <f t="shared" ref="R44" si="20">N44*100000/Q44</f>
        <v>4564.7058823529414</v>
      </c>
      <c r="S44" s="187">
        <f t="shared" si="18"/>
        <v>1717.6470588235295</v>
      </c>
      <c r="T44" s="188">
        <f t="shared" si="19"/>
        <v>988.23529411764707</v>
      </c>
    </row>
    <row r="45" spans="1:20">
      <c r="A45" s="190">
        <v>2004</v>
      </c>
      <c r="B45" s="191">
        <v>211</v>
      </c>
      <c r="C45" s="186">
        <v>84</v>
      </c>
      <c r="D45" s="186">
        <v>0</v>
      </c>
      <c r="E45" s="202">
        <f t="shared" ref="E45:E54" si="21">SUM(B45:D45)</f>
        <v>295</v>
      </c>
      <c r="F45" s="191">
        <v>103</v>
      </c>
      <c r="G45" s="186">
        <v>19</v>
      </c>
      <c r="H45" s="186">
        <v>0</v>
      </c>
      <c r="I45" s="202">
        <f t="shared" ref="I45:I54" si="22">SUM(F45:H45)</f>
        <v>122</v>
      </c>
      <c r="J45" s="191">
        <v>25</v>
      </c>
      <c r="K45" s="192">
        <v>18</v>
      </c>
      <c r="L45" s="191">
        <v>0</v>
      </c>
      <c r="M45" s="192">
        <v>0</v>
      </c>
      <c r="N45" s="204">
        <v>320</v>
      </c>
      <c r="O45" s="186">
        <f t="shared" ref="O45:O54" si="23">SUM(I45,K45,M45)</f>
        <v>140</v>
      </c>
      <c r="P45" s="192">
        <f t="shared" ref="P45:P54" si="24">N45-O45</f>
        <v>180</v>
      </c>
      <c r="Q45" s="1385">
        <v>7867</v>
      </c>
      <c r="R45" s="191">
        <f t="shared" ref="R45:R57" si="25">N45*100000/Q45</f>
        <v>4067.6242532096098</v>
      </c>
      <c r="S45" s="187">
        <f t="shared" si="18"/>
        <v>1779.5856107792042</v>
      </c>
      <c r="T45" s="188">
        <f t="shared" si="19"/>
        <v>1309.2665565018431</v>
      </c>
    </row>
    <row r="46" spans="1:20">
      <c r="A46" s="190">
        <v>2005</v>
      </c>
      <c r="B46" s="191">
        <v>287</v>
      </c>
      <c r="C46" s="186">
        <v>38</v>
      </c>
      <c r="D46" s="186">
        <v>0</v>
      </c>
      <c r="E46" s="202">
        <f t="shared" si="21"/>
        <v>325</v>
      </c>
      <c r="F46" s="191">
        <v>172</v>
      </c>
      <c r="G46" s="186">
        <v>15</v>
      </c>
      <c r="H46" s="186">
        <v>0</v>
      </c>
      <c r="I46" s="202">
        <f t="shared" si="22"/>
        <v>187</v>
      </c>
      <c r="J46" s="191">
        <v>32</v>
      </c>
      <c r="K46" s="192">
        <v>28</v>
      </c>
      <c r="L46" s="191">
        <v>0</v>
      </c>
      <c r="M46" s="192">
        <v>0</v>
      </c>
      <c r="N46" s="204">
        <v>357</v>
      </c>
      <c r="O46" s="186">
        <f t="shared" si="23"/>
        <v>215</v>
      </c>
      <c r="P46" s="192">
        <f t="shared" si="24"/>
        <v>142</v>
      </c>
      <c r="Q46" s="1385">
        <v>9688</v>
      </c>
      <c r="R46" s="191">
        <f t="shared" si="25"/>
        <v>3684.9710982658958</v>
      </c>
      <c r="S46" s="187">
        <f t="shared" si="18"/>
        <v>2219.2402972749792</v>
      </c>
      <c r="T46" s="188">
        <f t="shared" si="19"/>
        <v>1775.3922378199834</v>
      </c>
    </row>
    <row r="47" spans="1:20">
      <c r="A47" s="190">
        <v>2006</v>
      </c>
      <c r="B47" s="191">
        <v>484</v>
      </c>
      <c r="C47" s="186">
        <v>63</v>
      </c>
      <c r="D47" s="186">
        <v>1</v>
      </c>
      <c r="E47" s="202">
        <f t="shared" si="21"/>
        <v>548</v>
      </c>
      <c r="F47" s="191">
        <v>306</v>
      </c>
      <c r="G47" s="186">
        <v>35</v>
      </c>
      <c r="H47" s="186">
        <v>0</v>
      </c>
      <c r="I47" s="202">
        <f t="shared" si="22"/>
        <v>341</v>
      </c>
      <c r="J47" s="191">
        <v>51</v>
      </c>
      <c r="K47" s="192">
        <v>43</v>
      </c>
      <c r="L47" s="191">
        <v>0</v>
      </c>
      <c r="M47" s="192">
        <v>0</v>
      </c>
      <c r="N47" s="204">
        <v>599</v>
      </c>
      <c r="O47" s="186">
        <f t="shared" si="23"/>
        <v>384</v>
      </c>
      <c r="P47" s="192">
        <f t="shared" si="24"/>
        <v>215</v>
      </c>
      <c r="Q47" s="1385">
        <v>15465</v>
      </c>
      <c r="R47" s="191">
        <f t="shared" si="25"/>
        <v>3873.2622049789848</v>
      </c>
      <c r="S47" s="187">
        <f t="shared" si="18"/>
        <v>2483.0261881668284</v>
      </c>
      <c r="T47" s="188">
        <f t="shared" si="19"/>
        <v>1978.6614936954413</v>
      </c>
    </row>
    <row r="48" spans="1:20">
      <c r="A48" s="1072">
        <v>2007</v>
      </c>
      <c r="B48" s="1073">
        <v>476</v>
      </c>
      <c r="C48" s="1073">
        <v>97</v>
      </c>
      <c r="D48" s="1073">
        <v>4</v>
      </c>
      <c r="E48" s="1074">
        <f t="shared" si="21"/>
        <v>577</v>
      </c>
      <c r="F48" s="1073">
        <v>283</v>
      </c>
      <c r="G48" s="1073">
        <v>46</v>
      </c>
      <c r="H48" s="1073">
        <v>3</v>
      </c>
      <c r="I48" s="1074">
        <f t="shared" si="22"/>
        <v>332</v>
      </c>
      <c r="J48" s="1073">
        <v>72</v>
      </c>
      <c r="K48" s="1075">
        <v>59</v>
      </c>
      <c r="L48" s="1073">
        <v>1</v>
      </c>
      <c r="M48" s="1075">
        <v>1</v>
      </c>
      <c r="N48" s="1074">
        <v>650</v>
      </c>
      <c r="O48" s="1073">
        <f t="shared" si="23"/>
        <v>392</v>
      </c>
      <c r="P48" s="1073">
        <f t="shared" si="24"/>
        <v>258</v>
      </c>
      <c r="Q48" s="1073">
        <v>18309</v>
      </c>
      <c r="R48" s="1073">
        <f t="shared" si="25"/>
        <v>3550.1665847397453</v>
      </c>
      <c r="S48" s="1076">
        <f t="shared" si="18"/>
        <v>2135.5617455896008</v>
      </c>
      <c r="T48" s="1076">
        <f t="shared" si="19"/>
        <v>1545.6879130482278</v>
      </c>
    </row>
    <row r="49" spans="1:20">
      <c r="A49" s="1072">
        <v>2008</v>
      </c>
      <c r="B49" s="1073">
        <v>436</v>
      </c>
      <c r="C49" s="1073">
        <v>100</v>
      </c>
      <c r="D49" s="1073">
        <v>3</v>
      </c>
      <c r="E49" s="1074">
        <f t="shared" si="21"/>
        <v>539</v>
      </c>
      <c r="F49" s="1073">
        <v>267</v>
      </c>
      <c r="G49" s="1073">
        <v>46</v>
      </c>
      <c r="H49" s="1073">
        <v>3</v>
      </c>
      <c r="I49" s="1074">
        <f t="shared" si="22"/>
        <v>316</v>
      </c>
      <c r="J49" s="1073">
        <v>76</v>
      </c>
      <c r="K49" s="1073">
        <v>59</v>
      </c>
      <c r="L49" s="1073">
        <v>0</v>
      </c>
      <c r="M49" s="1073">
        <v>0</v>
      </c>
      <c r="N49" s="1074">
        <v>615</v>
      </c>
      <c r="O49" s="1073">
        <f t="shared" si="23"/>
        <v>375</v>
      </c>
      <c r="P49" s="1073">
        <f t="shared" si="24"/>
        <v>240</v>
      </c>
      <c r="Q49" s="1073">
        <v>18659</v>
      </c>
      <c r="R49" s="1073">
        <f t="shared" si="25"/>
        <v>3295.9965700198295</v>
      </c>
      <c r="S49" s="1076">
        <f t="shared" si="18"/>
        <v>2009.7540061096522</v>
      </c>
      <c r="T49" s="1076">
        <f t="shared" si="19"/>
        <v>1430.9448523500723</v>
      </c>
    </row>
    <row r="50" spans="1:20">
      <c r="A50" s="1072">
        <v>2009</v>
      </c>
      <c r="B50" s="1073">
        <v>601</v>
      </c>
      <c r="C50" s="1073">
        <v>175</v>
      </c>
      <c r="D50" s="1073">
        <v>2</v>
      </c>
      <c r="E50" s="1074">
        <f t="shared" si="21"/>
        <v>778</v>
      </c>
      <c r="F50" s="1073">
        <v>374</v>
      </c>
      <c r="G50" s="1073">
        <v>90</v>
      </c>
      <c r="H50" s="1073">
        <v>1</v>
      </c>
      <c r="I50" s="1074">
        <f t="shared" si="22"/>
        <v>465</v>
      </c>
      <c r="J50" s="1073">
        <v>167</v>
      </c>
      <c r="K50" s="1073">
        <v>148</v>
      </c>
      <c r="L50" s="1073">
        <v>0</v>
      </c>
      <c r="M50" s="1073">
        <v>0</v>
      </c>
      <c r="N50" s="1074">
        <v>945</v>
      </c>
      <c r="O50" s="1073">
        <f t="shared" si="23"/>
        <v>613</v>
      </c>
      <c r="P50" s="1073">
        <f t="shared" si="24"/>
        <v>332</v>
      </c>
      <c r="Q50" s="1073">
        <v>21075</v>
      </c>
      <c r="R50" s="1073">
        <f t="shared" si="25"/>
        <v>4483.9857651245547</v>
      </c>
      <c r="S50" s="1076">
        <f t="shared" si="18"/>
        <v>2908.6595492289443</v>
      </c>
      <c r="T50" s="1076">
        <f t="shared" si="19"/>
        <v>1774.6144721233688</v>
      </c>
    </row>
    <row r="51" spans="1:20">
      <c r="A51" s="1072">
        <v>2010</v>
      </c>
      <c r="B51" s="1073">
        <v>795</v>
      </c>
      <c r="C51" s="1073">
        <v>258</v>
      </c>
      <c r="D51" s="1073">
        <v>7</v>
      </c>
      <c r="E51" s="1074">
        <f t="shared" si="21"/>
        <v>1060</v>
      </c>
      <c r="F51" s="1073">
        <v>541</v>
      </c>
      <c r="G51" s="1073">
        <v>158</v>
      </c>
      <c r="H51" s="1073">
        <v>5</v>
      </c>
      <c r="I51" s="1074">
        <f t="shared" si="22"/>
        <v>704</v>
      </c>
      <c r="J51" s="1073">
        <v>219</v>
      </c>
      <c r="K51" s="1073">
        <v>191</v>
      </c>
      <c r="L51" s="1073">
        <v>0</v>
      </c>
      <c r="M51" s="1073">
        <v>0</v>
      </c>
      <c r="N51" s="1074">
        <v>1279</v>
      </c>
      <c r="O51" s="1073">
        <f t="shared" si="23"/>
        <v>895</v>
      </c>
      <c r="P51" s="1073">
        <f t="shared" si="24"/>
        <v>384</v>
      </c>
      <c r="Q51" s="1073">
        <v>23684</v>
      </c>
      <c r="R51" s="1073">
        <f t="shared" si="25"/>
        <v>5400.2702246242188</v>
      </c>
      <c r="S51" s="1076">
        <f t="shared" si="18"/>
        <v>3778.9224793109274</v>
      </c>
      <c r="T51" s="1076">
        <f t="shared" si="19"/>
        <v>2284.2425266002365</v>
      </c>
    </row>
    <row r="52" spans="1:20">
      <c r="A52" s="1072">
        <v>2011</v>
      </c>
      <c r="B52" s="1073">
        <v>740</v>
      </c>
      <c r="C52" s="1073">
        <v>256</v>
      </c>
      <c r="D52" s="1073">
        <v>1</v>
      </c>
      <c r="E52" s="1074">
        <f t="shared" si="21"/>
        <v>997</v>
      </c>
      <c r="F52" s="1073">
        <v>477</v>
      </c>
      <c r="G52" s="1073">
        <v>169</v>
      </c>
      <c r="H52" s="1073">
        <v>1</v>
      </c>
      <c r="I52" s="1074">
        <f t="shared" si="22"/>
        <v>647</v>
      </c>
      <c r="J52" s="1073">
        <v>175</v>
      </c>
      <c r="K52" s="1073">
        <v>153</v>
      </c>
      <c r="L52" s="1073">
        <v>0</v>
      </c>
      <c r="M52" s="1073">
        <v>0</v>
      </c>
      <c r="N52" s="1074">
        <v>1172</v>
      </c>
      <c r="O52" s="1073">
        <f t="shared" si="23"/>
        <v>800</v>
      </c>
      <c r="P52" s="1073">
        <f t="shared" si="24"/>
        <v>372</v>
      </c>
      <c r="Q52" s="1073">
        <v>24114</v>
      </c>
      <c r="R52" s="1073">
        <f t="shared" si="25"/>
        <v>4860.2471593265327</v>
      </c>
      <c r="S52" s="1076">
        <f t="shared" si="18"/>
        <v>3317.5748527826158</v>
      </c>
      <c r="T52" s="1076">
        <f t="shared" si="19"/>
        <v>1978.1040059716347</v>
      </c>
    </row>
    <row r="53" spans="1:20">
      <c r="A53" s="1072">
        <v>2012</v>
      </c>
      <c r="B53" s="1073">
        <v>321</v>
      </c>
      <c r="C53" s="1073">
        <v>237</v>
      </c>
      <c r="D53" s="1073">
        <v>0</v>
      </c>
      <c r="E53" s="1074">
        <f t="shared" si="21"/>
        <v>558</v>
      </c>
      <c r="F53" s="1073">
        <v>196</v>
      </c>
      <c r="G53" s="1073">
        <v>164</v>
      </c>
      <c r="H53" s="1073">
        <v>0</v>
      </c>
      <c r="I53" s="1074">
        <f t="shared" si="22"/>
        <v>360</v>
      </c>
      <c r="J53" s="1073">
        <v>116</v>
      </c>
      <c r="K53" s="1073">
        <v>97</v>
      </c>
      <c r="L53" s="1073">
        <v>0</v>
      </c>
      <c r="M53" s="1073">
        <v>0</v>
      </c>
      <c r="N53" s="1074">
        <v>674</v>
      </c>
      <c r="O53" s="1073">
        <f t="shared" si="23"/>
        <v>457</v>
      </c>
      <c r="P53" s="1073">
        <f t="shared" si="24"/>
        <v>217</v>
      </c>
      <c r="Q53" s="1073">
        <v>19349</v>
      </c>
      <c r="R53" s="1073">
        <f t="shared" si="25"/>
        <v>3483.3841542198561</v>
      </c>
      <c r="S53" s="1076">
        <f t="shared" si="18"/>
        <v>2361.8791668820095</v>
      </c>
      <c r="T53" s="1076">
        <f t="shared" si="19"/>
        <v>1012.9722466277327</v>
      </c>
    </row>
    <row r="54" spans="1:20">
      <c r="A54" s="1072">
        <v>2013</v>
      </c>
      <c r="B54" s="1073">
        <v>96</v>
      </c>
      <c r="C54" s="1073">
        <v>105</v>
      </c>
      <c r="D54" s="1073">
        <v>0</v>
      </c>
      <c r="E54" s="1074">
        <f t="shared" si="21"/>
        <v>201</v>
      </c>
      <c r="F54" s="1073">
        <v>45</v>
      </c>
      <c r="G54" s="1073">
        <v>34</v>
      </c>
      <c r="H54" s="1073">
        <v>0</v>
      </c>
      <c r="I54" s="1074">
        <f t="shared" si="22"/>
        <v>79</v>
      </c>
      <c r="J54" s="1073">
        <v>27</v>
      </c>
      <c r="K54" s="1073">
        <v>20</v>
      </c>
      <c r="L54" s="1073">
        <v>0</v>
      </c>
      <c r="M54" s="1073">
        <v>0</v>
      </c>
      <c r="N54" s="1074">
        <v>228</v>
      </c>
      <c r="O54" s="1073">
        <f t="shared" si="23"/>
        <v>99</v>
      </c>
      <c r="P54" s="1073">
        <f t="shared" si="24"/>
        <v>129</v>
      </c>
      <c r="Q54" s="1073">
        <v>9800</v>
      </c>
      <c r="R54" s="1073">
        <f t="shared" si="25"/>
        <v>2326.5306122448978</v>
      </c>
      <c r="S54" s="1076">
        <f t="shared" si="18"/>
        <v>1010.204081632653</v>
      </c>
      <c r="T54" s="1076">
        <f t="shared" si="19"/>
        <v>459.18367346938777</v>
      </c>
    </row>
    <row r="55" spans="1:20">
      <c r="A55" s="1077">
        <v>2014</v>
      </c>
      <c r="B55" s="1078">
        <v>46</v>
      </c>
      <c r="C55" s="1078">
        <v>78</v>
      </c>
      <c r="D55" s="1078">
        <v>2</v>
      </c>
      <c r="E55" s="1079">
        <f t="shared" ref="E55:E57" si="26">SUM(B55:D55)</f>
        <v>126</v>
      </c>
      <c r="F55" s="1078">
        <v>22</v>
      </c>
      <c r="G55" s="1078">
        <v>31</v>
      </c>
      <c r="H55" s="1078">
        <v>0</v>
      </c>
      <c r="I55" s="1079">
        <f t="shared" ref="I55:I57" si="27">SUM(F55:H55)</f>
        <v>53</v>
      </c>
      <c r="J55" s="1078">
        <v>19</v>
      </c>
      <c r="K55" s="1078">
        <v>13</v>
      </c>
      <c r="L55" s="1078">
        <v>0</v>
      </c>
      <c r="M55" s="1078">
        <v>0</v>
      </c>
      <c r="N55" s="1079">
        <v>145</v>
      </c>
      <c r="O55" s="1078">
        <f t="shared" ref="O55" si="28">SUM(I55,K55,M55)</f>
        <v>66</v>
      </c>
      <c r="P55" s="1078">
        <f t="shared" ref="P55" si="29">N55-O55</f>
        <v>79</v>
      </c>
      <c r="Q55" s="1080">
        <v>10372</v>
      </c>
      <c r="R55" s="1078">
        <f t="shared" si="25"/>
        <v>1397.994600848438</v>
      </c>
      <c r="S55" s="1081">
        <f t="shared" si="18"/>
        <v>636.3285769379097</v>
      </c>
      <c r="T55" s="1081">
        <f t="shared" si="19"/>
        <v>212.10952564596991</v>
      </c>
    </row>
    <row r="56" spans="1:20">
      <c r="A56" s="1082">
        <v>2015</v>
      </c>
      <c r="B56" s="1082">
        <v>52</v>
      </c>
      <c r="C56" s="1082">
        <v>47</v>
      </c>
      <c r="D56" s="1082">
        <v>1</v>
      </c>
      <c r="E56" s="1079">
        <f t="shared" si="26"/>
        <v>100</v>
      </c>
      <c r="F56" s="1082">
        <v>21</v>
      </c>
      <c r="G56" s="1082">
        <v>19</v>
      </c>
      <c r="H56" s="1082">
        <v>0</v>
      </c>
      <c r="I56" s="1079">
        <f t="shared" si="27"/>
        <v>40</v>
      </c>
      <c r="J56" s="1082">
        <v>15</v>
      </c>
      <c r="K56" s="1082">
        <v>10</v>
      </c>
      <c r="L56" s="1082"/>
      <c r="M56" s="1082"/>
      <c r="N56" s="1082">
        <v>115</v>
      </c>
      <c r="O56" s="1082">
        <v>50</v>
      </c>
      <c r="P56" s="1082">
        <v>65</v>
      </c>
      <c r="Q56" s="1082">
        <v>9716</v>
      </c>
      <c r="R56" s="1078">
        <f t="shared" si="25"/>
        <v>1183.6146562371346</v>
      </c>
      <c r="S56" s="1081">
        <f t="shared" si="18"/>
        <v>514.61506792918897</v>
      </c>
      <c r="T56" s="1081">
        <f t="shared" si="19"/>
        <v>216.13832853025937</v>
      </c>
    </row>
    <row r="57" spans="1:20">
      <c r="A57" s="1082">
        <v>2016</v>
      </c>
      <c r="B57" s="1082">
        <v>38</v>
      </c>
      <c r="C57" s="1082">
        <v>39</v>
      </c>
      <c r="D57" s="1082">
        <v>0</v>
      </c>
      <c r="E57" s="1079">
        <f t="shared" si="26"/>
        <v>77</v>
      </c>
      <c r="F57" s="1082">
        <v>19</v>
      </c>
      <c r="G57" s="1082">
        <v>19</v>
      </c>
      <c r="H57" s="1082">
        <v>0</v>
      </c>
      <c r="I57" s="1079">
        <f t="shared" si="27"/>
        <v>38</v>
      </c>
      <c r="J57" s="1082">
        <v>7</v>
      </c>
      <c r="K57" s="1082">
        <v>6</v>
      </c>
      <c r="L57" s="1082">
        <v>0</v>
      </c>
      <c r="M57" s="1082">
        <v>0</v>
      </c>
      <c r="N57" s="1082">
        <v>84</v>
      </c>
      <c r="O57" s="1082">
        <v>44</v>
      </c>
      <c r="P57" s="1082">
        <v>40</v>
      </c>
      <c r="Q57" s="1082">
        <v>9334</v>
      </c>
      <c r="R57" s="1078">
        <f t="shared" si="25"/>
        <v>899.93571887722305</v>
      </c>
      <c r="S57" s="1081">
        <f t="shared" si="18"/>
        <v>471.39490036425968</v>
      </c>
      <c r="T57" s="1081">
        <f t="shared" si="19"/>
        <v>203.55688879365761</v>
      </c>
    </row>
  </sheetData>
  <mergeCells count="38">
    <mergeCell ref="Q34:Q36"/>
    <mergeCell ref="R34:T34"/>
    <mergeCell ref="B35:E35"/>
    <mergeCell ref="F35:I35"/>
    <mergeCell ref="J35:J36"/>
    <mergeCell ref="K35:K36"/>
    <mergeCell ref="L35:L36"/>
    <mergeCell ref="M35:M36"/>
    <mergeCell ref="N35:N36"/>
    <mergeCell ref="O35:O36"/>
    <mergeCell ref="P35:P36"/>
    <mergeCell ref="R35:R36"/>
    <mergeCell ref="S35:S36"/>
    <mergeCell ref="T35:T36"/>
    <mergeCell ref="A34:A36"/>
    <mergeCell ref="B34:I34"/>
    <mergeCell ref="J34:K34"/>
    <mergeCell ref="L34:M34"/>
    <mergeCell ref="N34:P34"/>
    <mergeCell ref="L7:M7"/>
    <mergeCell ref="N7:P7"/>
    <mergeCell ref="Q7:Q9"/>
    <mergeCell ref="R7:T7"/>
    <mergeCell ref="B8:E8"/>
    <mergeCell ref="F8:I8"/>
    <mergeCell ref="L8:L9"/>
    <mergeCell ref="M8:M9"/>
    <mergeCell ref="N8:N9"/>
    <mergeCell ref="O8:O9"/>
    <mergeCell ref="P8:P9"/>
    <mergeCell ref="R8:R9"/>
    <mergeCell ref="S8:S9"/>
    <mergeCell ref="T8:T9"/>
    <mergeCell ref="A7:A9"/>
    <mergeCell ref="J7:K7"/>
    <mergeCell ref="J8:J9"/>
    <mergeCell ref="K8:K9"/>
    <mergeCell ref="B7:I7"/>
  </mergeCells>
  <pageMargins left="0.2" right="0.19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169"/>
  <sheetViews>
    <sheetView topLeftCell="A130" zoomScale="80" zoomScaleNormal="80" workbookViewId="0">
      <selection activeCell="M138" sqref="M138"/>
    </sheetView>
  </sheetViews>
  <sheetFormatPr defaultColWidth="9.7109375" defaultRowHeight="12.75"/>
  <cols>
    <col min="1" max="1" width="37.140625" style="82" customWidth="1"/>
    <col min="2" max="2" width="14.85546875" style="82" customWidth="1"/>
    <col min="3" max="11" width="9.7109375" style="82" customWidth="1"/>
    <col min="12" max="15" width="11.42578125" style="82" customWidth="1"/>
    <col min="16" max="16" width="10.85546875" style="82" customWidth="1"/>
    <col min="17" max="19" width="9.7109375" style="82"/>
    <col min="20" max="20" width="9.28515625" style="82" customWidth="1"/>
    <col min="21" max="27" width="9.7109375" style="82" customWidth="1"/>
    <col min="28" max="16384" width="9.7109375" style="82"/>
  </cols>
  <sheetData>
    <row r="2" spans="1:16" ht="15.75">
      <c r="A2" s="107" t="s">
        <v>1690</v>
      </c>
      <c r="B2" s="108"/>
      <c r="C2" s="108"/>
      <c r="D2" s="108"/>
      <c r="E2" s="108"/>
      <c r="F2" s="109"/>
      <c r="G2" s="109"/>
      <c r="H2" s="109"/>
    </row>
    <row r="3" spans="1:16" s="110" customFormat="1">
      <c r="A3" s="216" t="s">
        <v>760</v>
      </c>
      <c r="B3" s="217"/>
      <c r="C3" s="217"/>
      <c r="D3" s="217"/>
      <c r="E3" s="218"/>
    </row>
    <row r="4" spans="1:16" ht="25.5">
      <c r="A4" s="219"/>
      <c r="B4" s="219"/>
      <c r="C4" s="219"/>
      <c r="D4" s="219"/>
      <c r="E4" s="219"/>
      <c r="L4" s="823"/>
      <c r="M4" s="1172"/>
      <c r="N4" s="1172"/>
      <c r="O4" s="1172"/>
      <c r="P4" s="824" t="s">
        <v>1853</v>
      </c>
    </row>
    <row r="5" spans="1:16" ht="15">
      <c r="A5" s="220"/>
      <c r="B5" s="221">
        <v>2004</v>
      </c>
      <c r="C5" s="221">
        <v>2005</v>
      </c>
      <c r="D5" s="221">
        <v>2006</v>
      </c>
      <c r="E5" s="221">
        <v>2007</v>
      </c>
      <c r="F5" s="221">
        <v>2008</v>
      </c>
      <c r="G5" s="221">
        <v>2009</v>
      </c>
      <c r="H5" s="221">
        <v>2010</v>
      </c>
      <c r="I5" s="221">
        <v>2011</v>
      </c>
      <c r="J5" s="221">
        <v>2012</v>
      </c>
      <c r="K5" s="221">
        <v>2013</v>
      </c>
      <c r="L5" s="825">
        <v>2014</v>
      </c>
      <c r="M5" s="1173">
        <v>2015</v>
      </c>
      <c r="N5" s="1173">
        <v>2016</v>
      </c>
      <c r="O5" s="1173">
        <v>2017</v>
      </c>
      <c r="P5" s="826"/>
    </row>
    <row r="6" spans="1:16" s="112" customFormat="1" ht="15.75">
      <c r="A6" s="222" t="s">
        <v>63</v>
      </c>
      <c r="B6" s="111">
        <v>4318.3</v>
      </c>
      <c r="C6" s="111">
        <v>4361.3999999999996</v>
      </c>
      <c r="D6" s="111">
        <v>4398</v>
      </c>
      <c r="E6" s="111">
        <v>4388.4000000000005</v>
      </c>
      <c r="F6" s="111">
        <v>4383.8</v>
      </c>
      <c r="G6" s="111">
        <v>4410.8999999999996</v>
      </c>
      <c r="H6" s="111">
        <v>4452.8</v>
      </c>
      <c r="I6" s="111">
        <v>4483.3499999999995</v>
      </c>
      <c r="J6" s="111">
        <v>4490.7</v>
      </c>
      <c r="K6" s="111">
        <v>4487.2</v>
      </c>
      <c r="L6" s="827">
        <f>SUM(L7,L18,L25,L29,L42,L52,L58,L63,L74,L81,L89)</f>
        <v>4362.8</v>
      </c>
      <c r="M6" s="827">
        <f t="shared" ref="M6:O6" si="0">SUM(M7,M18,M25,M29,M42,M52,M58,M63,M74,M81,M89)</f>
        <v>3776.0240000000003</v>
      </c>
      <c r="N6" s="827">
        <f t="shared" si="0"/>
        <v>3473.7960000000003</v>
      </c>
      <c r="O6" s="827">
        <f t="shared" si="0"/>
        <v>3470.8050000000003</v>
      </c>
      <c r="P6" s="828">
        <f>O6/N6%-100</f>
        <v>-8.6101774542882481E-2</v>
      </c>
    </row>
    <row r="7" spans="1:16" ht="15">
      <c r="A7" s="113" t="s">
        <v>64</v>
      </c>
      <c r="B7" s="114">
        <v>1079</v>
      </c>
      <c r="C7" s="114">
        <v>1091.5</v>
      </c>
      <c r="D7" s="114">
        <v>1102.2</v>
      </c>
      <c r="E7" s="114">
        <v>1123.5999999999999</v>
      </c>
      <c r="F7" s="114">
        <v>1136.5999999999999</v>
      </c>
      <c r="G7" s="114">
        <v>1145.4000000000001</v>
      </c>
      <c r="H7" s="114">
        <v>1157.5</v>
      </c>
      <c r="I7" s="114">
        <v>1167.5999999999999</v>
      </c>
      <c r="J7" s="111">
        <v>1172</v>
      </c>
      <c r="K7" s="111">
        <v>1173.2</v>
      </c>
      <c r="L7" s="827">
        <v>1108.9000000000001</v>
      </c>
      <c r="M7" s="1174">
        <v>1108.9000000000001</v>
      </c>
      <c r="N7" s="1174">
        <v>1113</v>
      </c>
      <c r="O7" s="1174">
        <v>1114.5999999999999</v>
      </c>
      <c r="P7" s="828">
        <f t="shared" ref="P7:P70" si="1">O7/N7%-100</f>
        <v>0.1437556154537134</v>
      </c>
    </row>
    <row r="8" spans="1:16" ht="15">
      <c r="A8" s="113" t="s">
        <v>65</v>
      </c>
      <c r="B8" s="114">
        <v>1.9</v>
      </c>
      <c r="C8" s="114">
        <v>1.9</v>
      </c>
      <c r="D8" s="114">
        <v>1.9</v>
      </c>
      <c r="E8" s="114">
        <v>1.9</v>
      </c>
      <c r="F8" s="114">
        <v>1.9</v>
      </c>
      <c r="G8" s="115" t="s">
        <v>66</v>
      </c>
      <c r="H8" s="115" t="s">
        <v>66</v>
      </c>
      <c r="I8" s="115" t="s">
        <v>66</v>
      </c>
      <c r="J8" s="115" t="s">
        <v>66</v>
      </c>
      <c r="K8" s="115" t="s">
        <v>66</v>
      </c>
      <c r="L8" s="829" t="s">
        <v>66</v>
      </c>
      <c r="M8" s="1175"/>
      <c r="N8" s="1175"/>
      <c r="O8" s="1175"/>
      <c r="P8" s="828"/>
    </row>
    <row r="9" spans="1:16">
      <c r="A9" s="117" t="s">
        <v>67</v>
      </c>
      <c r="B9" s="116" t="s">
        <v>66</v>
      </c>
      <c r="C9" s="116" t="s">
        <v>66</v>
      </c>
      <c r="D9" s="116" t="s">
        <v>66</v>
      </c>
      <c r="E9" s="116" t="s">
        <v>66</v>
      </c>
      <c r="F9" s="116" t="s">
        <v>66</v>
      </c>
      <c r="G9" s="116" t="s">
        <v>66</v>
      </c>
      <c r="H9" s="116" t="s">
        <v>66</v>
      </c>
      <c r="I9" s="116" t="s">
        <v>66</v>
      </c>
      <c r="J9" s="116" t="s">
        <v>66</v>
      </c>
      <c r="K9" s="116" t="s">
        <v>66</v>
      </c>
      <c r="L9" s="830" t="s">
        <v>66</v>
      </c>
      <c r="M9" s="1176"/>
      <c r="N9" s="1176"/>
      <c r="O9" s="1176"/>
      <c r="P9" s="828"/>
    </row>
    <row r="10" spans="1:16">
      <c r="A10" s="117" t="s">
        <v>68</v>
      </c>
      <c r="B10" s="116" t="s">
        <v>66</v>
      </c>
      <c r="C10" s="116" t="s">
        <v>66</v>
      </c>
      <c r="D10" s="116" t="s">
        <v>66</v>
      </c>
      <c r="E10" s="116" t="s">
        <v>66</v>
      </c>
      <c r="F10" s="116" t="s">
        <v>66</v>
      </c>
      <c r="G10" s="116" t="s">
        <v>66</v>
      </c>
      <c r="H10" s="116" t="s">
        <v>66</v>
      </c>
      <c r="I10" s="116" t="s">
        <v>66</v>
      </c>
      <c r="J10" s="116" t="s">
        <v>66</v>
      </c>
      <c r="K10" s="116" t="s">
        <v>66</v>
      </c>
      <c r="L10" s="830" t="s">
        <v>66</v>
      </c>
      <c r="M10" s="1176"/>
      <c r="N10" s="1176"/>
      <c r="O10" s="1176"/>
      <c r="P10" s="828"/>
    </row>
    <row r="11" spans="1:16">
      <c r="A11" s="117" t="s">
        <v>69</v>
      </c>
      <c r="B11" s="116">
        <v>1.9</v>
      </c>
      <c r="C11" s="116">
        <v>1.9</v>
      </c>
      <c r="D11" s="116">
        <v>1.9</v>
      </c>
      <c r="E11" s="116">
        <v>1.9</v>
      </c>
      <c r="F11" s="116">
        <v>1.9</v>
      </c>
      <c r="G11" s="116" t="s">
        <v>66</v>
      </c>
      <c r="H11" s="116" t="s">
        <v>66</v>
      </c>
      <c r="I11" s="116" t="s">
        <v>66</v>
      </c>
      <c r="J11" s="115" t="s">
        <v>66</v>
      </c>
      <c r="K11" s="115" t="s">
        <v>66</v>
      </c>
      <c r="L11" s="829" t="s">
        <v>66</v>
      </c>
      <c r="M11" s="1175"/>
      <c r="N11" s="1175"/>
      <c r="O11" s="1175"/>
      <c r="P11" s="828"/>
    </row>
    <row r="12" spans="1:16">
      <c r="A12" s="117" t="s">
        <v>70</v>
      </c>
      <c r="B12" s="116" t="s">
        <v>66</v>
      </c>
      <c r="C12" s="116" t="s">
        <v>66</v>
      </c>
      <c r="D12" s="116" t="s">
        <v>66</v>
      </c>
      <c r="E12" s="116" t="s">
        <v>66</v>
      </c>
      <c r="F12" s="116" t="s">
        <v>66</v>
      </c>
      <c r="G12" s="116" t="s">
        <v>66</v>
      </c>
      <c r="H12" s="116" t="s">
        <v>66</v>
      </c>
      <c r="I12" s="116" t="s">
        <v>66</v>
      </c>
      <c r="J12" s="116" t="s">
        <v>66</v>
      </c>
      <c r="K12" s="116" t="s">
        <v>66</v>
      </c>
      <c r="L12" s="830" t="s">
        <v>66</v>
      </c>
      <c r="M12" s="1176"/>
      <c r="N12" s="1176"/>
      <c r="O12" s="1176"/>
      <c r="P12" s="828"/>
    </row>
    <row r="13" spans="1:16">
      <c r="A13" s="117" t="s">
        <v>71</v>
      </c>
      <c r="B13" s="116" t="s">
        <v>66</v>
      </c>
      <c r="C13" s="116" t="s">
        <v>66</v>
      </c>
      <c r="D13" s="116" t="s">
        <v>66</v>
      </c>
      <c r="E13" s="116" t="s">
        <v>66</v>
      </c>
      <c r="F13" s="116" t="s">
        <v>66</v>
      </c>
      <c r="G13" s="116" t="s">
        <v>66</v>
      </c>
      <c r="H13" s="116" t="s">
        <v>66</v>
      </c>
      <c r="I13" s="116" t="s">
        <v>66</v>
      </c>
      <c r="J13" s="116" t="s">
        <v>66</v>
      </c>
      <c r="K13" s="116" t="s">
        <v>66</v>
      </c>
      <c r="L13" s="830" t="s">
        <v>66</v>
      </c>
      <c r="M13" s="1176"/>
      <c r="N13" s="1176"/>
      <c r="O13" s="1176"/>
      <c r="P13" s="828"/>
    </row>
    <row r="14" spans="1:16">
      <c r="A14" s="117" t="s">
        <v>72</v>
      </c>
      <c r="B14" s="116" t="s">
        <v>66</v>
      </c>
      <c r="C14" s="116" t="s">
        <v>66</v>
      </c>
      <c r="D14" s="116" t="s">
        <v>66</v>
      </c>
      <c r="E14" s="116" t="s">
        <v>66</v>
      </c>
      <c r="F14" s="116" t="s">
        <v>66</v>
      </c>
      <c r="G14" s="116" t="s">
        <v>66</v>
      </c>
      <c r="H14" s="116" t="s">
        <v>66</v>
      </c>
      <c r="I14" s="116" t="s">
        <v>66</v>
      </c>
      <c r="J14" s="116" t="s">
        <v>66</v>
      </c>
      <c r="K14" s="116" t="s">
        <v>66</v>
      </c>
      <c r="L14" s="830" t="s">
        <v>66</v>
      </c>
      <c r="M14" s="1176"/>
      <c r="N14" s="1176"/>
      <c r="O14" s="1176"/>
      <c r="P14" s="828"/>
    </row>
    <row r="15" spans="1:16">
      <c r="A15" s="117" t="s">
        <v>73</v>
      </c>
      <c r="B15" s="116" t="s">
        <v>66</v>
      </c>
      <c r="C15" s="116" t="s">
        <v>66</v>
      </c>
      <c r="D15" s="116" t="s">
        <v>66</v>
      </c>
      <c r="E15" s="116" t="s">
        <v>66</v>
      </c>
      <c r="F15" s="116" t="s">
        <v>66</v>
      </c>
      <c r="G15" s="116" t="s">
        <v>66</v>
      </c>
      <c r="H15" s="116" t="s">
        <v>66</v>
      </c>
      <c r="I15" s="116" t="s">
        <v>66</v>
      </c>
      <c r="J15" s="116" t="s">
        <v>66</v>
      </c>
      <c r="K15" s="116" t="s">
        <v>66</v>
      </c>
      <c r="L15" s="830" t="s">
        <v>66</v>
      </c>
      <c r="M15" s="1176"/>
      <c r="N15" s="1176"/>
      <c r="O15" s="1176"/>
      <c r="P15" s="828"/>
    </row>
    <row r="16" spans="1:16">
      <c r="A16" s="117" t="s">
        <v>74</v>
      </c>
      <c r="B16" s="116" t="s">
        <v>66</v>
      </c>
      <c r="C16" s="116" t="s">
        <v>66</v>
      </c>
      <c r="D16" s="116" t="s">
        <v>66</v>
      </c>
      <c r="E16" s="116" t="s">
        <v>66</v>
      </c>
      <c r="F16" s="116" t="s">
        <v>66</v>
      </c>
      <c r="G16" s="116" t="s">
        <v>66</v>
      </c>
      <c r="H16" s="116" t="s">
        <v>66</v>
      </c>
      <c r="I16" s="116" t="s">
        <v>66</v>
      </c>
      <c r="J16" s="116" t="s">
        <v>66</v>
      </c>
      <c r="K16" s="116" t="s">
        <v>66</v>
      </c>
      <c r="L16" s="830" t="s">
        <v>66</v>
      </c>
      <c r="M16" s="1176"/>
      <c r="N16" s="1176"/>
      <c r="O16" s="1176"/>
      <c r="P16" s="828"/>
    </row>
    <row r="17" spans="1:20">
      <c r="A17" s="117" t="s">
        <v>75</v>
      </c>
      <c r="B17" s="116" t="s">
        <v>66</v>
      </c>
      <c r="C17" s="116" t="s">
        <v>66</v>
      </c>
      <c r="D17" s="116" t="s">
        <v>66</v>
      </c>
      <c r="E17" s="116" t="s">
        <v>66</v>
      </c>
      <c r="F17" s="116" t="s">
        <v>66</v>
      </c>
      <c r="G17" s="116" t="s">
        <v>66</v>
      </c>
      <c r="H17" s="116" t="s">
        <v>66</v>
      </c>
      <c r="I17" s="116" t="s">
        <v>66</v>
      </c>
      <c r="J17" s="116" t="s">
        <v>66</v>
      </c>
      <c r="K17" s="116" t="s">
        <v>66</v>
      </c>
      <c r="L17" s="830" t="s">
        <v>66</v>
      </c>
      <c r="M17" s="1176"/>
      <c r="N17" s="1176"/>
      <c r="O17" s="1176"/>
      <c r="P17" s="828"/>
    </row>
    <row r="18" spans="1:20" ht="15">
      <c r="A18" s="113" t="s">
        <v>76</v>
      </c>
      <c r="B18" s="114">
        <v>371.5</v>
      </c>
      <c r="C18" s="114">
        <v>375.1</v>
      </c>
      <c r="D18" s="114">
        <v>378</v>
      </c>
      <c r="E18" s="114">
        <v>379.4</v>
      </c>
      <c r="F18" s="114">
        <v>381.3</v>
      </c>
      <c r="G18" s="114">
        <v>384.59999999999997</v>
      </c>
      <c r="H18" s="114">
        <v>388.70000000000005</v>
      </c>
      <c r="I18" s="114">
        <v>392.09999999999997</v>
      </c>
      <c r="J18" s="114">
        <v>393.9</v>
      </c>
      <c r="K18" s="114">
        <v>395.4</v>
      </c>
      <c r="L18" s="831">
        <f>SUM(L19:L24)</f>
        <v>335.09999999999997</v>
      </c>
      <c r="M18" s="831">
        <f t="shared" ref="M18:O18" si="2">SUM(M19:M24)</f>
        <v>396.6</v>
      </c>
      <c r="N18" s="831">
        <f t="shared" si="2"/>
        <v>181.20100000000002</v>
      </c>
      <c r="O18" s="831">
        <f t="shared" si="2"/>
        <v>182.40499999999997</v>
      </c>
      <c r="P18" s="828">
        <f t="shared" si="1"/>
        <v>0.66445549417495897</v>
      </c>
    </row>
    <row r="19" spans="1:20" s="121" customFormat="1">
      <c r="A19" s="117" t="s">
        <v>77</v>
      </c>
      <c r="B19" s="118">
        <v>120.7</v>
      </c>
      <c r="C19" s="118">
        <v>121.7</v>
      </c>
      <c r="D19" s="118">
        <v>122.2</v>
      </c>
      <c r="E19" s="118">
        <v>122.2</v>
      </c>
      <c r="F19" s="118">
        <v>122.3</v>
      </c>
      <c r="G19" s="118">
        <v>123</v>
      </c>
      <c r="H19" s="118">
        <v>123.9</v>
      </c>
      <c r="I19" s="119">
        <v>125</v>
      </c>
      <c r="J19" s="120">
        <v>147.80000000000001</v>
      </c>
      <c r="K19" s="120">
        <v>160.6</v>
      </c>
      <c r="L19" s="830">
        <v>153.30000000000001</v>
      </c>
      <c r="M19" s="1176">
        <v>161.19999999999999</v>
      </c>
      <c r="N19" s="1176" t="s">
        <v>1848</v>
      </c>
      <c r="O19" s="1176" t="s">
        <v>1849</v>
      </c>
      <c r="P19" s="828">
        <f t="shared" si="1"/>
        <v>0.97975179621163022</v>
      </c>
      <c r="S19" s="532"/>
      <c r="T19" s="532"/>
    </row>
    <row r="20" spans="1:20" s="121" customFormat="1">
      <c r="A20" s="117" t="s">
        <v>78</v>
      </c>
      <c r="B20" s="118">
        <v>19.600000000000001</v>
      </c>
      <c r="C20" s="118">
        <v>19.7</v>
      </c>
      <c r="D20" s="118">
        <v>19.7</v>
      </c>
      <c r="E20" s="118">
        <v>19.899999999999999</v>
      </c>
      <c r="F20" s="118">
        <v>19.899999999999999</v>
      </c>
      <c r="G20" s="118">
        <v>20.100000000000001</v>
      </c>
      <c r="H20" s="118">
        <v>20.3</v>
      </c>
      <c r="I20" s="118">
        <v>20.5</v>
      </c>
      <c r="J20" s="116">
        <v>20.5</v>
      </c>
      <c r="K20" s="116">
        <v>20.6</v>
      </c>
      <c r="L20" s="830">
        <v>16.8</v>
      </c>
      <c r="M20" s="1176">
        <v>20.600000000000005</v>
      </c>
      <c r="N20" s="1176">
        <v>16.8</v>
      </c>
      <c r="O20" s="1176">
        <v>16.899999999999999</v>
      </c>
      <c r="P20" s="828">
        <f t="shared" si="1"/>
        <v>0.59523809523807358</v>
      </c>
      <c r="T20" s="533"/>
    </row>
    <row r="21" spans="1:20" s="121" customFormat="1">
      <c r="A21" s="117" t="s">
        <v>79</v>
      </c>
      <c r="B21" s="118">
        <v>86.9</v>
      </c>
      <c r="C21" s="118">
        <v>88</v>
      </c>
      <c r="D21" s="118">
        <v>89.1</v>
      </c>
      <c r="E21" s="118">
        <v>89.3</v>
      </c>
      <c r="F21" s="118">
        <v>89.6</v>
      </c>
      <c r="G21" s="118">
        <v>90.4</v>
      </c>
      <c r="H21" s="118">
        <v>91.6</v>
      </c>
      <c r="I21" s="118">
        <v>92.6</v>
      </c>
      <c r="J21" s="116">
        <v>92.9</v>
      </c>
      <c r="K21" s="116">
        <v>93.1</v>
      </c>
      <c r="L21" s="830">
        <v>75</v>
      </c>
      <c r="M21" s="1176">
        <v>93.300000000000011</v>
      </c>
      <c r="N21" s="1176">
        <v>74.801000000000002</v>
      </c>
      <c r="O21" s="1176">
        <v>75.204999999999998</v>
      </c>
      <c r="P21" s="828">
        <f t="shared" si="1"/>
        <v>0.5400997312870004</v>
      </c>
    </row>
    <row r="22" spans="1:20">
      <c r="A22" s="117" t="s">
        <v>80</v>
      </c>
      <c r="B22" s="118">
        <v>21.2</v>
      </c>
      <c r="C22" s="118">
        <v>21.5</v>
      </c>
      <c r="D22" s="118">
        <v>21.7</v>
      </c>
      <c r="E22" s="118">
        <v>21.9</v>
      </c>
      <c r="F22" s="118">
        <v>22.2</v>
      </c>
      <c r="G22" s="118">
        <v>22.5</v>
      </c>
      <c r="H22" s="118">
        <v>22.7</v>
      </c>
      <c r="I22" s="118">
        <v>22.8</v>
      </c>
      <c r="J22" s="116">
        <v>22.900000000000002</v>
      </c>
      <c r="K22" s="116">
        <v>22.8</v>
      </c>
      <c r="L22" s="830">
        <v>15.200000000000001</v>
      </c>
      <c r="M22" s="1176">
        <v>22.900000000000002</v>
      </c>
      <c r="N22" s="1176">
        <v>15</v>
      </c>
      <c r="O22" s="1176">
        <v>15.100000000000001</v>
      </c>
      <c r="P22" s="828">
        <f t="shared" si="1"/>
        <v>0.66666666666668561</v>
      </c>
    </row>
    <row r="23" spans="1:20" s="121" customFormat="1">
      <c r="A23" s="117" t="s">
        <v>81</v>
      </c>
      <c r="B23" s="118">
        <v>90</v>
      </c>
      <c r="C23" s="118">
        <v>90.9</v>
      </c>
      <c r="D23" s="118">
        <v>91.5</v>
      </c>
      <c r="E23" s="118">
        <v>91.9</v>
      </c>
      <c r="F23" s="118">
        <v>92.5</v>
      </c>
      <c r="G23" s="118">
        <v>93.4</v>
      </c>
      <c r="H23" s="118">
        <v>94.6</v>
      </c>
      <c r="I23" s="119">
        <v>95.399999999999991</v>
      </c>
      <c r="J23" s="120">
        <v>73.900000000000006</v>
      </c>
      <c r="K23" s="120">
        <v>62.3</v>
      </c>
      <c r="L23" s="830">
        <v>51.4</v>
      </c>
      <c r="M23" s="1176">
        <v>62.5</v>
      </c>
      <c r="N23" s="1176">
        <v>51.3</v>
      </c>
      <c r="O23" s="1176">
        <v>51.7</v>
      </c>
      <c r="P23" s="828">
        <f t="shared" si="1"/>
        <v>0.77972709551657715</v>
      </c>
    </row>
    <row r="24" spans="1:20" s="121" customFormat="1">
      <c r="A24" s="117" t="s">
        <v>82</v>
      </c>
      <c r="B24" s="118">
        <v>33.1</v>
      </c>
      <c r="C24" s="118">
        <v>33.299999999999997</v>
      </c>
      <c r="D24" s="118">
        <v>33.799999999999997</v>
      </c>
      <c r="E24" s="118">
        <v>34.200000000000003</v>
      </c>
      <c r="F24" s="118">
        <v>34.799999999999997</v>
      </c>
      <c r="G24" s="118">
        <v>35.200000000000003</v>
      </c>
      <c r="H24" s="118">
        <v>35.6</v>
      </c>
      <c r="I24" s="118">
        <v>35.799999999999997</v>
      </c>
      <c r="J24" s="118">
        <v>35.9</v>
      </c>
      <c r="K24" s="118">
        <v>36</v>
      </c>
      <c r="L24" s="830">
        <v>23.4</v>
      </c>
      <c r="M24" s="1176">
        <v>36.1</v>
      </c>
      <c r="N24" s="1176">
        <v>23.3</v>
      </c>
      <c r="O24" s="1176">
        <v>23.5</v>
      </c>
      <c r="P24" s="828">
        <f t="shared" si="1"/>
        <v>0.85836909871244416</v>
      </c>
    </row>
    <row r="25" spans="1:20" ht="15">
      <c r="A25" s="113" t="s">
        <v>83</v>
      </c>
      <c r="B25" s="114">
        <v>138.9</v>
      </c>
      <c r="C25" s="114">
        <v>139</v>
      </c>
      <c r="D25" s="114">
        <v>139.1</v>
      </c>
      <c r="E25" s="114">
        <v>138.9</v>
      </c>
      <c r="F25" s="114">
        <v>138.80000000000001</v>
      </c>
      <c r="G25" s="114">
        <v>139.30000000000001</v>
      </c>
      <c r="H25" s="114">
        <v>140.1</v>
      </c>
      <c r="I25" s="114">
        <v>140.30000000000001</v>
      </c>
      <c r="J25" s="114">
        <v>139.79999999999998</v>
      </c>
      <c r="K25" s="114">
        <v>139</v>
      </c>
      <c r="L25" s="831">
        <f>SUM(L26:L28)</f>
        <v>138.9</v>
      </c>
      <c r="M25" s="831">
        <f t="shared" ref="M25:N25" si="3">SUM(M26:M28)</f>
        <v>113.324</v>
      </c>
      <c r="N25" s="831">
        <f t="shared" si="3"/>
        <v>98.4</v>
      </c>
      <c r="O25" s="831">
        <f>SUM(O26:O28)</f>
        <v>98</v>
      </c>
      <c r="P25" s="828">
        <f t="shared" si="1"/>
        <v>-0.40650406504066439</v>
      </c>
    </row>
    <row r="26" spans="1:20" s="121" customFormat="1">
      <c r="A26" s="117" t="s">
        <v>84</v>
      </c>
      <c r="B26" s="118">
        <v>39.1</v>
      </c>
      <c r="C26" s="118">
        <v>38.9</v>
      </c>
      <c r="D26" s="118">
        <v>38.9</v>
      </c>
      <c r="E26" s="118">
        <v>38.700000000000003</v>
      </c>
      <c r="F26" s="118">
        <v>38.700000000000003</v>
      </c>
      <c r="G26" s="118">
        <v>38.799999999999997</v>
      </c>
      <c r="H26" s="118">
        <v>38.9</v>
      </c>
      <c r="I26" s="118">
        <v>39</v>
      </c>
      <c r="J26" s="118">
        <v>38.9</v>
      </c>
      <c r="K26" s="118">
        <v>38.6</v>
      </c>
      <c r="L26" s="830">
        <v>38.6</v>
      </c>
      <c r="M26" s="830">
        <v>31.5</v>
      </c>
      <c r="N26" s="1176">
        <v>31.5</v>
      </c>
      <c r="O26" s="1176">
        <v>31.3</v>
      </c>
      <c r="P26" s="828">
        <f t="shared" si="1"/>
        <v>-0.63492063492063266</v>
      </c>
    </row>
    <row r="27" spans="1:20">
      <c r="A27" s="117" t="s">
        <v>85</v>
      </c>
      <c r="B27" s="118">
        <v>77</v>
      </c>
      <c r="C27" s="118">
        <v>77.3</v>
      </c>
      <c r="D27" s="118">
        <v>77.400000000000006</v>
      </c>
      <c r="E27" s="118">
        <v>77.400000000000006</v>
      </c>
      <c r="F27" s="118">
        <v>77.3</v>
      </c>
      <c r="G27" s="118">
        <v>77.5</v>
      </c>
      <c r="H27" s="118">
        <v>78.2</v>
      </c>
      <c r="I27" s="118">
        <v>78.400000000000006</v>
      </c>
      <c r="J27" s="118">
        <v>78.199999999999989</v>
      </c>
      <c r="K27" s="118">
        <v>77.8</v>
      </c>
      <c r="L27" s="830">
        <v>77.8</v>
      </c>
      <c r="M27" s="1176">
        <v>62.823999999999998</v>
      </c>
      <c r="N27" s="1176">
        <v>48</v>
      </c>
      <c r="O27" s="1176">
        <v>47.9</v>
      </c>
      <c r="P27" s="828">
        <f t="shared" si="1"/>
        <v>-0.2083333333333286</v>
      </c>
    </row>
    <row r="28" spans="1:20" s="121" customFormat="1">
      <c r="A28" s="117" t="s">
        <v>86</v>
      </c>
      <c r="B28" s="118">
        <v>22.8</v>
      </c>
      <c r="C28" s="118">
        <v>22.8</v>
      </c>
      <c r="D28" s="118">
        <v>22.8</v>
      </c>
      <c r="E28" s="118">
        <v>22.8</v>
      </c>
      <c r="F28" s="118">
        <v>22.8</v>
      </c>
      <c r="G28" s="118">
        <v>23</v>
      </c>
      <c r="H28" s="118">
        <v>23</v>
      </c>
      <c r="I28" s="118">
        <v>22.900000000000002</v>
      </c>
      <c r="J28" s="118">
        <v>22.7</v>
      </c>
      <c r="K28" s="118">
        <v>22.6</v>
      </c>
      <c r="L28" s="830">
        <v>22.499999999999996</v>
      </c>
      <c r="M28" s="1176">
        <v>19</v>
      </c>
      <c r="N28" s="1176">
        <v>18.900000000000002</v>
      </c>
      <c r="O28" s="1176">
        <v>18.8</v>
      </c>
      <c r="P28" s="828">
        <f t="shared" si="1"/>
        <v>-0.52910052910054617</v>
      </c>
    </row>
    <row r="29" spans="1:20" ht="15">
      <c r="A29" s="113" t="s">
        <v>87</v>
      </c>
      <c r="B29" s="114">
        <v>689.6</v>
      </c>
      <c r="C29" s="114">
        <v>694.5</v>
      </c>
      <c r="D29" s="114">
        <v>698.9</v>
      </c>
      <c r="E29" s="114">
        <v>696</v>
      </c>
      <c r="F29" s="114">
        <v>693.9</v>
      </c>
      <c r="G29" s="114">
        <v>697.1</v>
      </c>
      <c r="H29" s="114">
        <v>702.4</v>
      </c>
      <c r="I29" s="114">
        <v>706.00000000000011</v>
      </c>
      <c r="J29" s="114">
        <v>705.69999999999993</v>
      </c>
      <c r="K29" s="114">
        <v>703.59999999999991</v>
      </c>
      <c r="L29" s="831">
        <f>SUM(L30:L41)</f>
        <v>703.30000000000007</v>
      </c>
      <c r="M29" s="831">
        <f t="shared" ref="M29:O29" si="4">SUM(M30:M41)</f>
        <v>533.6</v>
      </c>
      <c r="N29" s="831">
        <f t="shared" si="4"/>
        <v>532.90000000000009</v>
      </c>
      <c r="O29" s="831">
        <f t="shared" si="4"/>
        <v>529.70000000000005</v>
      </c>
      <c r="P29" s="828">
        <f t="shared" si="1"/>
        <v>-0.60048789641584221</v>
      </c>
    </row>
    <row r="30" spans="1:20" s="121" customFormat="1">
      <c r="A30" s="117" t="s">
        <v>88</v>
      </c>
      <c r="B30" s="118">
        <v>184.2</v>
      </c>
      <c r="C30" s="118">
        <v>187.3</v>
      </c>
      <c r="D30" s="118">
        <v>189.9</v>
      </c>
      <c r="E30" s="118">
        <v>189.2</v>
      </c>
      <c r="F30" s="118">
        <v>188.6</v>
      </c>
      <c r="G30" s="118">
        <v>190.7</v>
      </c>
      <c r="H30" s="118">
        <v>193.6</v>
      </c>
      <c r="I30" s="118">
        <v>195.7</v>
      </c>
      <c r="J30" s="118">
        <v>196.6</v>
      </c>
      <c r="K30" s="118">
        <v>196.7</v>
      </c>
      <c r="L30" s="830">
        <v>196.99999999999997</v>
      </c>
      <c r="M30" s="1176">
        <v>147.6</v>
      </c>
      <c r="N30" s="1176">
        <v>147.9</v>
      </c>
      <c r="O30" s="1176">
        <v>147.19999999999999</v>
      </c>
      <c r="P30" s="828">
        <f t="shared" si="1"/>
        <v>-0.47329276538202691</v>
      </c>
    </row>
    <row r="31" spans="1:20">
      <c r="A31" s="117" t="s">
        <v>89</v>
      </c>
      <c r="B31" s="118">
        <v>28.5</v>
      </c>
      <c r="C31" s="118">
        <v>28.7</v>
      </c>
      <c r="D31" s="118">
        <v>28.9</v>
      </c>
      <c r="E31" s="118">
        <v>28.7</v>
      </c>
      <c r="F31" s="118">
        <v>28.5</v>
      </c>
      <c r="G31" s="118">
        <v>28.6</v>
      </c>
      <c r="H31" s="118">
        <v>28.7</v>
      </c>
      <c r="I31" s="118">
        <v>28.799999999999997</v>
      </c>
      <c r="J31" s="118">
        <v>28.700000000000003</v>
      </c>
      <c r="K31" s="118">
        <v>28.6</v>
      </c>
      <c r="L31" s="830">
        <v>28.499999999999993</v>
      </c>
      <c r="M31" s="1176">
        <v>21.5</v>
      </c>
      <c r="N31" s="1176">
        <v>21.5</v>
      </c>
      <c r="O31" s="1176">
        <v>21.2</v>
      </c>
      <c r="P31" s="828">
        <f t="shared" si="1"/>
        <v>-1.3953488372092977</v>
      </c>
    </row>
    <row r="32" spans="1:20" s="121" customFormat="1">
      <c r="A32" s="117" t="s">
        <v>90</v>
      </c>
      <c r="B32" s="118">
        <v>34</v>
      </c>
      <c r="C32" s="118">
        <v>34.1</v>
      </c>
      <c r="D32" s="118">
        <v>34.1</v>
      </c>
      <c r="E32" s="118">
        <v>33.799999999999997</v>
      </c>
      <c r="F32" s="118">
        <v>33.700000000000003</v>
      </c>
      <c r="G32" s="118">
        <v>33.799999999999997</v>
      </c>
      <c r="H32" s="118">
        <v>33.799999999999997</v>
      </c>
      <c r="I32" s="118">
        <v>33.800000000000004</v>
      </c>
      <c r="J32" s="118">
        <v>33.700000000000003</v>
      </c>
      <c r="K32" s="118">
        <v>33.5</v>
      </c>
      <c r="L32" s="830">
        <v>33.5</v>
      </c>
      <c r="M32" s="1176">
        <v>24.5</v>
      </c>
      <c r="N32" s="1176">
        <v>24.5</v>
      </c>
      <c r="O32" s="1176">
        <v>24.2</v>
      </c>
      <c r="P32" s="828">
        <f t="shared" si="1"/>
        <v>-1.2244897959183731</v>
      </c>
    </row>
    <row r="33" spans="1:16" s="121" customFormat="1">
      <c r="A33" s="117" t="s">
        <v>91</v>
      </c>
      <c r="B33" s="118">
        <v>75.099999999999994</v>
      </c>
      <c r="C33" s="118">
        <v>75.2</v>
      </c>
      <c r="D33" s="118">
        <v>75.5</v>
      </c>
      <c r="E33" s="118">
        <v>75.3</v>
      </c>
      <c r="F33" s="118">
        <v>75.099999999999994</v>
      </c>
      <c r="G33" s="118">
        <v>75.3</v>
      </c>
      <c r="H33" s="118">
        <v>75.5</v>
      </c>
      <c r="I33" s="118">
        <v>75.7</v>
      </c>
      <c r="J33" s="118">
        <v>75.5</v>
      </c>
      <c r="K33" s="118">
        <v>75.3</v>
      </c>
      <c r="L33" s="830">
        <v>75.2</v>
      </c>
      <c r="M33" s="1176">
        <v>57.599999999999994</v>
      </c>
      <c r="N33" s="1176">
        <v>57.5</v>
      </c>
      <c r="O33" s="1176">
        <v>57.3</v>
      </c>
      <c r="P33" s="828">
        <f t="shared" si="1"/>
        <v>-0.34782608695651618</v>
      </c>
    </row>
    <row r="34" spans="1:16">
      <c r="A34" s="117" t="s">
        <v>92</v>
      </c>
      <c r="B34" s="118">
        <v>44.7</v>
      </c>
      <c r="C34" s="118">
        <v>45</v>
      </c>
      <c r="D34" s="118">
        <v>45.2</v>
      </c>
      <c r="E34" s="118">
        <v>45</v>
      </c>
      <c r="F34" s="118">
        <v>44.8</v>
      </c>
      <c r="G34" s="118">
        <v>44.8</v>
      </c>
      <c r="H34" s="118">
        <v>45.1</v>
      </c>
      <c r="I34" s="118">
        <v>45.099999999999994</v>
      </c>
      <c r="J34" s="118">
        <v>45</v>
      </c>
      <c r="K34" s="118">
        <v>44.699999999999996</v>
      </c>
      <c r="L34" s="830">
        <v>44.699999999999989</v>
      </c>
      <c r="M34" s="1176">
        <v>35.5</v>
      </c>
      <c r="N34" s="1176">
        <v>35.4</v>
      </c>
      <c r="O34" s="1176">
        <v>35.1</v>
      </c>
      <c r="P34" s="828">
        <f t="shared" si="1"/>
        <v>-0.84745762711862938</v>
      </c>
    </row>
    <row r="35" spans="1:16">
      <c r="A35" s="117" t="s">
        <v>93</v>
      </c>
      <c r="B35" s="118">
        <v>59.6</v>
      </c>
      <c r="C35" s="118">
        <v>60</v>
      </c>
      <c r="D35" s="118">
        <v>60.3</v>
      </c>
      <c r="E35" s="118">
        <v>60</v>
      </c>
      <c r="F35" s="118">
        <v>59.8</v>
      </c>
      <c r="G35" s="118">
        <v>60.1</v>
      </c>
      <c r="H35" s="118">
        <v>60.5</v>
      </c>
      <c r="I35" s="118">
        <v>60.7</v>
      </c>
      <c r="J35" s="118">
        <v>60.6</v>
      </c>
      <c r="K35" s="118">
        <v>60.2</v>
      </c>
      <c r="L35" s="830">
        <v>60.099999999999994</v>
      </c>
      <c r="M35" s="1176">
        <v>48.5</v>
      </c>
      <c r="N35" s="1176">
        <v>48.5</v>
      </c>
      <c r="O35" s="1176">
        <v>48.2</v>
      </c>
      <c r="P35" s="828">
        <f t="shared" si="1"/>
        <v>-0.61855670103092564</v>
      </c>
    </row>
    <row r="36" spans="1:16">
      <c r="A36" s="117" t="s">
        <v>94</v>
      </c>
      <c r="B36" s="118">
        <v>46.2</v>
      </c>
      <c r="C36" s="118">
        <v>46.3</v>
      </c>
      <c r="D36" s="118">
        <v>46.5</v>
      </c>
      <c r="E36" s="118">
        <v>46.6</v>
      </c>
      <c r="F36" s="118">
        <v>46.8</v>
      </c>
      <c r="G36" s="118">
        <v>47.1</v>
      </c>
      <c r="H36" s="118">
        <v>47.5</v>
      </c>
      <c r="I36" s="118">
        <v>47.900000000000006</v>
      </c>
      <c r="J36" s="118">
        <v>48</v>
      </c>
      <c r="K36" s="118">
        <v>48</v>
      </c>
      <c r="L36" s="830">
        <v>48.1</v>
      </c>
      <c r="M36" s="1176">
        <v>37.800000000000004</v>
      </c>
      <c r="N36" s="1176">
        <v>37.799999999999997</v>
      </c>
      <c r="O36" s="1176">
        <v>37.800000000000004</v>
      </c>
      <c r="P36" s="828">
        <f t="shared" si="1"/>
        <v>0</v>
      </c>
    </row>
    <row r="37" spans="1:16">
      <c r="A37" s="117" t="s">
        <v>95</v>
      </c>
      <c r="B37" s="118">
        <v>30.5</v>
      </c>
      <c r="C37" s="118">
        <v>30.4</v>
      </c>
      <c r="D37" s="118">
        <v>30.5</v>
      </c>
      <c r="E37" s="118">
        <v>30.3</v>
      </c>
      <c r="F37" s="118">
        <v>30.1</v>
      </c>
      <c r="G37" s="118">
        <v>30</v>
      </c>
      <c r="H37" s="118">
        <v>30.1</v>
      </c>
      <c r="I37" s="118">
        <v>30.1</v>
      </c>
      <c r="J37" s="118">
        <v>30</v>
      </c>
      <c r="K37" s="118">
        <v>29.7</v>
      </c>
      <c r="L37" s="830">
        <v>29.5</v>
      </c>
      <c r="M37" s="1176">
        <v>20.8</v>
      </c>
      <c r="N37" s="1176">
        <v>20.6</v>
      </c>
      <c r="O37" s="1176">
        <v>20.399999999999999</v>
      </c>
      <c r="P37" s="828">
        <f t="shared" si="1"/>
        <v>-0.97087378640777899</v>
      </c>
    </row>
    <row r="38" spans="1:16">
      <c r="A38" s="117" t="s">
        <v>96</v>
      </c>
      <c r="B38" s="118">
        <v>72.8</v>
      </c>
      <c r="C38" s="118">
        <v>73.3</v>
      </c>
      <c r="D38" s="118">
        <v>73.7</v>
      </c>
      <c r="E38" s="118">
        <v>73.400000000000006</v>
      </c>
      <c r="F38" s="118">
        <v>73.099999999999994</v>
      </c>
      <c r="G38" s="118">
        <v>73.3</v>
      </c>
      <c r="H38" s="118">
        <v>73.7</v>
      </c>
      <c r="I38" s="118">
        <v>74</v>
      </c>
      <c r="J38" s="118">
        <v>73.8</v>
      </c>
      <c r="K38" s="118">
        <v>73.5</v>
      </c>
      <c r="L38" s="830">
        <v>73.5</v>
      </c>
      <c r="M38" s="1176">
        <v>56.900000000000006</v>
      </c>
      <c r="N38" s="1176">
        <v>56.599999999999994</v>
      </c>
      <c r="O38" s="1176">
        <v>56.2</v>
      </c>
      <c r="P38" s="828">
        <f t="shared" si="1"/>
        <v>-0.70671378091871873</v>
      </c>
    </row>
    <row r="39" spans="1:16">
      <c r="A39" s="117" t="s">
        <v>97</v>
      </c>
      <c r="B39" s="118">
        <v>55.3</v>
      </c>
      <c r="C39" s="118">
        <v>55.4</v>
      </c>
      <c r="D39" s="118">
        <v>55.5</v>
      </c>
      <c r="E39" s="118">
        <v>55.2</v>
      </c>
      <c r="F39" s="118">
        <v>55</v>
      </c>
      <c r="G39" s="118">
        <v>54.9</v>
      </c>
      <c r="H39" s="118">
        <v>55.1</v>
      </c>
      <c r="I39" s="118">
        <v>55.2</v>
      </c>
      <c r="J39" s="118">
        <v>55.099999999999994</v>
      </c>
      <c r="K39" s="118">
        <v>54.900000000000006</v>
      </c>
      <c r="L39" s="830">
        <v>54.899999999999991</v>
      </c>
      <c r="M39" s="1176">
        <v>39.799999999999997</v>
      </c>
      <c r="N39" s="1176">
        <v>39.799999999999997</v>
      </c>
      <c r="O39" s="1176">
        <v>39.6</v>
      </c>
      <c r="P39" s="828">
        <f t="shared" si="1"/>
        <v>-0.50251256281406143</v>
      </c>
    </row>
    <row r="40" spans="1:16">
      <c r="A40" s="117" t="s">
        <v>98</v>
      </c>
      <c r="B40" s="118">
        <v>27.4</v>
      </c>
      <c r="C40" s="118">
        <v>27.5</v>
      </c>
      <c r="D40" s="118">
        <v>27.5</v>
      </c>
      <c r="E40" s="118">
        <v>27.4</v>
      </c>
      <c r="F40" s="118">
        <v>27.4</v>
      </c>
      <c r="G40" s="118">
        <v>27.4</v>
      </c>
      <c r="H40" s="118">
        <v>27.5</v>
      </c>
      <c r="I40" s="118">
        <v>27.5</v>
      </c>
      <c r="J40" s="118">
        <v>27.3</v>
      </c>
      <c r="K40" s="118">
        <v>27.200000000000003</v>
      </c>
      <c r="L40" s="830">
        <v>27.099999999999994</v>
      </c>
      <c r="M40" s="1176">
        <v>19.5</v>
      </c>
      <c r="N40" s="1176">
        <v>19.399999999999999</v>
      </c>
      <c r="O40" s="1176">
        <v>19.3</v>
      </c>
      <c r="P40" s="828">
        <f t="shared" si="1"/>
        <v>-0.51546391752576426</v>
      </c>
    </row>
    <row r="41" spans="1:16">
      <c r="A41" s="117" t="s">
        <v>99</v>
      </c>
      <c r="B41" s="118">
        <v>31.3</v>
      </c>
      <c r="C41" s="118">
        <v>31.3</v>
      </c>
      <c r="D41" s="118">
        <v>31.3</v>
      </c>
      <c r="E41" s="118">
        <v>31.1</v>
      </c>
      <c r="F41" s="118">
        <v>31</v>
      </c>
      <c r="G41" s="118">
        <v>31.1</v>
      </c>
      <c r="H41" s="118">
        <v>31.3</v>
      </c>
      <c r="I41" s="118">
        <v>31.5</v>
      </c>
      <c r="J41" s="118">
        <v>31.400000000000002</v>
      </c>
      <c r="K41" s="118">
        <v>31.3</v>
      </c>
      <c r="L41" s="830">
        <v>31.199999999999996</v>
      </c>
      <c r="M41" s="1176">
        <v>23.6</v>
      </c>
      <c r="N41" s="1176">
        <v>23.4</v>
      </c>
      <c r="O41" s="1176">
        <v>23.200000000000003</v>
      </c>
      <c r="P41" s="828">
        <f t="shared" si="1"/>
        <v>-0.85470085470083745</v>
      </c>
    </row>
    <row r="42" spans="1:16" ht="15">
      <c r="A42" s="113" t="s">
        <v>100</v>
      </c>
      <c r="B42" s="114">
        <v>400.6</v>
      </c>
      <c r="C42" s="114">
        <v>402.4</v>
      </c>
      <c r="D42" s="114">
        <v>404.2</v>
      </c>
      <c r="E42" s="114">
        <v>402.7</v>
      </c>
      <c r="F42" s="114">
        <v>401.7</v>
      </c>
      <c r="G42" s="114">
        <v>403.1</v>
      </c>
      <c r="H42" s="114">
        <v>405.3</v>
      </c>
      <c r="I42" s="114">
        <v>406.59999999999991</v>
      </c>
      <c r="J42" s="114">
        <v>406.1</v>
      </c>
      <c r="K42" s="114">
        <v>405</v>
      </c>
      <c r="L42" s="831">
        <f>SUM(L44:L51)</f>
        <v>405</v>
      </c>
      <c r="M42" s="831">
        <f t="shared" ref="M42" si="5">SUM(M44:M51)</f>
        <v>318.39999999999998</v>
      </c>
      <c r="N42" s="831">
        <f>SUM(N43:N51)</f>
        <v>318.40000000000003</v>
      </c>
      <c r="O42" s="831">
        <f>SUM(O43:O51)</f>
        <v>317.49999999999994</v>
      </c>
      <c r="P42" s="828">
        <f t="shared" si="1"/>
        <v>-0.28266331658294064</v>
      </c>
    </row>
    <row r="43" spans="1:16" ht="15">
      <c r="A43" s="1180" t="s">
        <v>1850</v>
      </c>
      <c r="B43" s="1179"/>
      <c r="C43" s="1179"/>
      <c r="D43" s="1179"/>
      <c r="E43" s="1179"/>
      <c r="F43" s="1179"/>
      <c r="G43" s="1179"/>
      <c r="H43" s="1179"/>
      <c r="I43" s="1179"/>
      <c r="J43" s="1179"/>
      <c r="K43" s="1179"/>
      <c r="L43" s="1177"/>
      <c r="M43" s="1177"/>
      <c r="N43" s="1177">
        <v>19.600000000000001</v>
      </c>
      <c r="O43" s="1177">
        <v>19.5</v>
      </c>
      <c r="P43" s="828">
        <f t="shared" si="1"/>
        <v>-0.51020408163265074</v>
      </c>
    </row>
    <row r="44" spans="1:16">
      <c r="A44" s="117" t="s">
        <v>101</v>
      </c>
      <c r="B44" s="118">
        <v>40.799999999999997</v>
      </c>
      <c r="C44" s="118">
        <v>41.3</v>
      </c>
      <c r="D44" s="118">
        <v>41.6</v>
      </c>
      <c r="E44" s="118">
        <v>41.6</v>
      </c>
      <c r="F44" s="118">
        <v>41.5</v>
      </c>
      <c r="G44" s="118">
        <v>41.8</v>
      </c>
      <c r="H44" s="118">
        <v>42.1</v>
      </c>
      <c r="I44" s="118">
        <v>42.3</v>
      </c>
      <c r="J44" s="118">
        <v>42.3</v>
      </c>
      <c r="K44" s="118">
        <v>42.3</v>
      </c>
      <c r="L44" s="830">
        <v>42.300000000000004</v>
      </c>
      <c r="M44" s="1176">
        <v>31.4</v>
      </c>
      <c r="N44" s="1176">
        <v>31.700000000000003</v>
      </c>
      <c r="O44" s="1176">
        <v>31.5</v>
      </c>
      <c r="P44" s="828">
        <f t="shared" si="1"/>
        <v>-0.6309148264984259</v>
      </c>
    </row>
    <row r="45" spans="1:16">
      <c r="A45" s="117" t="s">
        <v>102</v>
      </c>
      <c r="B45" s="118">
        <v>71.2</v>
      </c>
      <c r="C45" s="118">
        <v>70.8</v>
      </c>
      <c r="D45" s="118">
        <v>70.7</v>
      </c>
      <c r="E45" s="118">
        <v>70.3</v>
      </c>
      <c r="F45" s="118">
        <v>70</v>
      </c>
      <c r="G45" s="118">
        <v>69.900000000000006</v>
      </c>
      <c r="H45" s="118">
        <v>69.900000000000006</v>
      </c>
      <c r="I45" s="118">
        <v>69.8</v>
      </c>
      <c r="J45" s="118">
        <v>69.5</v>
      </c>
      <c r="K45" s="118">
        <v>69.099999999999994</v>
      </c>
      <c r="L45" s="830">
        <v>69</v>
      </c>
      <c r="M45" s="1176">
        <v>54.3</v>
      </c>
      <c r="N45" s="1176">
        <v>53.9</v>
      </c>
      <c r="O45" s="1176">
        <v>53.6</v>
      </c>
      <c r="P45" s="828">
        <f t="shared" si="1"/>
        <v>-0.55658627087198909</v>
      </c>
    </row>
    <row r="46" spans="1:16">
      <c r="A46" s="117" t="s">
        <v>103</v>
      </c>
      <c r="B46" s="118">
        <v>30.3</v>
      </c>
      <c r="C46" s="118">
        <v>30.5</v>
      </c>
      <c r="D46" s="118">
        <v>30.7</v>
      </c>
      <c r="E46" s="118">
        <v>30.5</v>
      </c>
      <c r="F46" s="118">
        <v>30.3</v>
      </c>
      <c r="G46" s="118">
        <v>30.4</v>
      </c>
      <c r="H46" s="118">
        <v>30.6</v>
      </c>
      <c r="I46" s="118">
        <v>30.6</v>
      </c>
      <c r="J46" s="118">
        <v>30.6</v>
      </c>
      <c r="K46" s="118">
        <v>30.5</v>
      </c>
      <c r="L46" s="830">
        <v>30.4</v>
      </c>
      <c r="M46" s="1176">
        <v>21.200000000000003</v>
      </c>
      <c r="N46" s="1176">
        <v>21.1</v>
      </c>
      <c r="O46" s="1176">
        <v>21</v>
      </c>
      <c r="P46" s="828">
        <f t="shared" si="1"/>
        <v>-0.47393364928910842</v>
      </c>
    </row>
    <row r="47" spans="1:16" s="121" customFormat="1">
      <c r="A47" s="117" t="s">
        <v>104</v>
      </c>
      <c r="B47" s="118">
        <v>69.599999999999994</v>
      </c>
      <c r="C47" s="118">
        <v>70</v>
      </c>
      <c r="D47" s="118">
        <v>70.5</v>
      </c>
      <c r="E47" s="118">
        <v>70.2</v>
      </c>
      <c r="F47" s="118">
        <v>69.900000000000006</v>
      </c>
      <c r="G47" s="118">
        <v>70.2</v>
      </c>
      <c r="H47" s="118">
        <v>70.7</v>
      </c>
      <c r="I47" s="118">
        <v>71.099999999999994</v>
      </c>
      <c r="J47" s="118">
        <v>71</v>
      </c>
      <c r="K47" s="118">
        <v>70.8</v>
      </c>
      <c r="L47" s="830">
        <v>70.900000000000006</v>
      </c>
      <c r="M47" s="1176">
        <v>58.300000000000004</v>
      </c>
      <c r="N47" s="1176">
        <v>38.700000000000003</v>
      </c>
      <c r="O47" s="1176">
        <v>38.6</v>
      </c>
      <c r="P47" s="828">
        <f t="shared" si="1"/>
        <v>-0.25839793281653556</v>
      </c>
    </row>
    <row r="48" spans="1:16" s="121" customFormat="1">
      <c r="A48" s="117" t="s">
        <v>105</v>
      </c>
      <c r="B48" s="118">
        <v>50.4</v>
      </c>
      <c r="C48" s="118">
        <v>50.7</v>
      </c>
      <c r="D48" s="118">
        <v>51</v>
      </c>
      <c r="E48" s="118">
        <v>51.1</v>
      </c>
      <c r="F48" s="118">
        <v>51.2</v>
      </c>
      <c r="G48" s="118">
        <v>51.5</v>
      </c>
      <c r="H48" s="118">
        <v>51.8</v>
      </c>
      <c r="I48" s="118">
        <v>52</v>
      </c>
      <c r="J48" s="118">
        <v>52</v>
      </c>
      <c r="K48" s="118">
        <v>52</v>
      </c>
      <c r="L48" s="830">
        <v>52</v>
      </c>
      <c r="M48" s="1176">
        <v>41.699999999999996</v>
      </c>
      <c r="N48" s="1176">
        <v>41.8</v>
      </c>
      <c r="O48" s="1176">
        <v>41.699999999999996</v>
      </c>
      <c r="P48" s="828">
        <f t="shared" si="1"/>
        <v>-0.23923444976077235</v>
      </c>
    </row>
    <row r="49" spans="1:16" s="121" customFormat="1">
      <c r="A49" s="117" t="s">
        <v>106</v>
      </c>
      <c r="B49" s="118">
        <v>58.3</v>
      </c>
      <c r="C49" s="118">
        <v>58.6</v>
      </c>
      <c r="D49" s="118">
        <v>58.8</v>
      </c>
      <c r="E49" s="118">
        <v>58.7</v>
      </c>
      <c r="F49" s="118">
        <v>58.8</v>
      </c>
      <c r="G49" s="118">
        <v>59.3</v>
      </c>
      <c r="H49" s="118">
        <v>59.6</v>
      </c>
      <c r="I49" s="118">
        <v>59.900000000000006</v>
      </c>
      <c r="J49" s="118">
        <v>60</v>
      </c>
      <c r="K49" s="118">
        <v>60.1</v>
      </c>
      <c r="L49" s="830">
        <v>60.3</v>
      </c>
      <c r="M49" s="1176">
        <v>51.8</v>
      </c>
      <c r="N49" s="1176">
        <v>52.199999999999996</v>
      </c>
      <c r="O49" s="1176">
        <v>52.4</v>
      </c>
      <c r="P49" s="828">
        <f t="shared" si="1"/>
        <v>0.3831417624521265</v>
      </c>
    </row>
    <row r="50" spans="1:16" s="121" customFormat="1">
      <c r="A50" s="117" t="s">
        <v>107</v>
      </c>
      <c r="B50" s="118">
        <v>42.9</v>
      </c>
      <c r="C50" s="118">
        <v>43.4</v>
      </c>
      <c r="D50" s="118">
        <v>43.7</v>
      </c>
      <c r="E50" s="118">
        <v>43.3</v>
      </c>
      <c r="F50" s="118">
        <v>43</v>
      </c>
      <c r="G50" s="118">
        <v>43</v>
      </c>
      <c r="H50" s="118">
        <v>43.4</v>
      </c>
      <c r="I50" s="118">
        <v>43.7</v>
      </c>
      <c r="J50" s="118">
        <v>43.6</v>
      </c>
      <c r="K50" s="118">
        <v>43.300000000000004</v>
      </c>
      <c r="L50" s="830">
        <v>43.199999999999996</v>
      </c>
      <c r="M50" s="1176">
        <v>29.900000000000002</v>
      </c>
      <c r="N50" s="1176">
        <v>29.599999999999998</v>
      </c>
      <c r="O50" s="1176">
        <v>29.5</v>
      </c>
      <c r="P50" s="828">
        <f t="shared" si="1"/>
        <v>-0.33783783783783861</v>
      </c>
    </row>
    <row r="51" spans="1:16">
      <c r="A51" s="117" t="s">
        <v>108</v>
      </c>
      <c r="B51" s="118">
        <v>37.1</v>
      </c>
      <c r="C51" s="118">
        <v>37.1</v>
      </c>
      <c r="D51" s="118">
        <v>37.200000000000003</v>
      </c>
      <c r="E51" s="118">
        <v>37</v>
      </c>
      <c r="F51" s="118">
        <v>37</v>
      </c>
      <c r="G51" s="118">
        <v>37</v>
      </c>
      <c r="H51" s="118">
        <v>37.200000000000003</v>
      </c>
      <c r="I51" s="118">
        <v>37.200000000000003</v>
      </c>
      <c r="J51" s="118">
        <v>37.1</v>
      </c>
      <c r="K51" s="118">
        <v>36.9</v>
      </c>
      <c r="L51" s="830">
        <v>36.9</v>
      </c>
      <c r="M51" s="1176">
        <v>29.8</v>
      </c>
      <c r="N51" s="1176">
        <v>29.8</v>
      </c>
      <c r="O51" s="1176">
        <v>29.7</v>
      </c>
      <c r="P51" s="828">
        <f t="shared" si="1"/>
        <v>-0.3355704697986539</v>
      </c>
    </row>
    <row r="52" spans="1:16" ht="15">
      <c r="A52" s="113" t="s">
        <v>109</v>
      </c>
      <c r="B52" s="114">
        <v>122.5</v>
      </c>
      <c r="C52" s="114">
        <v>123.5</v>
      </c>
      <c r="D52" s="114">
        <v>124.3</v>
      </c>
      <c r="E52" s="114">
        <v>111.9</v>
      </c>
      <c r="F52" s="114">
        <v>105.2</v>
      </c>
      <c r="G52" s="114">
        <v>108.30000000000001</v>
      </c>
      <c r="H52" s="114">
        <v>109.10000000000001</v>
      </c>
      <c r="I52" s="114">
        <v>109.5</v>
      </c>
      <c r="J52" s="114">
        <v>109.30000000000001</v>
      </c>
      <c r="K52" s="114">
        <v>108.9</v>
      </c>
      <c r="L52" s="831">
        <f>SUM(L53:L57)</f>
        <v>108.8</v>
      </c>
      <c r="M52" s="831">
        <f t="shared" ref="M52:O52" si="6">SUM(M53:M57)</f>
        <v>94.5</v>
      </c>
      <c r="N52" s="831">
        <f t="shared" si="6"/>
        <v>86.278999999999996</v>
      </c>
      <c r="O52" s="831">
        <f t="shared" si="6"/>
        <v>85.999999999999986</v>
      </c>
      <c r="P52" s="828">
        <f t="shared" si="1"/>
        <v>-0.32336953372200128</v>
      </c>
    </row>
    <row r="53" spans="1:16">
      <c r="A53" s="117" t="s">
        <v>110</v>
      </c>
      <c r="B53" s="118">
        <v>7.4</v>
      </c>
      <c r="C53" s="118">
        <v>7.6</v>
      </c>
      <c r="D53" s="118">
        <v>7.6</v>
      </c>
      <c r="E53" s="118">
        <v>7.6</v>
      </c>
      <c r="F53" s="118">
        <v>7.6</v>
      </c>
      <c r="G53" s="118" t="s">
        <v>66</v>
      </c>
      <c r="H53" s="118" t="s">
        <v>66</v>
      </c>
      <c r="I53" s="118" t="s">
        <v>66</v>
      </c>
      <c r="J53" s="118" t="s">
        <v>66</v>
      </c>
      <c r="K53" s="118" t="s">
        <v>66</v>
      </c>
      <c r="L53" s="832" t="s">
        <v>66</v>
      </c>
      <c r="M53" s="1178"/>
      <c r="N53" s="1178"/>
      <c r="O53" s="1178"/>
      <c r="P53" s="828"/>
    </row>
    <row r="54" spans="1:16">
      <c r="A54" s="117" t="s">
        <v>111</v>
      </c>
      <c r="B54" s="118">
        <v>32.9</v>
      </c>
      <c r="C54" s="118">
        <v>33.1</v>
      </c>
      <c r="D54" s="118">
        <v>33.4</v>
      </c>
      <c r="E54" s="118">
        <v>33.200000000000003</v>
      </c>
      <c r="F54" s="118">
        <v>33.1</v>
      </c>
      <c r="G54" s="118">
        <v>33.6</v>
      </c>
      <c r="H54" s="118">
        <v>34</v>
      </c>
      <c r="I54" s="118">
        <v>34.1</v>
      </c>
      <c r="J54" s="118">
        <v>34</v>
      </c>
      <c r="K54" s="118">
        <v>33.700000000000003</v>
      </c>
      <c r="L54" s="830">
        <v>33.599999999999994</v>
      </c>
      <c r="M54" s="1176">
        <v>25.6</v>
      </c>
      <c r="N54" s="1176">
        <v>25.379000000000001</v>
      </c>
      <c r="O54" s="1176">
        <v>25.2</v>
      </c>
      <c r="P54" s="828">
        <f t="shared" si="1"/>
        <v>-0.70530753772804644</v>
      </c>
    </row>
    <row r="55" spans="1:16" s="121" customFormat="1">
      <c r="A55" s="117" t="s">
        <v>112</v>
      </c>
      <c r="B55" s="118">
        <v>13.2</v>
      </c>
      <c r="C55" s="118">
        <v>13.3</v>
      </c>
      <c r="D55" s="118">
        <v>13.3</v>
      </c>
      <c r="E55" s="118">
        <v>13.2</v>
      </c>
      <c r="F55" s="118">
        <v>13.1</v>
      </c>
      <c r="G55" s="118">
        <v>13.2</v>
      </c>
      <c r="H55" s="118">
        <v>13.1</v>
      </c>
      <c r="I55" s="118">
        <v>13.1</v>
      </c>
      <c r="J55" s="118">
        <v>13</v>
      </c>
      <c r="K55" s="118">
        <v>12.900000000000002</v>
      </c>
      <c r="L55" s="830">
        <v>12.9</v>
      </c>
      <c r="M55" s="1176">
        <v>9.5</v>
      </c>
      <c r="N55" s="1176">
        <v>9.3000000000000007</v>
      </c>
      <c r="O55" s="1176">
        <v>9.1999999999999993</v>
      </c>
      <c r="P55" s="828">
        <f t="shared" si="1"/>
        <v>-1.0752688172043179</v>
      </c>
    </row>
    <row r="56" spans="1:16">
      <c r="A56" s="117" t="s">
        <v>113</v>
      </c>
      <c r="B56" s="118">
        <v>64.099999999999994</v>
      </c>
      <c r="C56" s="118">
        <v>64.599999999999994</v>
      </c>
      <c r="D56" s="118">
        <v>65.099999999999994</v>
      </c>
      <c r="E56" s="118">
        <v>53</v>
      </c>
      <c r="F56" s="118">
        <v>46.5</v>
      </c>
      <c r="G56" s="118">
        <v>56.6</v>
      </c>
      <c r="H56" s="118">
        <v>57.1</v>
      </c>
      <c r="I56" s="118">
        <v>57.4</v>
      </c>
      <c r="J56" s="118">
        <v>57.4</v>
      </c>
      <c r="K56" s="118">
        <v>57.4</v>
      </c>
      <c r="L56" s="830">
        <v>57.4</v>
      </c>
      <c r="M56" s="1176">
        <v>55.6</v>
      </c>
      <c r="N56" s="1176">
        <v>47.8</v>
      </c>
      <c r="O56" s="1176">
        <v>47.8</v>
      </c>
      <c r="P56" s="828">
        <f t="shared" si="1"/>
        <v>0</v>
      </c>
    </row>
    <row r="57" spans="1:16">
      <c r="A57" s="117" t="s">
        <v>114</v>
      </c>
      <c r="B57" s="118">
        <v>4.9000000000000004</v>
      </c>
      <c r="C57" s="118">
        <v>4.9000000000000004</v>
      </c>
      <c r="D57" s="118">
        <v>4.9000000000000004</v>
      </c>
      <c r="E57" s="118">
        <v>4.9000000000000004</v>
      </c>
      <c r="F57" s="118">
        <v>4.9000000000000004</v>
      </c>
      <c r="G57" s="118">
        <v>4.9000000000000004</v>
      </c>
      <c r="H57" s="118">
        <v>4.9000000000000004</v>
      </c>
      <c r="I57" s="118">
        <v>4.9000000000000004</v>
      </c>
      <c r="J57" s="118">
        <v>4.9000000000000004</v>
      </c>
      <c r="K57" s="118">
        <v>4.9000000000000004</v>
      </c>
      <c r="L57" s="830">
        <v>4.9000000000000004</v>
      </c>
      <c r="M57" s="1176">
        <v>3.8</v>
      </c>
      <c r="N57" s="1176">
        <v>3.8</v>
      </c>
      <c r="O57" s="1176">
        <v>3.8</v>
      </c>
      <c r="P57" s="828">
        <f t="shared" si="1"/>
        <v>0</v>
      </c>
    </row>
    <row r="58" spans="1:16" ht="15">
      <c r="A58" s="122" t="s">
        <v>115</v>
      </c>
      <c r="B58" s="114">
        <v>49.4</v>
      </c>
      <c r="C58" s="114">
        <v>49.1</v>
      </c>
      <c r="D58" s="114">
        <v>48.8</v>
      </c>
      <c r="E58" s="114">
        <v>48.4</v>
      </c>
      <c r="F58" s="114">
        <v>47.9</v>
      </c>
      <c r="G58" s="114">
        <v>47.7</v>
      </c>
      <c r="H58" s="114">
        <v>47.5</v>
      </c>
      <c r="I58" s="114">
        <v>47.2</v>
      </c>
      <c r="J58" s="114">
        <v>46.7</v>
      </c>
      <c r="K58" s="114">
        <v>46.1</v>
      </c>
      <c r="L58" s="831">
        <f>SUM(L59:L62)</f>
        <v>45.900000000000006</v>
      </c>
      <c r="M58" s="831">
        <f t="shared" ref="M58:O58" si="7">SUM(M59:M62)</f>
        <v>32</v>
      </c>
      <c r="N58" s="831">
        <f t="shared" si="7"/>
        <v>29.5</v>
      </c>
      <c r="O58" s="831">
        <f t="shared" si="7"/>
        <v>29</v>
      </c>
      <c r="P58" s="828">
        <f t="shared" si="1"/>
        <v>-1.6949152542372872</v>
      </c>
    </row>
    <row r="59" spans="1:16" s="121" customFormat="1">
      <c r="A59" s="117" t="s">
        <v>116</v>
      </c>
      <c r="B59" s="118">
        <v>15.6</v>
      </c>
      <c r="C59" s="118">
        <v>15.4</v>
      </c>
      <c r="D59" s="118">
        <v>15.2</v>
      </c>
      <c r="E59" s="118">
        <v>15</v>
      </c>
      <c r="F59" s="118">
        <v>14.8</v>
      </c>
      <c r="G59" s="118">
        <v>14.6</v>
      </c>
      <c r="H59" s="118">
        <v>14.4</v>
      </c>
      <c r="I59" s="118">
        <v>14.200000000000001</v>
      </c>
      <c r="J59" s="118">
        <v>13.9</v>
      </c>
      <c r="K59" s="118">
        <v>13.700000000000001</v>
      </c>
      <c r="L59" s="830">
        <v>13.600000000000003</v>
      </c>
      <c r="M59" s="1176">
        <v>11.2</v>
      </c>
      <c r="N59" s="1176">
        <v>8.9</v>
      </c>
      <c r="O59" s="1176">
        <v>8.6999999999999993</v>
      </c>
      <c r="P59" s="828">
        <f t="shared" si="1"/>
        <v>-2.2471910112359694</v>
      </c>
    </row>
    <row r="60" spans="1:16">
      <c r="A60" s="117" t="s">
        <v>117</v>
      </c>
      <c r="B60" s="118">
        <v>8.8000000000000007</v>
      </c>
      <c r="C60" s="118">
        <v>8.8000000000000007</v>
      </c>
      <c r="D60" s="118">
        <v>8.9</v>
      </c>
      <c r="E60" s="118">
        <v>8.9</v>
      </c>
      <c r="F60" s="118">
        <v>8.9</v>
      </c>
      <c r="G60" s="118">
        <v>9</v>
      </c>
      <c r="H60" s="118">
        <v>9</v>
      </c>
      <c r="I60" s="118">
        <v>9</v>
      </c>
      <c r="J60" s="118">
        <v>9</v>
      </c>
      <c r="K60" s="118">
        <v>8.9</v>
      </c>
      <c r="L60" s="830">
        <v>8.9</v>
      </c>
      <c r="M60" s="1176">
        <v>4.3</v>
      </c>
      <c r="N60" s="1176">
        <v>4.4000000000000004</v>
      </c>
      <c r="O60" s="1176">
        <v>4.4000000000000004</v>
      </c>
      <c r="P60" s="828">
        <f t="shared" si="1"/>
        <v>0</v>
      </c>
    </row>
    <row r="61" spans="1:16">
      <c r="A61" s="117" t="s">
        <v>118</v>
      </c>
      <c r="B61" s="118">
        <v>8.9</v>
      </c>
      <c r="C61" s="118">
        <v>8.9</v>
      </c>
      <c r="D61" s="118">
        <v>8.8000000000000007</v>
      </c>
      <c r="E61" s="118">
        <v>8.8000000000000007</v>
      </c>
      <c r="F61" s="118">
        <v>8.6</v>
      </c>
      <c r="G61" s="118">
        <v>8.5</v>
      </c>
      <c r="H61" s="118">
        <v>8.5</v>
      </c>
      <c r="I61" s="118">
        <v>8.4</v>
      </c>
      <c r="J61" s="118">
        <v>8.3000000000000007</v>
      </c>
      <c r="K61" s="118">
        <v>8.1999999999999993</v>
      </c>
      <c r="L61" s="830">
        <v>8.1000000000000014</v>
      </c>
      <c r="M61" s="1176">
        <v>6.2</v>
      </c>
      <c r="N61" s="1176">
        <v>6</v>
      </c>
      <c r="O61" s="1176">
        <v>5.9</v>
      </c>
      <c r="P61" s="828">
        <f t="shared" si="1"/>
        <v>-1.6666666666666572</v>
      </c>
    </row>
    <row r="62" spans="1:16">
      <c r="A62" s="117" t="s">
        <v>119</v>
      </c>
      <c r="B62" s="118">
        <v>16.100000000000001</v>
      </c>
      <c r="C62" s="118">
        <v>16</v>
      </c>
      <c r="D62" s="118">
        <v>15.9</v>
      </c>
      <c r="E62" s="118">
        <v>15.7</v>
      </c>
      <c r="F62" s="118">
        <v>15.6</v>
      </c>
      <c r="G62" s="118">
        <v>15.6</v>
      </c>
      <c r="H62" s="118">
        <v>15.6</v>
      </c>
      <c r="I62" s="118">
        <v>15.600000000000001</v>
      </c>
      <c r="J62" s="118">
        <v>15.5</v>
      </c>
      <c r="K62" s="118">
        <v>15.3</v>
      </c>
      <c r="L62" s="830">
        <v>15.300000000000002</v>
      </c>
      <c r="M62" s="1176">
        <v>10.3</v>
      </c>
      <c r="N62" s="1176">
        <v>10.200000000000001</v>
      </c>
      <c r="O62" s="1176">
        <v>10</v>
      </c>
      <c r="P62" s="828">
        <f t="shared" si="1"/>
        <v>-1.9607843137254974</v>
      </c>
    </row>
    <row r="63" spans="1:16" s="121" customFormat="1" ht="15">
      <c r="A63" s="123" t="s">
        <v>120</v>
      </c>
      <c r="B63" s="114">
        <v>459.90000000000009</v>
      </c>
      <c r="C63" s="114">
        <v>465.70000000000005</v>
      </c>
      <c r="D63" s="114">
        <v>470.40000000000003</v>
      </c>
      <c r="E63" s="114">
        <v>468.8</v>
      </c>
      <c r="F63" s="114">
        <v>467.9</v>
      </c>
      <c r="G63" s="114">
        <v>471</v>
      </c>
      <c r="H63" s="114">
        <v>475.6</v>
      </c>
      <c r="I63" s="114">
        <v>478.3</v>
      </c>
      <c r="J63" s="114">
        <v>478.20000000000005</v>
      </c>
      <c r="K63" s="114">
        <v>476.59999999999997</v>
      </c>
      <c r="L63" s="831">
        <f>SUM(L65:L73)</f>
        <v>476.3</v>
      </c>
      <c r="M63" s="831">
        <f t="shared" ref="M63" si="8">SUM(M65:M73)</f>
        <v>330.50000000000006</v>
      </c>
      <c r="N63" s="831">
        <f>SUM(N64:N73)</f>
        <v>329.70000000000005</v>
      </c>
      <c r="O63" s="831">
        <f>SUM(O64:O73)</f>
        <v>328.3</v>
      </c>
      <c r="P63" s="828">
        <f t="shared" si="1"/>
        <v>-0.42462845010616945</v>
      </c>
    </row>
    <row r="64" spans="1:16" s="121" customFormat="1">
      <c r="A64" s="117" t="s">
        <v>1851</v>
      </c>
      <c r="B64" s="1179"/>
      <c r="C64" s="1179"/>
      <c r="D64" s="1179"/>
      <c r="E64" s="1179"/>
      <c r="F64" s="1179"/>
      <c r="G64" s="1179"/>
      <c r="H64" s="1179"/>
      <c r="I64" s="1179"/>
      <c r="J64" s="1179"/>
      <c r="K64" s="1179"/>
      <c r="L64" s="1177"/>
      <c r="M64" s="1177"/>
      <c r="N64" s="1178">
        <v>42.7</v>
      </c>
      <c r="O64" s="1178">
        <v>42.3</v>
      </c>
      <c r="P64" s="828">
        <f t="shared" si="1"/>
        <v>-0.93676814988292278</v>
      </c>
    </row>
    <row r="65" spans="1:16">
      <c r="A65" s="117" t="s">
        <v>121</v>
      </c>
      <c r="B65" s="118">
        <v>46.6</v>
      </c>
      <c r="C65" s="118">
        <v>47</v>
      </c>
      <c r="D65" s="118">
        <v>47.3</v>
      </c>
      <c r="E65" s="118">
        <v>47.3</v>
      </c>
      <c r="F65" s="118">
        <v>47.4</v>
      </c>
      <c r="G65" s="118">
        <v>47.6</v>
      </c>
      <c r="H65" s="118">
        <v>47.7</v>
      </c>
      <c r="I65" s="118">
        <v>47.8</v>
      </c>
      <c r="J65" s="118">
        <v>47.8</v>
      </c>
      <c r="K65" s="118">
        <v>47.7</v>
      </c>
      <c r="L65" s="830">
        <v>47.8</v>
      </c>
      <c r="M65" s="1176">
        <v>41.5</v>
      </c>
      <c r="N65" s="1176">
        <v>41.5</v>
      </c>
      <c r="O65" s="1176">
        <v>41.4</v>
      </c>
      <c r="P65" s="828">
        <f t="shared" si="1"/>
        <v>-0.24096385542168264</v>
      </c>
    </row>
    <row r="66" spans="1:16">
      <c r="A66" s="117" t="s">
        <v>122</v>
      </c>
      <c r="B66" s="118">
        <v>28.1</v>
      </c>
      <c r="C66" s="118">
        <v>28.2</v>
      </c>
      <c r="D66" s="118">
        <v>28.1</v>
      </c>
      <c r="E66" s="118">
        <v>28</v>
      </c>
      <c r="F66" s="118">
        <v>27.9</v>
      </c>
      <c r="G66" s="118">
        <v>27.8</v>
      </c>
      <c r="H66" s="118">
        <v>27.8</v>
      </c>
      <c r="I66" s="118">
        <v>27.7</v>
      </c>
      <c r="J66" s="118">
        <v>27.7</v>
      </c>
      <c r="K66" s="118">
        <v>27.6</v>
      </c>
      <c r="L66" s="830">
        <v>27.499999999999996</v>
      </c>
      <c r="M66" s="1176">
        <v>22.299999999999997</v>
      </c>
      <c r="N66" s="1176">
        <v>22.1</v>
      </c>
      <c r="O66" s="1176">
        <v>21.900000000000002</v>
      </c>
      <c r="P66" s="828">
        <f t="shared" si="1"/>
        <v>-0.90497737556560764</v>
      </c>
    </row>
    <row r="67" spans="1:16">
      <c r="A67" s="117" t="s">
        <v>123</v>
      </c>
      <c r="B67" s="118">
        <v>165.9</v>
      </c>
      <c r="C67" s="118">
        <v>169.1</v>
      </c>
      <c r="D67" s="118">
        <v>172.2</v>
      </c>
      <c r="E67" s="118">
        <v>171.7</v>
      </c>
      <c r="F67" s="118">
        <v>171.5</v>
      </c>
      <c r="G67" s="118">
        <v>173.3</v>
      </c>
      <c r="H67" s="118">
        <v>175.8</v>
      </c>
      <c r="I67" s="118">
        <v>177.39999999999998</v>
      </c>
      <c r="J67" s="118">
        <v>177.7</v>
      </c>
      <c r="K67" s="118">
        <v>177.1</v>
      </c>
      <c r="L67" s="830">
        <v>177</v>
      </c>
      <c r="M67" s="1176">
        <v>105.5</v>
      </c>
      <c r="N67" s="1176">
        <v>62.5</v>
      </c>
      <c r="O67" s="1176">
        <v>62.5</v>
      </c>
      <c r="P67" s="828">
        <f t="shared" si="1"/>
        <v>0</v>
      </c>
    </row>
    <row r="68" spans="1:16" s="121" customFormat="1">
      <c r="A68" s="117" t="s">
        <v>124</v>
      </c>
      <c r="B68" s="118">
        <v>44.1</v>
      </c>
      <c r="C68" s="118">
        <v>44.5</v>
      </c>
      <c r="D68" s="118">
        <v>44.7</v>
      </c>
      <c r="E68" s="118">
        <v>44.5</v>
      </c>
      <c r="F68" s="118">
        <v>44.4</v>
      </c>
      <c r="G68" s="118">
        <v>44.6</v>
      </c>
      <c r="H68" s="118">
        <v>44.8</v>
      </c>
      <c r="I68" s="118">
        <v>45</v>
      </c>
      <c r="J68" s="118">
        <v>44.800000000000004</v>
      </c>
      <c r="K68" s="118">
        <v>44.6</v>
      </c>
      <c r="L68" s="830">
        <v>44.5</v>
      </c>
      <c r="M68" s="1176">
        <v>33.4</v>
      </c>
      <c r="N68" s="1176">
        <v>33.299999999999997</v>
      </c>
      <c r="O68" s="1176">
        <v>33.1</v>
      </c>
      <c r="P68" s="828">
        <f t="shared" si="1"/>
        <v>-0.60060060060058618</v>
      </c>
    </row>
    <row r="69" spans="1:16">
      <c r="A69" s="117" t="s">
        <v>125</v>
      </c>
      <c r="B69" s="118">
        <v>14.1</v>
      </c>
      <c r="C69" s="118">
        <v>14.1</v>
      </c>
      <c r="D69" s="118">
        <v>14.2</v>
      </c>
      <c r="E69" s="118">
        <v>14.3</v>
      </c>
      <c r="F69" s="118">
        <v>14.4</v>
      </c>
      <c r="G69" s="118">
        <v>14.5</v>
      </c>
      <c r="H69" s="118">
        <v>14.6</v>
      </c>
      <c r="I69" s="118">
        <v>14.600000000000001</v>
      </c>
      <c r="J69" s="118">
        <v>14.600000000000001</v>
      </c>
      <c r="K69" s="118">
        <v>14.5</v>
      </c>
      <c r="L69" s="830">
        <v>14.5</v>
      </c>
      <c r="M69" s="1176">
        <v>9.3000000000000007</v>
      </c>
      <c r="N69" s="1176">
        <v>9.4</v>
      </c>
      <c r="O69" s="1176">
        <v>9.5</v>
      </c>
      <c r="P69" s="828">
        <f t="shared" si="1"/>
        <v>1.0638297872340416</v>
      </c>
    </row>
    <row r="70" spans="1:16">
      <c r="A70" s="117" t="s">
        <v>126</v>
      </c>
      <c r="B70" s="118">
        <v>51.4</v>
      </c>
      <c r="C70" s="118">
        <v>51.8</v>
      </c>
      <c r="D70" s="118">
        <v>52.1</v>
      </c>
      <c r="E70" s="118">
        <v>51.9</v>
      </c>
      <c r="F70" s="118">
        <v>51.7</v>
      </c>
      <c r="G70" s="118">
        <v>52</v>
      </c>
      <c r="H70" s="118">
        <v>52.4</v>
      </c>
      <c r="I70" s="118">
        <v>52.599999999999994</v>
      </c>
      <c r="J70" s="118">
        <v>52.400000000000006</v>
      </c>
      <c r="K70" s="118">
        <v>52.2</v>
      </c>
      <c r="L70" s="830">
        <v>52.199999999999996</v>
      </c>
      <c r="M70" s="1176">
        <v>39.700000000000003</v>
      </c>
      <c r="N70" s="1176">
        <v>39.5</v>
      </c>
      <c r="O70" s="1176">
        <v>39.299999999999997</v>
      </c>
      <c r="P70" s="828">
        <f t="shared" si="1"/>
        <v>-0.50632911392406754</v>
      </c>
    </row>
    <row r="71" spans="1:16">
      <c r="A71" s="117" t="s">
        <v>127</v>
      </c>
      <c r="B71" s="118">
        <v>29.6</v>
      </c>
      <c r="C71" s="118">
        <v>29.9</v>
      </c>
      <c r="D71" s="118">
        <v>30.1</v>
      </c>
      <c r="E71" s="118">
        <v>30</v>
      </c>
      <c r="F71" s="118">
        <v>29.8</v>
      </c>
      <c r="G71" s="118">
        <v>30</v>
      </c>
      <c r="H71" s="118">
        <v>30.5</v>
      </c>
      <c r="I71" s="118">
        <v>30.700000000000003</v>
      </c>
      <c r="J71" s="118">
        <v>30.799999999999997</v>
      </c>
      <c r="K71" s="118">
        <v>30.700000000000003</v>
      </c>
      <c r="L71" s="830">
        <v>30.699999999999996</v>
      </c>
      <c r="M71" s="1176">
        <v>22.200000000000003</v>
      </c>
      <c r="N71" s="1176">
        <v>22.200000000000003</v>
      </c>
      <c r="O71" s="1176">
        <v>22.1</v>
      </c>
      <c r="P71" s="828">
        <f t="shared" ref="P71:P98" si="9">O71/N71%-100</f>
        <v>-0.45045045045046095</v>
      </c>
    </row>
    <row r="72" spans="1:16">
      <c r="A72" s="117" t="s">
        <v>128</v>
      </c>
      <c r="B72" s="118">
        <v>39.5</v>
      </c>
      <c r="C72" s="118">
        <v>40</v>
      </c>
      <c r="D72" s="118">
        <v>40.4</v>
      </c>
      <c r="E72" s="118">
        <v>40.1</v>
      </c>
      <c r="F72" s="118">
        <v>40</v>
      </c>
      <c r="G72" s="118">
        <v>40.200000000000003</v>
      </c>
      <c r="H72" s="118">
        <v>40.6</v>
      </c>
      <c r="I72" s="118">
        <v>40.799999999999997</v>
      </c>
      <c r="J72" s="118">
        <v>40.799999999999997</v>
      </c>
      <c r="K72" s="118">
        <v>40.700000000000003</v>
      </c>
      <c r="L72" s="830">
        <v>40.6</v>
      </c>
      <c r="M72" s="1176">
        <v>26.1</v>
      </c>
      <c r="N72" s="1176">
        <v>26.1</v>
      </c>
      <c r="O72" s="1176">
        <v>25.9</v>
      </c>
      <c r="P72" s="828">
        <f t="shared" si="9"/>
        <v>-0.76628352490422458</v>
      </c>
    </row>
    <row r="73" spans="1:16">
      <c r="A73" s="117" t="s">
        <v>129</v>
      </c>
      <c r="B73" s="118">
        <v>40.6</v>
      </c>
      <c r="C73" s="118">
        <v>41.1</v>
      </c>
      <c r="D73" s="118">
        <v>41.3</v>
      </c>
      <c r="E73" s="118">
        <v>41</v>
      </c>
      <c r="F73" s="118">
        <v>40.799999999999997</v>
      </c>
      <c r="G73" s="118">
        <v>41</v>
      </c>
      <c r="H73" s="118">
        <v>41.4</v>
      </c>
      <c r="I73" s="118">
        <v>41.7</v>
      </c>
      <c r="J73" s="118">
        <v>41.6</v>
      </c>
      <c r="K73" s="118">
        <v>41.5</v>
      </c>
      <c r="L73" s="830">
        <v>41.5</v>
      </c>
      <c r="M73" s="1176">
        <v>30.5</v>
      </c>
      <c r="N73" s="1176">
        <v>30.4</v>
      </c>
      <c r="O73" s="1176">
        <v>30.299999999999997</v>
      </c>
      <c r="P73" s="828">
        <f t="shared" si="9"/>
        <v>-0.32894736842105488</v>
      </c>
    </row>
    <row r="74" spans="1:16" ht="15">
      <c r="A74" s="113" t="s">
        <v>130</v>
      </c>
      <c r="B74" s="114">
        <v>203.1</v>
      </c>
      <c r="C74" s="114">
        <v>205.9</v>
      </c>
      <c r="D74" s="114">
        <v>208.4</v>
      </c>
      <c r="E74" s="114">
        <v>208</v>
      </c>
      <c r="F74" s="114">
        <v>207.9</v>
      </c>
      <c r="G74" s="114">
        <v>209.7</v>
      </c>
      <c r="H74" s="114">
        <v>212</v>
      </c>
      <c r="I74" s="114">
        <v>213.45</v>
      </c>
      <c r="J74" s="114">
        <v>213.8</v>
      </c>
      <c r="K74" s="114">
        <v>213.6</v>
      </c>
      <c r="L74" s="831">
        <f>SUM(L75:L80)</f>
        <v>213.70000000000002</v>
      </c>
      <c r="M74" s="831">
        <f t="shared" ref="M74:O74" si="10">SUM(M75:M80)</f>
        <v>160.6</v>
      </c>
      <c r="N74" s="831">
        <f t="shared" si="10"/>
        <v>142.5</v>
      </c>
      <c r="O74" s="831">
        <f t="shared" si="10"/>
        <v>142.5</v>
      </c>
      <c r="P74" s="828">
        <f t="shared" si="9"/>
        <v>0</v>
      </c>
    </row>
    <row r="75" spans="1:16">
      <c r="A75" s="117" t="s">
        <v>131</v>
      </c>
      <c r="B75" s="118">
        <v>20.100000000000001</v>
      </c>
      <c r="C75" s="118">
        <v>20.3</v>
      </c>
      <c r="D75" s="118">
        <v>20.399999999999999</v>
      </c>
      <c r="E75" s="118">
        <v>20.399999999999999</v>
      </c>
      <c r="F75" s="118">
        <v>20.399999999999999</v>
      </c>
      <c r="G75" s="118">
        <v>20.6</v>
      </c>
      <c r="H75" s="118">
        <v>20.7</v>
      </c>
      <c r="I75" s="118">
        <v>20.8</v>
      </c>
      <c r="J75" s="118">
        <v>20.799999999999997</v>
      </c>
      <c r="K75" s="118">
        <v>20.799999999999997</v>
      </c>
      <c r="L75" s="830">
        <v>20.8</v>
      </c>
      <c r="M75" s="1176">
        <v>16.5</v>
      </c>
      <c r="N75" s="1176">
        <v>16.5</v>
      </c>
      <c r="O75" s="1176">
        <v>16.5</v>
      </c>
      <c r="P75" s="828">
        <f t="shared" si="9"/>
        <v>0</v>
      </c>
    </row>
    <row r="76" spans="1:16" s="121" customFormat="1">
      <c r="A76" s="117" t="s">
        <v>132</v>
      </c>
      <c r="B76" s="118">
        <v>12.3</v>
      </c>
      <c r="C76" s="118">
        <v>12.5</v>
      </c>
      <c r="D76" s="118">
        <v>12.7</v>
      </c>
      <c r="E76" s="118">
        <v>12.7</v>
      </c>
      <c r="F76" s="118">
        <v>12.6</v>
      </c>
      <c r="G76" s="118">
        <v>12.8</v>
      </c>
      <c r="H76" s="118">
        <v>13</v>
      </c>
      <c r="I76" s="118">
        <v>13.100000000000001</v>
      </c>
      <c r="J76" s="118">
        <v>13.2</v>
      </c>
      <c r="K76" s="118">
        <v>13.2</v>
      </c>
      <c r="L76" s="830">
        <v>13.2</v>
      </c>
      <c r="M76" s="1176">
        <v>10.399999999999999</v>
      </c>
      <c r="N76" s="1176">
        <v>10.399999999999999</v>
      </c>
      <c r="O76" s="1176">
        <v>10.399999999999999</v>
      </c>
      <c r="P76" s="828">
        <f t="shared" si="9"/>
        <v>0</v>
      </c>
    </row>
    <row r="77" spans="1:16" s="121" customFormat="1">
      <c r="A77" s="117" t="s">
        <v>133</v>
      </c>
      <c r="B77" s="118">
        <v>60.2</v>
      </c>
      <c r="C77" s="118">
        <v>61.4</v>
      </c>
      <c r="D77" s="118">
        <v>62.5</v>
      </c>
      <c r="E77" s="118">
        <v>62.4</v>
      </c>
      <c r="F77" s="118">
        <v>62.3</v>
      </c>
      <c r="G77" s="118">
        <v>63</v>
      </c>
      <c r="H77" s="118">
        <v>64</v>
      </c>
      <c r="I77" s="118">
        <v>64.7</v>
      </c>
      <c r="J77" s="118">
        <v>64.900000000000006</v>
      </c>
      <c r="K77" s="118">
        <v>64.8</v>
      </c>
      <c r="L77" s="830">
        <v>64.900000000000006</v>
      </c>
      <c r="M77" s="1176">
        <v>45.099999999999994</v>
      </c>
      <c r="N77" s="1176">
        <v>45.2</v>
      </c>
      <c r="O77" s="1176">
        <v>45.2</v>
      </c>
      <c r="P77" s="828">
        <f t="shared" si="9"/>
        <v>0</v>
      </c>
    </row>
    <row r="78" spans="1:16">
      <c r="A78" s="117" t="s">
        <v>134</v>
      </c>
      <c r="B78" s="118">
        <v>45.3</v>
      </c>
      <c r="C78" s="118">
        <v>46.1</v>
      </c>
      <c r="D78" s="118">
        <v>46.9</v>
      </c>
      <c r="E78" s="118">
        <v>46.8</v>
      </c>
      <c r="F78" s="118">
        <v>46.9</v>
      </c>
      <c r="G78" s="118">
        <v>47.3</v>
      </c>
      <c r="H78" s="118">
        <v>47.9</v>
      </c>
      <c r="I78" s="118">
        <v>48.35</v>
      </c>
      <c r="J78" s="118">
        <v>48.5</v>
      </c>
      <c r="K78" s="118">
        <v>48.4</v>
      </c>
      <c r="L78" s="830">
        <v>48.5</v>
      </c>
      <c r="M78" s="1176">
        <v>38.799999999999997</v>
      </c>
      <c r="N78" s="1176">
        <v>20.8</v>
      </c>
      <c r="O78" s="1176">
        <v>20.700000000000003</v>
      </c>
      <c r="P78" s="828">
        <f t="shared" si="9"/>
        <v>-0.4807692307692264</v>
      </c>
    </row>
    <row r="79" spans="1:16">
      <c r="A79" s="117" t="s">
        <v>135</v>
      </c>
      <c r="B79" s="118">
        <v>31.6</v>
      </c>
      <c r="C79" s="118">
        <v>31.9</v>
      </c>
      <c r="D79" s="118">
        <v>32</v>
      </c>
      <c r="E79" s="118">
        <v>31.8</v>
      </c>
      <c r="F79" s="118">
        <v>31.6</v>
      </c>
      <c r="G79" s="118">
        <v>31.6</v>
      </c>
      <c r="H79" s="118">
        <v>31.8</v>
      </c>
      <c r="I79" s="118">
        <v>31.799999999999997</v>
      </c>
      <c r="J79" s="118">
        <v>31.599999999999994</v>
      </c>
      <c r="K79" s="118">
        <v>31.5</v>
      </c>
      <c r="L79" s="830">
        <v>31.399999999999991</v>
      </c>
      <c r="M79" s="1176">
        <v>25.2</v>
      </c>
      <c r="N79" s="1176">
        <v>25.1</v>
      </c>
      <c r="O79" s="1176">
        <v>25.1</v>
      </c>
      <c r="P79" s="828">
        <f t="shared" si="9"/>
        <v>0</v>
      </c>
    </row>
    <row r="80" spans="1:16" s="121" customFormat="1">
      <c r="A80" s="117" t="s">
        <v>136</v>
      </c>
      <c r="B80" s="118">
        <v>33.6</v>
      </c>
      <c r="C80" s="118">
        <v>33.700000000000003</v>
      </c>
      <c r="D80" s="118">
        <v>33.9</v>
      </c>
      <c r="E80" s="118">
        <v>33.9</v>
      </c>
      <c r="F80" s="118">
        <v>34.1</v>
      </c>
      <c r="G80" s="118">
        <v>34.4</v>
      </c>
      <c r="H80" s="118">
        <v>34.6</v>
      </c>
      <c r="I80" s="118">
        <v>34.700000000000003</v>
      </c>
      <c r="J80" s="118">
        <v>34.800000000000004</v>
      </c>
      <c r="K80" s="118">
        <v>34.9</v>
      </c>
      <c r="L80" s="830">
        <v>34.900000000000006</v>
      </c>
      <c r="M80" s="1176">
        <v>24.599999999999998</v>
      </c>
      <c r="N80" s="1176">
        <v>24.5</v>
      </c>
      <c r="O80" s="1176">
        <v>24.599999999999998</v>
      </c>
      <c r="P80" s="828">
        <f t="shared" si="9"/>
        <v>0.40816326530611491</v>
      </c>
    </row>
    <row r="81" spans="1:16" s="121" customFormat="1" ht="15">
      <c r="A81" s="113" t="s">
        <v>137</v>
      </c>
      <c r="B81" s="114">
        <v>492.9</v>
      </c>
      <c r="C81" s="114">
        <v>501.2</v>
      </c>
      <c r="D81" s="114">
        <v>508</v>
      </c>
      <c r="E81" s="114">
        <v>495.6</v>
      </c>
      <c r="F81" s="114">
        <v>487.8</v>
      </c>
      <c r="G81" s="114">
        <v>495.70000000000005</v>
      </c>
      <c r="H81" s="114">
        <v>502.79999999999995</v>
      </c>
      <c r="I81" s="114">
        <v>508.49999999999994</v>
      </c>
      <c r="J81" s="114">
        <v>511.2</v>
      </c>
      <c r="K81" s="114">
        <v>512.1</v>
      </c>
      <c r="L81" s="831">
        <f>SUM(L82:L88)</f>
        <v>513.1</v>
      </c>
      <c r="M81" s="831">
        <f t="shared" ref="M81:O81" si="11">SUM(M82:M88)</f>
        <v>424.2000000000001</v>
      </c>
      <c r="N81" s="831">
        <f t="shared" si="11"/>
        <v>426.40000000000003</v>
      </c>
      <c r="O81" s="831">
        <f t="shared" si="11"/>
        <v>427.4</v>
      </c>
      <c r="P81" s="828">
        <f t="shared" si="9"/>
        <v>0.23452157598498502</v>
      </c>
    </row>
    <row r="82" spans="1:16">
      <c r="A82" s="117" t="s">
        <v>138</v>
      </c>
      <c r="B82" s="118">
        <v>115.3</v>
      </c>
      <c r="C82" s="118">
        <v>116.9</v>
      </c>
      <c r="D82" s="118">
        <v>118</v>
      </c>
      <c r="E82" s="118">
        <v>117.6</v>
      </c>
      <c r="F82" s="118">
        <v>117.3</v>
      </c>
      <c r="G82" s="118">
        <v>118.7</v>
      </c>
      <c r="H82" s="118">
        <v>120.1</v>
      </c>
      <c r="I82" s="118">
        <v>121.6</v>
      </c>
      <c r="J82" s="118">
        <v>122.5</v>
      </c>
      <c r="K82" s="118">
        <v>122.7</v>
      </c>
      <c r="L82" s="830">
        <v>122.89999999999999</v>
      </c>
      <c r="M82" s="1176">
        <v>125.2</v>
      </c>
      <c r="N82" s="1176">
        <v>126</v>
      </c>
      <c r="O82" s="1176">
        <v>126.3</v>
      </c>
      <c r="P82" s="828">
        <f t="shared" si="9"/>
        <v>0.2380952380952408</v>
      </c>
    </row>
    <row r="83" spans="1:16" s="121" customFormat="1">
      <c r="A83" s="117" t="s">
        <v>139</v>
      </c>
      <c r="B83" s="118">
        <v>73.599999999999994</v>
      </c>
      <c r="C83" s="118">
        <v>74.599999999999994</v>
      </c>
      <c r="D83" s="118">
        <v>75.400000000000006</v>
      </c>
      <c r="E83" s="118">
        <v>75.8</v>
      </c>
      <c r="F83" s="118">
        <v>76.3</v>
      </c>
      <c r="G83" s="118">
        <v>77.3</v>
      </c>
      <c r="H83" s="118">
        <v>78.099999999999994</v>
      </c>
      <c r="I83" s="118">
        <v>78.5</v>
      </c>
      <c r="J83" s="118">
        <v>78.7</v>
      </c>
      <c r="K83" s="118">
        <v>78.7</v>
      </c>
      <c r="L83" s="830">
        <v>78.90000000000002</v>
      </c>
      <c r="M83" s="1176">
        <v>53.599999999999994</v>
      </c>
      <c r="N83" s="1176">
        <v>53.8</v>
      </c>
      <c r="O83" s="1176">
        <v>53.9</v>
      </c>
      <c r="P83" s="828">
        <f t="shared" si="9"/>
        <v>0.1858736059479611</v>
      </c>
    </row>
    <row r="84" spans="1:16" s="121" customFormat="1">
      <c r="A84" s="117" t="s">
        <v>140</v>
      </c>
      <c r="B84" s="118">
        <v>113.3</v>
      </c>
      <c r="C84" s="118">
        <v>115</v>
      </c>
      <c r="D84" s="118">
        <v>116.5</v>
      </c>
      <c r="E84" s="118">
        <v>103.9</v>
      </c>
      <c r="F84" s="118">
        <v>95.6</v>
      </c>
      <c r="G84" s="118">
        <v>96.8</v>
      </c>
      <c r="H84" s="118">
        <v>98.1</v>
      </c>
      <c r="I84" s="118">
        <v>99.199999999999989</v>
      </c>
      <c r="J84" s="118">
        <v>99.699999999999989</v>
      </c>
      <c r="K84" s="118">
        <v>99.899999999999991</v>
      </c>
      <c r="L84" s="830">
        <v>100.10000000000001</v>
      </c>
      <c r="M84" s="1176">
        <v>82</v>
      </c>
      <c r="N84" s="1176">
        <v>82.3</v>
      </c>
      <c r="O84" s="1176">
        <v>82.5</v>
      </c>
      <c r="P84" s="828">
        <f t="shared" si="9"/>
        <v>0.24301336573512344</v>
      </c>
    </row>
    <row r="85" spans="1:16" s="121" customFormat="1">
      <c r="A85" s="117" t="s">
        <v>141</v>
      </c>
      <c r="B85" s="118">
        <v>27.7</v>
      </c>
      <c r="C85" s="118">
        <v>28.1</v>
      </c>
      <c r="D85" s="118">
        <v>28.3</v>
      </c>
      <c r="E85" s="118">
        <v>28.3</v>
      </c>
      <c r="F85" s="118">
        <v>28.2</v>
      </c>
      <c r="G85" s="118">
        <v>28.4</v>
      </c>
      <c r="H85" s="118">
        <v>28.6</v>
      </c>
      <c r="I85" s="118">
        <v>28.900000000000002</v>
      </c>
      <c r="J85" s="118">
        <v>28.8</v>
      </c>
      <c r="K85" s="118">
        <v>28.8</v>
      </c>
      <c r="L85" s="830">
        <v>28.8</v>
      </c>
      <c r="M85" s="1176">
        <v>19.099999999999998</v>
      </c>
      <c r="N85" s="1176">
        <v>19.099999999999998</v>
      </c>
      <c r="O85" s="1176">
        <v>19.099999999999998</v>
      </c>
      <c r="P85" s="828">
        <f t="shared" si="9"/>
        <v>0</v>
      </c>
    </row>
    <row r="86" spans="1:16" s="121" customFormat="1">
      <c r="A86" s="117" t="s">
        <v>142</v>
      </c>
      <c r="B86" s="118">
        <v>25</v>
      </c>
      <c r="C86" s="118">
        <v>25.7</v>
      </c>
      <c r="D86" s="118">
        <v>26.3</v>
      </c>
      <c r="E86" s="118">
        <v>26</v>
      </c>
      <c r="F86" s="118">
        <v>25.7</v>
      </c>
      <c r="G86" s="118">
        <v>27.3</v>
      </c>
      <c r="H86" s="118">
        <v>27.9</v>
      </c>
      <c r="I86" s="118">
        <v>28.200000000000003</v>
      </c>
      <c r="J86" s="118">
        <v>28.299999999999997</v>
      </c>
      <c r="K86" s="118">
        <v>28.299999999999997</v>
      </c>
      <c r="L86" s="830">
        <v>28.299999999999997</v>
      </c>
      <c r="M86" s="1176">
        <v>21.1</v>
      </c>
      <c r="N86" s="1176">
        <v>21</v>
      </c>
      <c r="O86" s="1176">
        <v>20.799999999999997</v>
      </c>
      <c r="P86" s="828">
        <f t="shared" si="9"/>
        <v>-0.95238095238096321</v>
      </c>
    </row>
    <row r="87" spans="1:16" s="121" customFormat="1">
      <c r="A87" s="117" t="s">
        <v>143</v>
      </c>
      <c r="B87" s="118">
        <v>117.3</v>
      </c>
      <c r="C87" s="118">
        <v>119.4</v>
      </c>
      <c r="D87" s="118">
        <v>121.4</v>
      </c>
      <c r="E87" s="118">
        <v>122.1</v>
      </c>
      <c r="F87" s="118">
        <v>123</v>
      </c>
      <c r="G87" s="118">
        <v>125.1</v>
      </c>
      <c r="H87" s="118">
        <v>127.2</v>
      </c>
      <c r="I87" s="118">
        <v>128.79999999999998</v>
      </c>
      <c r="J87" s="118">
        <v>129.69999999999999</v>
      </c>
      <c r="K87" s="118">
        <v>130.19999999999999</v>
      </c>
      <c r="L87" s="830">
        <v>130.6</v>
      </c>
      <c r="M87" s="1176">
        <v>104.4</v>
      </c>
      <c r="N87" s="1176">
        <v>105.3</v>
      </c>
      <c r="O87" s="1176">
        <v>105.89999999999999</v>
      </c>
      <c r="P87" s="828">
        <f t="shared" si="9"/>
        <v>0.56980056980056304</v>
      </c>
    </row>
    <row r="88" spans="1:16" s="121" customFormat="1">
      <c r="A88" s="117" t="s">
        <v>144</v>
      </c>
      <c r="B88" s="118">
        <v>20.7</v>
      </c>
      <c r="C88" s="118">
        <v>21.5</v>
      </c>
      <c r="D88" s="118">
        <v>22.1</v>
      </c>
      <c r="E88" s="118">
        <v>21.9</v>
      </c>
      <c r="F88" s="118">
        <v>21.7</v>
      </c>
      <c r="G88" s="118">
        <v>22.1</v>
      </c>
      <c r="H88" s="118">
        <v>22.8</v>
      </c>
      <c r="I88" s="118">
        <v>23.3</v>
      </c>
      <c r="J88" s="118">
        <v>23.5</v>
      </c>
      <c r="K88" s="118">
        <v>23.5</v>
      </c>
      <c r="L88" s="830">
        <v>23.5</v>
      </c>
      <c r="M88" s="1176">
        <v>18.8</v>
      </c>
      <c r="N88" s="1176">
        <v>18.899999999999999</v>
      </c>
      <c r="O88" s="1176">
        <v>18.899999999999999</v>
      </c>
      <c r="P88" s="828">
        <f t="shared" si="9"/>
        <v>0</v>
      </c>
    </row>
    <row r="89" spans="1:16" s="121" customFormat="1" ht="15">
      <c r="A89" s="113" t="s">
        <v>145</v>
      </c>
      <c r="B89" s="114">
        <v>309</v>
      </c>
      <c r="C89" s="114">
        <v>311.60000000000002</v>
      </c>
      <c r="D89" s="114">
        <v>313.8</v>
      </c>
      <c r="E89" s="114">
        <v>313.2</v>
      </c>
      <c r="F89" s="114">
        <v>312.89999999999998</v>
      </c>
      <c r="G89" s="114">
        <v>309</v>
      </c>
      <c r="H89" s="114">
        <v>311.8</v>
      </c>
      <c r="I89" s="114">
        <v>313.79999999999995</v>
      </c>
      <c r="J89" s="114">
        <v>314</v>
      </c>
      <c r="K89" s="114">
        <v>313.7</v>
      </c>
      <c r="L89" s="831">
        <f>SUM(L91:L99)</f>
        <v>313.8</v>
      </c>
      <c r="M89" s="831">
        <f t="shared" ref="M89:O89" si="12">SUM(M91:M99)</f>
        <v>263.40000000000003</v>
      </c>
      <c r="N89" s="831">
        <f t="shared" si="12"/>
        <v>215.51600000000002</v>
      </c>
      <c r="O89" s="831">
        <f t="shared" si="12"/>
        <v>215.4</v>
      </c>
      <c r="P89" s="828">
        <f t="shared" si="9"/>
        <v>-5.3824310028048217E-2</v>
      </c>
    </row>
    <row r="90" spans="1:16" s="121" customFormat="1">
      <c r="A90" s="117" t="s">
        <v>1852</v>
      </c>
      <c r="B90" s="1179"/>
      <c r="C90" s="1179"/>
      <c r="D90" s="1179"/>
      <c r="E90" s="1179"/>
      <c r="F90" s="1179"/>
      <c r="G90" s="1179"/>
      <c r="H90" s="1179"/>
      <c r="I90" s="1179"/>
      <c r="J90" s="1179"/>
      <c r="K90" s="1179"/>
      <c r="L90" s="1177"/>
      <c r="M90" s="1177"/>
      <c r="N90" s="1177">
        <v>48.3</v>
      </c>
      <c r="O90" s="1177">
        <v>48.3</v>
      </c>
      <c r="P90" s="828">
        <f t="shared" si="9"/>
        <v>0</v>
      </c>
    </row>
    <row r="91" spans="1:16">
      <c r="A91" s="117" t="s">
        <v>146</v>
      </c>
      <c r="B91" s="116" t="s">
        <v>66</v>
      </c>
      <c r="C91" s="116" t="s">
        <v>66</v>
      </c>
      <c r="D91" s="116" t="s">
        <v>66</v>
      </c>
      <c r="E91" s="116" t="s">
        <v>66</v>
      </c>
      <c r="F91" s="116" t="s">
        <v>66</v>
      </c>
      <c r="G91" s="116" t="s">
        <v>66</v>
      </c>
      <c r="H91" s="116" t="s">
        <v>66</v>
      </c>
      <c r="I91" s="116" t="s">
        <v>66</v>
      </c>
      <c r="J91" s="116" t="s">
        <v>66</v>
      </c>
      <c r="K91" s="116" t="s">
        <v>66</v>
      </c>
      <c r="L91" s="830" t="s">
        <v>1764</v>
      </c>
      <c r="M91" s="1176" t="s">
        <v>1764</v>
      </c>
      <c r="N91" s="1176" t="s">
        <v>1764</v>
      </c>
      <c r="O91" s="1176" t="s">
        <v>1764</v>
      </c>
      <c r="P91" s="828"/>
    </row>
    <row r="92" spans="1:16" s="121" customFormat="1">
      <c r="A92" s="117" t="s">
        <v>147</v>
      </c>
      <c r="B92" s="116">
        <v>146.6</v>
      </c>
      <c r="C92" s="116">
        <v>134.9</v>
      </c>
      <c r="D92" s="116">
        <v>135.80000000000001</v>
      </c>
      <c r="E92" s="116">
        <v>135.69999999999999</v>
      </c>
      <c r="F92" s="116">
        <v>135.69999999999999</v>
      </c>
      <c r="G92" s="116">
        <v>143.30000000000001</v>
      </c>
      <c r="H92" s="116">
        <v>144.69999999999999</v>
      </c>
      <c r="I92" s="116">
        <v>145.69999999999999</v>
      </c>
      <c r="J92" s="116">
        <v>145.89999999999998</v>
      </c>
      <c r="K92" s="116">
        <v>145.69999999999999</v>
      </c>
      <c r="L92" s="830">
        <v>145.80000000000001</v>
      </c>
      <c r="M92" s="1176">
        <v>125.8</v>
      </c>
      <c r="N92" s="1176">
        <v>77.8</v>
      </c>
      <c r="O92" s="1176">
        <v>77.900000000000006</v>
      </c>
      <c r="P92" s="828">
        <f t="shared" si="9"/>
        <v>0.12853470437018188</v>
      </c>
    </row>
    <row r="93" spans="1:16">
      <c r="A93" s="124" t="s">
        <v>148</v>
      </c>
      <c r="B93" s="116" t="s">
        <v>66</v>
      </c>
      <c r="C93" s="116">
        <v>5.9</v>
      </c>
      <c r="D93" s="116">
        <v>5.9</v>
      </c>
      <c r="E93" s="116">
        <v>5.9</v>
      </c>
      <c r="F93" s="116">
        <v>5.9</v>
      </c>
      <c r="G93" s="116" t="s">
        <v>66</v>
      </c>
      <c r="H93" s="116" t="s">
        <v>66</v>
      </c>
      <c r="I93" s="116" t="s">
        <v>66</v>
      </c>
      <c r="J93" s="116" t="s">
        <v>66</v>
      </c>
      <c r="K93" s="116" t="s">
        <v>66</v>
      </c>
      <c r="L93" s="830" t="s">
        <v>1764</v>
      </c>
      <c r="M93" s="1176" t="s">
        <v>1764</v>
      </c>
      <c r="N93" s="1176" t="s">
        <v>1764</v>
      </c>
      <c r="O93" s="1176" t="s">
        <v>1764</v>
      </c>
      <c r="P93" s="828"/>
    </row>
    <row r="94" spans="1:16">
      <c r="A94" s="124" t="s">
        <v>149</v>
      </c>
      <c r="B94" s="116" t="s">
        <v>66</v>
      </c>
      <c r="C94" s="116">
        <v>1.5</v>
      </c>
      <c r="D94" s="116">
        <v>1.5</v>
      </c>
      <c r="E94" s="116">
        <v>1.5</v>
      </c>
      <c r="F94" s="116">
        <v>1.5</v>
      </c>
      <c r="G94" s="116" t="s">
        <v>66</v>
      </c>
      <c r="H94" s="116" t="s">
        <v>66</v>
      </c>
      <c r="I94" s="116" t="s">
        <v>66</v>
      </c>
      <c r="J94" s="116" t="s">
        <v>66</v>
      </c>
      <c r="K94" s="116" t="s">
        <v>66</v>
      </c>
      <c r="L94" s="830" t="s">
        <v>1764</v>
      </c>
      <c r="M94" s="1176" t="s">
        <v>1764</v>
      </c>
      <c r="N94" s="1176" t="s">
        <v>1764</v>
      </c>
      <c r="O94" s="1176" t="s">
        <v>1764</v>
      </c>
      <c r="P94" s="828"/>
    </row>
    <row r="95" spans="1:16" s="121" customFormat="1">
      <c r="A95" s="117" t="s">
        <v>150</v>
      </c>
      <c r="B95" s="116">
        <v>51.4</v>
      </c>
      <c r="C95" s="116">
        <v>51.8</v>
      </c>
      <c r="D95" s="116">
        <v>52.1</v>
      </c>
      <c r="E95" s="116">
        <v>51.9</v>
      </c>
      <c r="F95" s="116">
        <v>51.8</v>
      </c>
      <c r="G95" s="116">
        <v>52.4</v>
      </c>
      <c r="H95" s="116">
        <v>52.8</v>
      </c>
      <c r="I95" s="116">
        <v>53</v>
      </c>
      <c r="J95" s="116">
        <v>52.8</v>
      </c>
      <c r="K95" s="116">
        <v>52.599999999999994</v>
      </c>
      <c r="L95" s="830">
        <v>52.599999999999994</v>
      </c>
      <c r="M95" s="1176">
        <v>43.7</v>
      </c>
      <c r="N95" s="1176">
        <v>43.7</v>
      </c>
      <c r="O95" s="1176">
        <v>43.5</v>
      </c>
      <c r="P95" s="828">
        <f t="shared" si="9"/>
        <v>-0.45766590389017381</v>
      </c>
    </row>
    <row r="96" spans="1:16" s="121" customFormat="1">
      <c r="A96" s="117" t="s">
        <v>151</v>
      </c>
      <c r="B96" s="116">
        <v>49.5</v>
      </c>
      <c r="C96" s="116">
        <v>48.8</v>
      </c>
      <c r="D96" s="116">
        <v>49.7</v>
      </c>
      <c r="E96" s="116">
        <v>49.6</v>
      </c>
      <c r="F96" s="116">
        <v>49.5</v>
      </c>
      <c r="G96" s="116">
        <v>51.1</v>
      </c>
      <c r="H96" s="116">
        <v>51.9</v>
      </c>
      <c r="I96" s="116">
        <v>52.6</v>
      </c>
      <c r="J96" s="116">
        <v>52.800000000000004</v>
      </c>
      <c r="K96" s="116">
        <v>52.9</v>
      </c>
      <c r="L96" s="830">
        <v>52.9</v>
      </c>
      <c r="M96" s="1176">
        <v>41.3</v>
      </c>
      <c r="N96" s="1176">
        <v>41.316000000000003</v>
      </c>
      <c r="O96" s="1176">
        <v>41.4</v>
      </c>
      <c r="P96" s="828">
        <f t="shared" si="9"/>
        <v>0.2033110659308619</v>
      </c>
    </row>
    <row r="97" spans="1:16" s="121" customFormat="1">
      <c r="A97" s="124" t="s">
        <v>152</v>
      </c>
      <c r="B97" s="116" t="s">
        <v>66</v>
      </c>
      <c r="C97" s="116">
        <v>7.1</v>
      </c>
      <c r="D97" s="116">
        <v>7.1</v>
      </c>
      <c r="E97" s="116">
        <v>7.1</v>
      </c>
      <c r="F97" s="116">
        <v>7.1</v>
      </c>
      <c r="G97" s="116" t="s">
        <v>66</v>
      </c>
      <c r="H97" s="116" t="s">
        <v>66</v>
      </c>
      <c r="I97" s="116" t="s">
        <v>66</v>
      </c>
      <c r="J97" s="116" t="s">
        <v>66</v>
      </c>
      <c r="K97" s="116" t="s">
        <v>66</v>
      </c>
      <c r="L97" s="830" t="s">
        <v>1764</v>
      </c>
      <c r="M97" s="1176" t="s">
        <v>1764</v>
      </c>
      <c r="N97" s="1176" t="s">
        <v>1764</v>
      </c>
      <c r="O97" s="1176" t="s">
        <v>1764</v>
      </c>
      <c r="P97" s="828"/>
    </row>
    <row r="98" spans="1:16">
      <c r="A98" s="117" t="s">
        <v>153</v>
      </c>
      <c r="B98" s="116">
        <v>61.5</v>
      </c>
      <c r="C98" s="116">
        <v>61.6</v>
      </c>
      <c r="D98" s="116">
        <v>61.7</v>
      </c>
      <c r="E98" s="116">
        <v>61.5</v>
      </c>
      <c r="F98" s="116">
        <v>61.4</v>
      </c>
      <c r="G98" s="116">
        <v>62.2</v>
      </c>
      <c r="H98" s="116">
        <v>62.4</v>
      </c>
      <c r="I98" s="116">
        <v>62.5</v>
      </c>
      <c r="J98" s="116">
        <v>62.5</v>
      </c>
      <c r="K98" s="116">
        <v>62.5</v>
      </c>
      <c r="L98" s="830">
        <v>62.5</v>
      </c>
      <c r="M98" s="1176">
        <v>52.6</v>
      </c>
      <c r="N98" s="1176">
        <v>52.7</v>
      </c>
      <c r="O98" s="1176">
        <v>52.6</v>
      </c>
      <c r="P98" s="828">
        <f t="shared" si="9"/>
        <v>-0.18975332068310991</v>
      </c>
    </row>
    <row r="99" spans="1:16">
      <c r="A99" s="117" t="s">
        <v>154</v>
      </c>
      <c r="B99" s="116" t="s">
        <v>66</v>
      </c>
      <c r="C99" s="116" t="s">
        <v>66</v>
      </c>
      <c r="D99" s="116" t="s">
        <v>66</v>
      </c>
      <c r="E99" s="116" t="s">
        <v>66</v>
      </c>
      <c r="F99" s="116" t="s">
        <v>66</v>
      </c>
      <c r="G99" s="116" t="s">
        <v>66</v>
      </c>
      <c r="H99" s="116" t="s">
        <v>66</v>
      </c>
      <c r="I99" s="116" t="s">
        <v>66</v>
      </c>
      <c r="J99" s="116" t="s">
        <v>66</v>
      </c>
      <c r="K99" s="116" t="s">
        <v>66</v>
      </c>
      <c r="L99" s="830" t="s">
        <v>1764</v>
      </c>
      <c r="M99" s="1176" t="s">
        <v>1764</v>
      </c>
      <c r="N99" s="1176" t="s">
        <v>1764</v>
      </c>
      <c r="O99" s="1176" t="s">
        <v>1764</v>
      </c>
      <c r="P99" s="828"/>
    </row>
    <row r="101" spans="1:16">
      <c r="A101" s="125" t="s">
        <v>155</v>
      </c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</row>
    <row r="103" spans="1:16" ht="15">
      <c r="A103" s="61" t="s">
        <v>159</v>
      </c>
      <c r="B103" s="65"/>
      <c r="C103" s="65"/>
      <c r="D103" s="65"/>
    </row>
    <row r="104" spans="1:16" ht="15">
      <c r="A104" s="62" t="s">
        <v>160</v>
      </c>
      <c r="B104" s="65"/>
      <c r="C104" s="65"/>
      <c r="D104" s="65"/>
    </row>
    <row r="105" spans="1:16" ht="36">
      <c r="A105" s="63" t="s">
        <v>161</v>
      </c>
      <c r="B105" s="64" t="s">
        <v>158</v>
      </c>
      <c r="C105" s="64" t="s">
        <v>162</v>
      </c>
      <c r="D105" s="64" t="s">
        <v>163</v>
      </c>
    </row>
    <row r="106" spans="1:16">
      <c r="A106" s="66">
        <v>1980</v>
      </c>
      <c r="B106" s="67">
        <v>5041500</v>
      </c>
      <c r="C106" s="67"/>
      <c r="D106" s="67"/>
    </row>
    <row r="107" spans="1:16">
      <c r="A107" s="68">
        <v>1981</v>
      </c>
      <c r="B107" s="69">
        <v>5086080</v>
      </c>
      <c r="C107" s="70">
        <f>ROUND(D107*1000/B107,2)</f>
        <v>18.190000000000001</v>
      </c>
      <c r="D107" s="69">
        <v>92501</v>
      </c>
    </row>
    <row r="108" spans="1:16">
      <c r="A108" s="68">
        <v>1982</v>
      </c>
      <c r="B108" s="69">
        <v>5125627</v>
      </c>
      <c r="C108" s="70">
        <f t="shared" ref="C108:C139" si="13">ROUND(D108*1000/B108,2)</f>
        <v>17.91</v>
      </c>
      <c r="D108" s="69">
        <v>91784</v>
      </c>
    </row>
    <row r="109" spans="1:16">
      <c r="A109" s="71">
        <v>1983</v>
      </c>
      <c r="B109" s="72">
        <v>5188300</v>
      </c>
      <c r="C109" s="73">
        <f t="shared" si="13"/>
        <v>18.47</v>
      </c>
      <c r="D109" s="72">
        <v>95841</v>
      </c>
    </row>
    <row r="110" spans="1:16">
      <c r="A110" s="71">
        <v>1984</v>
      </c>
      <c r="B110" s="72">
        <v>5209726</v>
      </c>
      <c r="C110" s="73">
        <f t="shared" si="13"/>
        <v>18.38</v>
      </c>
      <c r="D110" s="72">
        <v>95754</v>
      </c>
    </row>
    <row r="111" spans="1:16">
      <c r="A111" s="71">
        <v>1985</v>
      </c>
      <c r="B111" s="72">
        <v>5251775</v>
      </c>
      <c r="C111" s="73">
        <f t="shared" si="13"/>
        <v>18.61</v>
      </c>
      <c r="D111" s="72">
        <v>97739</v>
      </c>
    </row>
    <row r="112" spans="1:16">
      <c r="A112" s="71">
        <v>1986</v>
      </c>
      <c r="B112" s="72">
        <v>5295342</v>
      </c>
      <c r="C112" s="73">
        <f t="shared" si="13"/>
        <v>18.54</v>
      </c>
      <c r="D112" s="72">
        <v>98155</v>
      </c>
    </row>
    <row r="113" spans="1:4">
      <c r="A113" s="68">
        <v>1987</v>
      </c>
      <c r="B113" s="69">
        <v>5336678</v>
      </c>
      <c r="C113" s="70">
        <f t="shared" si="13"/>
        <v>17.73</v>
      </c>
      <c r="D113" s="69">
        <v>94595</v>
      </c>
    </row>
    <row r="114" spans="1:4">
      <c r="A114" s="68">
        <v>1988</v>
      </c>
      <c r="B114" s="69">
        <v>5377300</v>
      </c>
      <c r="C114" s="70">
        <f t="shared" si="13"/>
        <v>17.09</v>
      </c>
      <c r="D114" s="69">
        <v>91905</v>
      </c>
    </row>
    <row r="115" spans="1:4">
      <c r="A115" s="68">
        <v>1989</v>
      </c>
      <c r="B115" s="69">
        <v>5412600</v>
      </c>
      <c r="C115" s="70">
        <f t="shared" si="13"/>
        <v>16.84</v>
      </c>
      <c r="D115" s="69">
        <v>91138</v>
      </c>
    </row>
    <row r="116" spans="1:4">
      <c r="A116" s="68">
        <v>1990</v>
      </c>
      <c r="B116" s="69">
        <v>5438850</v>
      </c>
      <c r="C116" s="70">
        <f t="shared" si="13"/>
        <v>17.07</v>
      </c>
      <c r="D116" s="69">
        <v>92815</v>
      </c>
    </row>
    <row r="117" spans="1:4">
      <c r="A117" s="68">
        <v>1991</v>
      </c>
      <c r="B117" s="69">
        <v>5460350</v>
      </c>
      <c r="C117" s="70">
        <f t="shared" si="13"/>
        <v>16.32</v>
      </c>
      <c r="D117" s="69">
        <v>89091</v>
      </c>
    </row>
    <row r="118" spans="1:4">
      <c r="A118" s="74">
        <v>1992</v>
      </c>
      <c r="B118" s="75">
        <v>5406600</v>
      </c>
      <c r="C118" s="76">
        <f t="shared" si="13"/>
        <v>13.43</v>
      </c>
      <c r="D118" s="75">
        <v>72631</v>
      </c>
    </row>
    <row r="119" spans="1:4">
      <c r="A119" s="74">
        <v>1993</v>
      </c>
      <c r="B119" s="75">
        <v>5137850</v>
      </c>
      <c r="C119" s="76">
        <f t="shared" si="13"/>
        <v>11.99</v>
      </c>
      <c r="D119" s="75">
        <v>61594</v>
      </c>
    </row>
    <row r="120" spans="1:4">
      <c r="A120" s="74">
        <v>1994</v>
      </c>
      <c r="B120" s="75">
        <v>4862050</v>
      </c>
      <c r="C120" s="76">
        <f t="shared" si="13"/>
        <v>11.79</v>
      </c>
      <c r="D120" s="75">
        <v>57311</v>
      </c>
    </row>
    <row r="121" spans="1:4">
      <c r="A121" s="74">
        <v>1995</v>
      </c>
      <c r="B121" s="75">
        <v>4734350</v>
      </c>
      <c r="C121" s="76">
        <f t="shared" si="13"/>
        <v>11.9</v>
      </c>
      <c r="D121" s="75">
        <v>56341</v>
      </c>
    </row>
    <row r="122" spans="1:4">
      <c r="A122" s="74">
        <v>1996</v>
      </c>
      <c r="B122" s="75">
        <v>4616450</v>
      </c>
      <c r="C122" s="76">
        <f t="shared" si="13"/>
        <v>11.91</v>
      </c>
      <c r="D122" s="75">
        <v>55000</v>
      </c>
    </row>
    <row r="123" spans="1:4">
      <c r="A123" s="74">
        <v>1997</v>
      </c>
      <c r="B123" s="75">
        <v>4531650</v>
      </c>
      <c r="C123" s="76">
        <f t="shared" si="13"/>
        <v>11.92</v>
      </c>
      <c r="D123" s="75">
        <v>54000</v>
      </c>
    </row>
    <row r="124" spans="1:4">
      <c r="A124" s="74">
        <v>1998</v>
      </c>
      <c r="B124" s="75">
        <v>4487350</v>
      </c>
      <c r="C124" s="76">
        <f t="shared" si="13"/>
        <v>11.48</v>
      </c>
      <c r="D124" s="75">
        <v>51526</v>
      </c>
    </row>
    <row r="125" spans="1:4">
      <c r="A125" s="74">
        <v>1999</v>
      </c>
      <c r="B125" s="75">
        <v>4452500</v>
      </c>
      <c r="C125" s="76">
        <f t="shared" si="13"/>
        <v>10.94</v>
      </c>
      <c r="D125" s="75">
        <v>48695</v>
      </c>
    </row>
    <row r="126" spans="1:4">
      <c r="A126" s="68">
        <v>2000</v>
      </c>
      <c r="B126" s="69">
        <v>4418300</v>
      </c>
      <c r="C126" s="70">
        <f t="shared" si="13"/>
        <v>11.04</v>
      </c>
      <c r="D126" s="69">
        <v>48800</v>
      </c>
    </row>
    <row r="127" spans="1:4">
      <c r="A127" s="68">
        <v>2001</v>
      </c>
      <c r="B127" s="69">
        <v>4386450</v>
      </c>
      <c r="C127" s="70">
        <f t="shared" si="13"/>
        <v>10.85</v>
      </c>
      <c r="D127" s="69">
        <v>47589</v>
      </c>
    </row>
    <row r="128" spans="1:4">
      <c r="A128" s="68">
        <v>2002</v>
      </c>
      <c r="B128" s="69">
        <v>4357050</v>
      </c>
      <c r="C128" s="70">
        <f t="shared" si="13"/>
        <v>10.7</v>
      </c>
      <c r="D128" s="69">
        <v>46605</v>
      </c>
    </row>
    <row r="129" spans="1:10">
      <c r="A129" s="68">
        <v>2003</v>
      </c>
      <c r="B129" s="69">
        <v>4328900</v>
      </c>
      <c r="C129" s="70">
        <f t="shared" si="13"/>
        <v>10.67</v>
      </c>
      <c r="D129" s="69">
        <v>46194</v>
      </c>
    </row>
    <row r="130" spans="1:10">
      <c r="A130" s="68">
        <v>2004</v>
      </c>
      <c r="B130" s="69">
        <v>4318350</v>
      </c>
      <c r="C130" s="70">
        <f t="shared" si="13"/>
        <v>11.48</v>
      </c>
      <c r="D130" s="69">
        <v>49572</v>
      </c>
    </row>
    <row r="131" spans="1:10">
      <c r="A131" s="68">
        <v>2005</v>
      </c>
      <c r="B131" s="69">
        <v>4361400</v>
      </c>
      <c r="C131" s="70">
        <f t="shared" si="13"/>
        <v>10.66</v>
      </c>
      <c r="D131" s="69">
        <v>46512</v>
      </c>
    </row>
    <row r="132" spans="1:10">
      <c r="A132" s="71">
        <v>2006</v>
      </c>
      <c r="B132" s="72">
        <v>4398000</v>
      </c>
      <c r="C132" s="73">
        <f t="shared" si="13"/>
        <v>10.87</v>
      </c>
      <c r="D132" s="72">
        <v>47795</v>
      </c>
    </row>
    <row r="133" spans="1:10">
      <c r="A133" s="71">
        <v>2007</v>
      </c>
      <c r="B133" s="72">
        <v>4388400</v>
      </c>
      <c r="C133" s="73">
        <f t="shared" si="13"/>
        <v>11.23</v>
      </c>
      <c r="D133" s="72">
        <v>49287</v>
      </c>
    </row>
    <row r="134" spans="1:10">
      <c r="A134" s="71">
        <v>2008</v>
      </c>
      <c r="B134" s="72">
        <v>4383750</v>
      </c>
      <c r="C134" s="73">
        <f t="shared" si="13"/>
        <v>12.9</v>
      </c>
      <c r="D134" s="72">
        <v>56565</v>
      </c>
    </row>
    <row r="135" spans="1:10">
      <c r="A135" s="71">
        <v>2009</v>
      </c>
      <c r="B135" s="72">
        <v>4410900</v>
      </c>
      <c r="C135" s="73">
        <f t="shared" si="13"/>
        <v>14.37</v>
      </c>
      <c r="D135" s="72">
        <v>63377</v>
      </c>
    </row>
    <row r="136" spans="1:10">
      <c r="A136" s="68">
        <v>2010</v>
      </c>
      <c r="B136" s="69">
        <v>4469200</v>
      </c>
      <c r="C136" s="70">
        <f t="shared" si="13"/>
        <v>14</v>
      </c>
      <c r="D136" s="69">
        <v>62585</v>
      </c>
      <c r="H136" s="219"/>
      <c r="I136" s="219"/>
      <c r="J136" s="219"/>
    </row>
    <row r="137" spans="1:10">
      <c r="A137" s="68">
        <v>2011</v>
      </c>
      <c r="B137" s="69">
        <v>4483400</v>
      </c>
      <c r="C137" s="70">
        <f t="shared" si="13"/>
        <v>12.94</v>
      </c>
      <c r="D137" s="69">
        <v>58014</v>
      </c>
      <c r="G137" s="535"/>
      <c r="H137" s="219"/>
      <c r="I137" s="219"/>
      <c r="J137" s="219"/>
    </row>
    <row r="138" spans="1:10">
      <c r="A138" s="68">
        <v>2012</v>
      </c>
      <c r="B138" s="69">
        <v>4490700</v>
      </c>
      <c r="C138" s="70">
        <f t="shared" si="13"/>
        <v>12.7</v>
      </c>
      <c r="D138" s="69">
        <v>57031</v>
      </c>
      <c r="H138" s="1182"/>
      <c r="I138" s="1182"/>
      <c r="J138" s="1182"/>
    </row>
    <row r="139" spans="1:10">
      <c r="A139" s="77">
        <v>2013</v>
      </c>
      <c r="B139" s="78">
        <v>4487200</v>
      </c>
      <c r="C139" s="79">
        <f t="shared" si="13"/>
        <v>12.9</v>
      </c>
      <c r="D139" s="69">
        <v>57878</v>
      </c>
      <c r="H139" s="219"/>
      <c r="I139" s="219"/>
      <c r="J139" s="219"/>
    </row>
    <row r="140" spans="1:10">
      <c r="A140" s="1183">
        <v>2014</v>
      </c>
      <c r="B140" s="1184">
        <f>L6*1000</f>
        <v>4362800</v>
      </c>
      <c r="C140" s="1185">
        <f t="shared" ref="C140:C143" si="14">ROUND(D140*1000/B140,2)</f>
        <v>13.9</v>
      </c>
      <c r="D140" s="1184">
        <v>60635</v>
      </c>
      <c r="G140" s="536"/>
      <c r="I140" s="537"/>
      <c r="J140" s="537"/>
    </row>
    <row r="141" spans="1:10">
      <c r="A141" s="1183">
        <v>2015</v>
      </c>
      <c r="B141" s="1184">
        <f>M6*1000</f>
        <v>3776024.0000000005</v>
      </c>
      <c r="C141" s="1185">
        <f t="shared" si="14"/>
        <v>15.69</v>
      </c>
      <c r="D141" s="1184">
        <v>59249</v>
      </c>
      <c r="G141" s="536"/>
      <c r="I141" s="537"/>
      <c r="J141" s="537"/>
    </row>
    <row r="142" spans="1:10">
      <c r="A142" s="1183">
        <v>2016</v>
      </c>
      <c r="B142" s="1184">
        <f>N6*1000</f>
        <v>3473796.0000000005</v>
      </c>
      <c r="C142" s="1185">
        <f t="shared" si="14"/>
        <v>16.28</v>
      </c>
      <c r="D142" s="1184">
        <v>56569</v>
      </c>
      <c r="G142" s="536"/>
      <c r="I142" s="537"/>
      <c r="J142" s="537"/>
    </row>
    <row r="143" spans="1:10">
      <c r="A143" s="1181">
        <v>2017</v>
      </c>
      <c r="B143" s="1184">
        <f>O6*1000</f>
        <v>3470805.0000000005</v>
      </c>
      <c r="C143" s="1185">
        <f t="shared" si="14"/>
        <v>15.35</v>
      </c>
      <c r="D143" s="1184">
        <v>53293</v>
      </c>
    </row>
    <row r="144" spans="1:10" s="65" customFormat="1" ht="15">
      <c r="A144" s="83" t="s">
        <v>166</v>
      </c>
    </row>
    <row r="145" spans="1:45" s="65" customFormat="1" ht="15">
      <c r="A145" s="127" t="s">
        <v>761</v>
      </c>
    </row>
    <row r="146" spans="1:45" s="65" customFormat="1" ht="15">
      <c r="A146" s="127"/>
    </row>
    <row r="147" spans="1:45" s="65" customFormat="1">
      <c r="A147" s="128"/>
      <c r="B147" s="128"/>
      <c r="C147" s="128"/>
      <c r="D147" s="128"/>
      <c r="E147" s="129" t="s">
        <v>167</v>
      </c>
      <c r="F147" s="130"/>
      <c r="G147" s="130"/>
      <c r="H147" s="130"/>
      <c r="I147" s="130"/>
      <c r="J147" s="130"/>
      <c r="K147" s="130"/>
      <c r="L147" s="130"/>
      <c r="M147" s="130"/>
      <c r="N147" s="130"/>
      <c r="O147" s="117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188"/>
      <c r="AG147" s="1189"/>
      <c r="AH147" s="1190"/>
      <c r="AI147" s="1190"/>
      <c r="AJ147" s="1190"/>
      <c r="AK147" s="1190"/>
      <c r="AL147" s="1190"/>
      <c r="AM147" s="1190"/>
      <c r="AN147" s="1190"/>
      <c r="AO147" s="1190"/>
      <c r="AP147" s="1190"/>
      <c r="AQ147" s="1190"/>
      <c r="AR147" s="1190"/>
      <c r="AS147" s="1191"/>
    </row>
    <row r="148" spans="1:45" s="65" customFormat="1" ht="38.25">
      <c r="A148" s="131" t="s">
        <v>168</v>
      </c>
      <c r="B148" s="132" t="s">
        <v>169</v>
      </c>
      <c r="C148" s="132" t="s">
        <v>170</v>
      </c>
      <c r="D148" s="133" t="s">
        <v>171</v>
      </c>
      <c r="E148" s="134" t="s">
        <v>172</v>
      </c>
      <c r="F148" s="134" t="s">
        <v>173</v>
      </c>
      <c r="G148" s="134" t="s">
        <v>174</v>
      </c>
      <c r="H148" s="134" t="s">
        <v>175</v>
      </c>
      <c r="I148" s="134" t="s">
        <v>176</v>
      </c>
      <c r="J148" s="134" t="s">
        <v>177</v>
      </c>
      <c r="K148" s="134" t="s">
        <v>178</v>
      </c>
      <c r="L148" s="134" t="s">
        <v>179</v>
      </c>
      <c r="M148" s="134" t="s">
        <v>180</v>
      </c>
      <c r="N148" s="134" t="s">
        <v>181</v>
      </c>
      <c r="O148" s="134" t="s">
        <v>182</v>
      </c>
      <c r="P148" s="134" t="s">
        <v>183</v>
      </c>
      <c r="Q148" s="134" t="s">
        <v>184</v>
      </c>
      <c r="R148" s="134" t="s">
        <v>185</v>
      </c>
      <c r="S148" s="134" t="s">
        <v>186</v>
      </c>
      <c r="T148" s="134" t="s">
        <v>187</v>
      </c>
      <c r="U148" s="134" t="s">
        <v>188</v>
      </c>
      <c r="V148" s="134" t="s">
        <v>189</v>
      </c>
      <c r="W148" s="134" t="s">
        <v>190</v>
      </c>
      <c r="X148" s="134" t="s">
        <v>191</v>
      </c>
      <c r="Y148" s="134" t="s">
        <v>192</v>
      </c>
      <c r="Z148" s="134" t="s">
        <v>193</v>
      </c>
      <c r="AA148" s="134" t="s">
        <v>194</v>
      </c>
      <c r="AB148" s="134" t="s">
        <v>195</v>
      </c>
      <c r="AC148" s="134" t="s">
        <v>196</v>
      </c>
      <c r="AD148" s="134" t="s">
        <v>197</v>
      </c>
      <c r="AE148" s="134" t="s">
        <v>198</v>
      </c>
      <c r="AF148" s="1171" t="s">
        <v>199</v>
      </c>
      <c r="AG148" s="1187" t="s">
        <v>200</v>
      </c>
      <c r="AH148" s="1187" t="s">
        <v>201</v>
      </c>
      <c r="AI148" s="1187" t="s">
        <v>202</v>
      </c>
      <c r="AJ148" s="1187" t="s">
        <v>203</v>
      </c>
      <c r="AK148" s="1187" t="s">
        <v>204</v>
      </c>
      <c r="AL148" s="1187" t="s">
        <v>205</v>
      </c>
      <c r="AM148" s="1187" t="s">
        <v>206</v>
      </c>
      <c r="AN148" s="1187" t="s">
        <v>207</v>
      </c>
      <c r="AO148" s="1187" t="s">
        <v>208</v>
      </c>
      <c r="AP148" s="1187" t="s">
        <v>209</v>
      </c>
      <c r="AQ148" s="1187" t="s">
        <v>210</v>
      </c>
      <c r="AR148" s="1187" t="s">
        <v>211</v>
      </c>
      <c r="AS148" s="1187" t="s">
        <v>212</v>
      </c>
    </row>
    <row r="149" spans="1:45" s="65" customFormat="1">
      <c r="A149" s="135" t="s">
        <v>222</v>
      </c>
    </row>
    <row r="150" spans="1:45" s="65" customFormat="1">
      <c r="A150" s="136" t="s">
        <v>213</v>
      </c>
      <c r="B150" s="137" t="s">
        <v>214</v>
      </c>
      <c r="C150" s="138">
        <v>11</v>
      </c>
      <c r="D150" s="138">
        <v>268</v>
      </c>
      <c r="E150" s="139">
        <v>4388.674</v>
      </c>
      <c r="F150" s="139">
        <v>4374.2259999999997</v>
      </c>
      <c r="G150" s="139">
        <v>4358.2420000000002</v>
      </c>
      <c r="H150" s="139">
        <v>4340.8950000000004</v>
      </c>
      <c r="I150" s="140">
        <v>4322.8419999999996</v>
      </c>
      <c r="J150" s="141">
        <v>4304.54</v>
      </c>
      <c r="K150" s="141">
        <v>4285.7889999999998</v>
      </c>
      <c r="L150" s="141">
        <v>4266.143</v>
      </c>
      <c r="M150" s="141">
        <v>4245.585</v>
      </c>
      <c r="N150" s="141">
        <v>4224.1350000000002</v>
      </c>
      <c r="O150" s="139">
        <v>4201.8339999999998</v>
      </c>
      <c r="P150" s="139">
        <v>4178.683</v>
      </c>
      <c r="Q150" s="139">
        <v>4154.7309999999998</v>
      </c>
      <c r="R150" s="139">
        <v>4130.1289999999999</v>
      </c>
      <c r="S150" s="139">
        <v>4105.0820000000003</v>
      </c>
      <c r="T150" s="139">
        <v>4079.768</v>
      </c>
      <c r="U150" s="139">
        <v>4054.2649999999999</v>
      </c>
      <c r="V150" s="139">
        <v>4028.6509999999998</v>
      </c>
      <c r="W150" s="139">
        <v>4003.114</v>
      </c>
      <c r="X150" s="139">
        <v>3977.866</v>
      </c>
      <c r="Y150" s="139">
        <v>3953.0770000000002</v>
      </c>
      <c r="Z150" s="139">
        <v>3928.837</v>
      </c>
      <c r="AA150" s="139">
        <v>3905.1779999999999</v>
      </c>
      <c r="AB150" s="139">
        <v>3882.136</v>
      </c>
      <c r="AC150" s="139">
        <v>3859.723</v>
      </c>
      <c r="AD150" s="139">
        <v>3837.94</v>
      </c>
      <c r="AE150" s="139">
        <v>3816.8209999999999</v>
      </c>
      <c r="AF150" s="139">
        <v>3796.3629999999998</v>
      </c>
      <c r="AG150" s="1186">
        <v>3776.4830000000002</v>
      </c>
      <c r="AH150" s="1186">
        <v>3757.0549999999998</v>
      </c>
      <c r="AI150" s="1186">
        <v>3737.9850000000001</v>
      </c>
      <c r="AJ150" s="1186">
        <v>3719.2510000000002</v>
      </c>
      <c r="AK150" s="1186">
        <v>3700.855</v>
      </c>
      <c r="AL150" s="1186">
        <v>3682.7539999999999</v>
      </c>
      <c r="AM150" s="1186">
        <v>3664.9050000000002</v>
      </c>
      <c r="AN150" s="1186">
        <v>3647.277</v>
      </c>
      <c r="AO150" s="1186">
        <v>3629.8229999999999</v>
      </c>
      <c r="AP150" s="1186">
        <v>3612.5520000000001</v>
      </c>
      <c r="AQ150" s="1186">
        <v>3595.5569999999998</v>
      </c>
      <c r="AR150" s="1186">
        <v>3578.9749999999999</v>
      </c>
      <c r="AS150" s="1186">
        <v>3562.8919999999998</v>
      </c>
    </row>
    <row r="151" spans="1:45" s="65" customFormat="1">
      <c r="A151" s="136" t="s">
        <v>215</v>
      </c>
      <c r="B151" s="137" t="s">
        <v>214</v>
      </c>
      <c r="C151" s="138">
        <v>11</v>
      </c>
      <c r="D151" s="138">
        <v>268</v>
      </c>
      <c r="E151" s="139">
        <v>4388.674</v>
      </c>
      <c r="F151" s="139">
        <v>4378.9769999999999</v>
      </c>
      <c r="G151" s="139">
        <v>4369.7730000000001</v>
      </c>
      <c r="H151" s="139">
        <v>4360.8379999999997</v>
      </c>
      <c r="I151" s="140">
        <v>4352.2110000000002</v>
      </c>
      <c r="J151" s="141">
        <v>4343.8739999999998</v>
      </c>
      <c r="K151" s="141">
        <v>4335.5050000000001</v>
      </c>
      <c r="L151" s="141">
        <v>4326.7139999999999</v>
      </c>
      <c r="M151" s="141">
        <v>4317.393</v>
      </c>
      <c r="N151" s="141">
        <v>4307.4920000000002</v>
      </c>
      <c r="O151" s="139">
        <v>4296.982</v>
      </c>
      <c r="P151" s="139">
        <v>4285.8140000000003</v>
      </c>
      <c r="Q151" s="139">
        <v>4273.9530000000004</v>
      </c>
      <c r="R151" s="139">
        <v>4261.4179999999997</v>
      </c>
      <c r="S151" s="139">
        <v>4248.2650000000003</v>
      </c>
      <c r="T151" s="139">
        <v>4234.58</v>
      </c>
      <c r="U151" s="139">
        <v>4220.3900000000003</v>
      </c>
      <c r="V151" s="139">
        <v>4205.8270000000002</v>
      </c>
      <c r="W151" s="139">
        <v>4191.2309999999998</v>
      </c>
      <c r="X151" s="139">
        <v>4177.0320000000002</v>
      </c>
      <c r="Y151" s="139">
        <v>4163.5780000000004</v>
      </c>
      <c r="Z151" s="139">
        <v>4151.0110000000004</v>
      </c>
      <c r="AA151" s="139">
        <v>4139.3829999999998</v>
      </c>
      <c r="AB151" s="139">
        <v>4128.8339999999998</v>
      </c>
      <c r="AC151" s="139">
        <v>4119.4870000000001</v>
      </c>
      <c r="AD151" s="139">
        <v>4111.4269999999997</v>
      </c>
      <c r="AE151" s="139">
        <v>4104.7359999999999</v>
      </c>
      <c r="AF151" s="139">
        <v>4099.4250000000002</v>
      </c>
      <c r="AG151" s="1186">
        <v>4095.4229999999998</v>
      </c>
      <c r="AH151" s="1186">
        <v>4092.6019999999999</v>
      </c>
      <c r="AI151" s="1186">
        <v>4090.8560000000002</v>
      </c>
      <c r="AJ151" s="1186">
        <v>4090.165</v>
      </c>
      <c r="AK151" s="1186">
        <v>4090.509</v>
      </c>
      <c r="AL151" s="1186">
        <v>4091.7660000000001</v>
      </c>
      <c r="AM151" s="1186">
        <v>4093.7860000000001</v>
      </c>
      <c r="AN151" s="1186">
        <v>4096.451</v>
      </c>
      <c r="AO151" s="1186">
        <v>4099.683</v>
      </c>
      <c r="AP151" s="1186">
        <v>4103.4629999999997</v>
      </c>
      <c r="AQ151" s="1186">
        <v>4107.8069999999998</v>
      </c>
      <c r="AR151" s="1186">
        <v>4112.7579999999998</v>
      </c>
      <c r="AS151" s="1186">
        <v>4118.3389999999999</v>
      </c>
    </row>
    <row r="152" spans="1:45" s="65" customFormat="1">
      <c r="A152" s="136" t="s">
        <v>216</v>
      </c>
      <c r="B152" s="137" t="s">
        <v>214</v>
      </c>
      <c r="C152" s="138">
        <v>11</v>
      </c>
      <c r="D152" s="138">
        <v>268</v>
      </c>
      <c r="E152" s="139">
        <v>4388.674</v>
      </c>
      <c r="F152" s="139">
        <v>4369.4750000000004</v>
      </c>
      <c r="G152" s="139">
        <v>4346.7120000000004</v>
      </c>
      <c r="H152" s="139">
        <v>4320.9539999999997</v>
      </c>
      <c r="I152" s="140">
        <v>4293.473</v>
      </c>
      <c r="J152" s="141">
        <v>4265.2060000000001</v>
      </c>
      <c r="K152" s="141">
        <v>4236.0770000000002</v>
      </c>
      <c r="L152" s="141">
        <v>4205.5789999999997</v>
      </c>
      <c r="M152" s="141">
        <v>4173.7889999999998</v>
      </c>
      <c r="N152" s="141">
        <v>4140.79</v>
      </c>
      <c r="O152" s="139">
        <v>4106.6869999999999</v>
      </c>
      <c r="P152" s="139">
        <v>4071.5410000000002</v>
      </c>
      <c r="Q152" s="139">
        <v>4035.489</v>
      </c>
      <c r="R152" s="139">
        <v>3998.8180000000002</v>
      </c>
      <c r="S152" s="139">
        <v>3961.8809999999999</v>
      </c>
      <c r="T152" s="139">
        <v>3924.9580000000001</v>
      </c>
      <c r="U152" s="139">
        <v>3888.1860000000001</v>
      </c>
      <c r="V152" s="139">
        <v>3851.6019999999999</v>
      </c>
      <c r="W152" s="139">
        <v>3815.27</v>
      </c>
      <c r="X152" s="139">
        <v>3779.2089999999998</v>
      </c>
      <c r="Y152" s="139">
        <v>3743.4389999999999</v>
      </c>
      <c r="Z152" s="139">
        <v>3708.009</v>
      </c>
      <c r="AA152" s="139">
        <v>3672.9520000000002</v>
      </c>
      <c r="AB152" s="139">
        <v>3638.2370000000001</v>
      </c>
      <c r="AC152" s="139">
        <v>3603.8049999999998</v>
      </c>
      <c r="AD152" s="139">
        <v>3569.6030000000001</v>
      </c>
      <c r="AE152" s="139">
        <v>3535.6350000000002</v>
      </c>
      <c r="AF152" s="139">
        <v>3501.893</v>
      </c>
      <c r="AG152" s="1186">
        <v>3468.2910000000002</v>
      </c>
      <c r="AH152" s="1186">
        <v>3434.721</v>
      </c>
      <c r="AI152" s="1186">
        <v>3401.1080000000002</v>
      </c>
      <c r="AJ152" s="1186">
        <v>3367.4319999999998</v>
      </c>
      <c r="AK152" s="1186">
        <v>3333.7139999999999</v>
      </c>
      <c r="AL152" s="1186">
        <v>3299.9670000000001</v>
      </c>
      <c r="AM152" s="1186">
        <v>3266.2170000000001</v>
      </c>
      <c r="AN152" s="1186">
        <v>3232.4989999999998</v>
      </c>
      <c r="AO152" s="1186">
        <v>3198.79</v>
      </c>
      <c r="AP152" s="1186">
        <v>3165.1170000000002</v>
      </c>
      <c r="AQ152" s="1186">
        <v>3131.6260000000002</v>
      </c>
      <c r="AR152" s="1186">
        <v>3098.5079999999998</v>
      </c>
      <c r="AS152" s="1186">
        <v>3065.893</v>
      </c>
    </row>
    <row r="153" spans="1:45" s="65" customFormat="1">
      <c r="A153" s="136" t="s">
        <v>217</v>
      </c>
      <c r="B153" s="137" t="s">
        <v>214</v>
      </c>
      <c r="C153" s="138">
        <v>11</v>
      </c>
      <c r="D153" s="138">
        <v>268</v>
      </c>
      <c r="E153" s="139">
        <v>4388.674</v>
      </c>
      <c r="F153" s="139">
        <v>4374.1049999999996</v>
      </c>
      <c r="G153" s="139">
        <v>4357.9399999999996</v>
      </c>
      <c r="H153" s="139">
        <v>4340.3010000000004</v>
      </c>
      <c r="I153" s="140">
        <v>4321.7889999999998</v>
      </c>
      <c r="J153" s="141">
        <v>4302.8230000000003</v>
      </c>
      <c r="K153" s="141">
        <v>4283.201</v>
      </c>
      <c r="L153" s="141">
        <v>4262.5</v>
      </c>
      <c r="M153" s="141">
        <v>4240.7240000000002</v>
      </c>
      <c r="N153" s="141">
        <v>4217.9260000000004</v>
      </c>
      <c r="O153" s="139">
        <v>4194.1850000000004</v>
      </c>
      <c r="P153" s="139">
        <v>4169.4979999999996</v>
      </c>
      <c r="Q153" s="139">
        <v>4143.9440000000004</v>
      </c>
      <c r="R153" s="139">
        <v>4117.7950000000001</v>
      </c>
      <c r="S153" s="139">
        <v>4091.4</v>
      </c>
      <c r="T153" s="139">
        <v>4065.0479999999998</v>
      </c>
      <c r="U153" s="139">
        <v>4038.8420000000001</v>
      </c>
      <c r="V153" s="139">
        <v>4012.8290000000002</v>
      </c>
      <c r="W153" s="139">
        <v>3987.163</v>
      </c>
      <c r="X153" s="139">
        <v>3961.998</v>
      </c>
      <c r="Y153" s="139">
        <v>3937.444</v>
      </c>
      <c r="Z153" s="139">
        <v>3913.5830000000001</v>
      </c>
      <c r="AA153" s="139">
        <v>3890.4160000000002</v>
      </c>
      <c r="AB153" s="139">
        <v>3867.8530000000001</v>
      </c>
      <c r="AC153" s="139">
        <v>3845.7469999999998</v>
      </c>
      <c r="AD153" s="139">
        <v>3823.9780000000001</v>
      </c>
      <c r="AE153" s="139">
        <v>3802.5390000000002</v>
      </c>
      <c r="AF153" s="139">
        <v>3781.4290000000001</v>
      </c>
      <c r="AG153" s="1186">
        <v>3760.5459999999998</v>
      </c>
      <c r="AH153" s="1186">
        <v>3739.7640000000001</v>
      </c>
      <c r="AI153" s="1186">
        <v>3718.9940000000001</v>
      </c>
      <c r="AJ153" s="1186">
        <v>3698.2080000000001</v>
      </c>
      <c r="AK153" s="1186">
        <v>3677.43</v>
      </c>
      <c r="AL153" s="1186">
        <v>3656.6860000000001</v>
      </c>
      <c r="AM153" s="1186">
        <v>3636.03</v>
      </c>
      <c r="AN153" s="1186">
        <v>3615.5160000000001</v>
      </c>
      <c r="AO153" s="1186">
        <v>3595.12</v>
      </c>
      <c r="AP153" s="1186">
        <v>3574.873</v>
      </c>
      <c r="AQ153" s="1186">
        <v>3554.95</v>
      </c>
      <c r="AR153" s="1186">
        <v>3535.5819999999999</v>
      </c>
      <c r="AS153" s="1186">
        <v>3516.922</v>
      </c>
    </row>
    <row r="154" spans="1:45" s="65" customFormat="1">
      <c r="A154" s="136" t="s">
        <v>218</v>
      </c>
      <c r="B154" s="137" t="s">
        <v>214</v>
      </c>
      <c r="C154" s="138">
        <v>11</v>
      </c>
      <c r="D154" s="138">
        <v>268</v>
      </c>
      <c r="E154" s="139">
        <v>4388.674</v>
      </c>
      <c r="F154" s="139">
        <v>4381.7240000000002</v>
      </c>
      <c r="G154" s="139">
        <v>4376.3230000000003</v>
      </c>
      <c r="H154" s="139">
        <v>4371.5230000000001</v>
      </c>
      <c r="I154" s="140">
        <v>4366.3649999999998</v>
      </c>
      <c r="J154" s="141">
        <v>4360.0990000000002</v>
      </c>
      <c r="K154" s="141">
        <v>4352.1679999999997</v>
      </c>
      <c r="L154" s="141">
        <v>4342.3860000000004</v>
      </c>
      <c r="M154" s="141">
        <v>4330.88</v>
      </c>
      <c r="N154" s="141">
        <v>4318.0249999999996</v>
      </c>
      <c r="O154" s="139">
        <v>4304.1229999999996</v>
      </c>
      <c r="P154" s="139">
        <v>4289.1540000000005</v>
      </c>
      <c r="Q154" s="139">
        <v>4273.0349999999999</v>
      </c>
      <c r="R154" s="139">
        <v>4255.9629999999997</v>
      </c>
      <c r="S154" s="139">
        <v>4238.2</v>
      </c>
      <c r="T154" s="139">
        <v>4219.9849999999997</v>
      </c>
      <c r="U154" s="139">
        <v>4201.433</v>
      </c>
      <c r="V154" s="139">
        <v>4182.68</v>
      </c>
      <c r="W154" s="139">
        <v>4164.0209999999997</v>
      </c>
      <c r="X154" s="139">
        <v>4145.799</v>
      </c>
      <c r="Y154" s="139">
        <v>4128.2929999999997</v>
      </c>
      <c r="Z154" s="139">
        <v>4111.6379999999999</v>
      </c>
      <c r="AA154" s="139">
        <v>4095.904</v>
      </c>
      <c r="AB154" s="139">
        <v>4081.2080000000001</v>
      </c>
      <c r="AC154" s="139">
        <v>4067.64</v>
      </c>
      <c r="AD154" s="139">
        <v>4055.261</v>
      </c>
      <c r="AE154" s="139">
        <v>4044.1289999999999</v>
      </c>
      <c r="AF154" s="139">
        <v>4034.2339999999999</v>
      </c>
      <c r="AG154" s="1186">
        <v>4025.4569999999999</v>
      </c>
      <c r="AH154" s="1186">
        <v>4017.625</v>
      </c>
      <c r="AI154" s="1186">
        <v>4010.5839999999998</v>
      </c>
      <c r="AJ154" s="1186">
        <v>4004.3009999999999</v>
      </c>
      <c r="AK154" s="1186">
        <v>3998.741</v>
      </c>
      <c r="AL154" s="1186">
        <v>3993.75</v>
      </c>
      <c r="AM154" s="1186">
        <v>3989.1419999999998</v>
      </c>
      <c r="AN154" s="1186">
        <v>3984.78</v>
      </c>
      <c r="AO154" s="1186">
        <v>3980.569</v>
      </c>
      <c r="AP154" s="1186">
        <v>3976.502</v>
      </c>
      <c r="AQ154" s="1186">
        <v>3972.63</v>
      </c>
      <c r="AR154" s="1186">
        <v>3969.0529999999999</v>
      </c>
      <c r="AS154" s="1186">
        <v>3965.8319999999999</v>
      </c>
    </row>
    <row r="155" spans="1:45" s="65" customFormat="1">
      <c r="A155" s="136" t="s">
        <v>219</v>
      </c>
      <c r="B155" s="137" t="s">
        <v>214</v>
      </c>
      <c r="C155" s="138">
        <v>11</v>
      </c>
      <c r="D155" s="138">
        <v>268</v>
      </c>
      <c r="E155" s="139">
        <v>4388.674</v>
      </c>
      <c r="F155" s="139">
        <v>4391.63</v>
      </c>
      <c r="G155" s="139">
        <v>4400.2709999999997</v>
      </c>
      <c r="H155" s="139">
        <v>4412.3900000000003</v>
      </c>
      <c r="I155" s="140">
        <v>4425.165</v>
      </c>
      <c r="J155" s="141">
        <v>4436.4549999999999</v>
      </c>
      <c r="K155" s="141">
        <v>4445.2790000000005</v>
      </c>
      <c r="L155" s="141">
        <v>4451.7280000000001</v>
      </c>
      <c r="M155" s="141">
        <v>4456.0959999999995</v>
      </c>
      <c r="N155" s="141">
        <v>4459.143</v>
      </c>
      <c r="O155" s="139">
        <v>4461.43</v>
      </c>
      <c r="P155" s="139">
        <v>4462.8450000000003</v>
      </c>
      <c r="Q155" s="139">
        <v>4463.0450000000001</v>
      </c>
      <c r="R155" s="139">
        <v>4462.1419999999998</v>
      </c>
      <c r="S155" s="139">
        <v>4460.2920000000004</v>
      </c>
      <c r="T155" s="139">
        <v>4457.6369999999997</v>
      </c>
      <c r="U155" s="139">
        <v>4454.2250000000004</v>
      </c>
      <c r="V155" s="139">
        <v>4450.1120000000001</v>
      </c>
      <c r="W155" s="139">
        <v>4445.4660000000003</v>
      </c>
      <c r="X155" s="139">
        <v>4440.4830000000002</v>
      </c>
      <c r="Y155" s="139">
        <v>4435.3190000000004</v>
      </c>
      <c r="Z155" s="139">
        <v>4430.0460000000003</v>
      </c>
      <c r="AA155" s="139">
        <v>4424.6880000000001</v>
      </c>
      <c r="AB155" s="139">
        <v>4419.2820000000002</v>
      </c>
      <c r="AC155" s="139">
        <v>4413.8459999999995</v>
      </c>
      <c r="AD155" s="139">
        <v>4408.3879999999999</v>
      </c>
      <c r="AE155" s="139">
        <v>4402.9340000000002</v>
      </c>
      <c r="AF155" s="139">
        <v>4397.4769999999999</v>
      </c>
      <c r="AG155" s="1186">
        <v>4391.9350000000004</v>
      </c>
      <c r="AH155" s="1186">
        <v>4386.1940000000004</v>
      </c>
      <c r="AI155" s="1186">
        <v>4380.1629999999996</v>
      </c>
      <c r="AJ155" s="1186">
        <v>4373.8140000000003</v>
      </c>
      <c r="AK155" s="1186">
        <v>4367.1360000000004</v>
      </c>
      <c r="AL155" s="1186">
        <v>4360.08</v>
      </c>
      <c r="AM155" s="1186">
        <v>4352.5879999999997</v>
      </c>
      <c r="AN155" s="1186">
        <v>4344.6189999999997</v>
      </c>
      <c r="AO155" s="1186">
        <v>4336.1580000000004</v>
      </c>
      <c r="AP155" s="1186">
        <v>4327.2020000000002</v>
      </c>
      <c r="AQ155" s="1186">
        <v>4317.7439999999997</v>
      </c>
      <c r="AR155" s="1186">
        <v>4307.7849999999999</v>
      </c>
      <c r="AS155" s="1186">
        <v>4297.335</v>
      </c>
    </row>
    <row r="156" spans="1:45" s="65" customFormat="1">
      <c r="A156" s="136" t="s">
        <v>220</v>
      </c>
      <c r="B156" s="137" t="s">
        <v>214</v>
      </c>
      <c r="C156" s="138">
        <v>11</v>
      </c>
      <c r="D156" s="138">
        <v>268</v>
      </c>
      <c r="E156" s="139">
        <v>4388.674</v>
      </c>
      <c r="F156" s="139">
        <v>4373.09</v>
      </c>
      <c r="G156" s="139">
        <v>4355.4679999999998</v>
      </c>
      <c r="H156" s="139">
        <v>4336.0389999999998</v>
      </c>
      <c r="I156" s="140">
        <v>4315.5640000000003</v>
      </c>
      <c r="J156" s="141">
        <v>4294.5789999999997</v>
      </c>
      <c r="K156" s="141">
        <v>4272.8919999999998</v>
      </c>
      <c r="L156" s="141">
        <v>4250.0389999999998</v>
      </c>
      <c r="M156" s="141">
        <v>4226.0240000000003</v>
      </c>
      <c r="N156" s="141">
        <v>4200.8940000000002</v>
      </c>
      <c r="O156" s="139">
        <v>4174.7030000000004</v>
      </c>
      <c r="P156" s="139">
        <v>4147.4679999999998</v>
      </c>
      <c r="Q156" s="139">
        <v>4119.241</v>
      </c>
      <c r="R156" s="139">
        <v>4090.1729999999998</v>
      </c>
      <c r="S156" s="139">
        <v>4060.46</v>
      </c>
      <c r="T156" s="139">
        <v>4030.277</v>
      </c>
      <c r="U156" s="139">
        <v>3999.7080000000001</v>
      </c>
      <c r="V156" s="139">
        <v>3968.8330000000001</v>
      </c>
      <c r="W156" s="139">
        <v>3937.8240000000001</v>
      </c>
      <c r="X156" s="139">
        <v>3906.8710000000001</v>
      </c>
      <c r="Y156" s="139">
        <v>3876.13</v>
      </c>
      <c r="Z156" s="139">
        <v>3845.6950000000002</v>
      </c>
      <c r="AA156" s="139">
        <v>3815.6129999999998</v>
      </c>
      <c r="AB156" s="139">
        <v>3785.93</v>
      </c>
      <c r="AC156" s="139">
        <v>3756.6669999999999</v>
      </c>
      <c r="AD156" s="139">
        <v>3727.8440000000001</v>
      </c>
      <c r="AE156" s="139">
        <v>3699.5050000000001</v>
      </c>
      <c r="AF156" s="139">
        <v>3671.6709999999998</v>
      </c>
      <c r="AG156" s="1186">
        <v>3644.3040000000001</v>
      </c>
      <c r="AH156" s="1186">
        <v>3617.337</v>
      </c>
      <c r="AI156" s="1186">
        <v>3590.72</v>
      </c>
      <c r="AJ156" s="1186">
        <v>3564.4569999999999</v>
      </c>
      <c r="AK156" s="1186">
        <v>3538.5630000000001</v>
      </c>
      <c r="AL156" s="1186">
        <v>3513.0259999999998</v>
      </c>
      <c r="AM156" s="1186">
        <v>3487.828</v>
      </c>
      <c r="AN156" s="1186">
        <v>3462.9650000000001</v>
      </c>
      <c r="AO156" s="1186">
        <v>3438.4029999999998</v>
      </c>
      <c r="AP156" s="1186">
        <v>3414.154</v>
      </c>
      <c r="AQ156" s="1186">
        <v>3390.3090000000002</v>
      </c>
      <c r="AR156" s="1186">
        <v>3366.9949999999999</v>
      </c>
      <c r="AS156" s="1186">
        <v>3344.29</v>
      </c>
    </row>
    <row r="157" spans="1:45" s="65" customFormat="1">
      <c r="A157" s="136" t="s">
        <v>221</v>
      </c>
      <c r="B157" s="137" t="s">
        <v>214</v>
      </c>
      <c r="C157" s="138">
        <v>11</v>
      </c>
      <c r="D157" s="138">
        <v>268</v>
      </c>
      <c r="E157" s="139">
        <v>4388.674</v>
      </c>
      <c r="F157" s="139">
        <v>4390.37</v>
      </c>
      <c r="G157" s="139">
        <v>4397.18</v>
      </c>
      <c r="H157" s="139">
        <v>4406.902</v>
      </c>
      <c r="I157" s="140">
        <v>4416.7470000000003</v>
      </c>
      <c r="J157" s="141">
        <v>4424.6090000000004</v>
      </c>
      <c r="K157" s="141">
        <v>4429.5069999999996</v>
      </c>
      <c r="L157" s="141">
        <v>4431.5349999999999</v>
      </c>
      <c r="M157" s="141">
        <v>4431.0190000000002</v>
      </c>
      <c r="N157" s="141">
        <v>4428.7650000000003</v>
      </c>
      <c r="O157" s="139">
        <v>4425.3819999999996</v>
      </c>
      <c r="P157" s="139">
        <v>4420.7629999999999</v>
      </c>
      <c r="Q157" s="139">
        <v>4414.6019999999999</v>
      </c>
      <c r="R157" s="139">
        <v>4407.125</v>
      </c>
      <c r="S157" s="139">
        <v>4398.6329999999998</v>
      </c>
      <c r="T157" s="139">
        <v>4389.3689999999997</v>
      </c>
      <c r="U157" s="139">
        <v>4379.4170000000004</v>
      </c>
      <c r="V157" s="139">
        <v>4368.8050000000003</v>
      </c>
      <c r="W157" s="139">
        <v>4357.6620000000003</v>
      </c>
      <c r="X157" s="139">
        <v>4346.1149999999998</v>
      </c>
      <c r="Y157" s="139">
        <v>4334.2539999999999</v>
      </c>
      <c r="Z157" s="139">
        <v>4322.1530000000002</v>
      </c>
      <c r="AA157" s="139">
        <v>4309.8140000000003</v>
      </c>
      <c r="AB157" s="139">
        <v>4297.1620000000003</v>
      </c>
      <c r="AC157" s="139">
        <v>4284.0749999999998</v>
      </c>
      <c r="AD157" s="139">
        <v>4270.4549999999999</v>
      </c>
      <c r="AE157" s="139">
        <v>4256.299</v>
      </c>
      <c r="AF157" s="139">
        <v>4241.6170000000002</v>
      </c>
      <c r="AG157" s="1186">
        <v>4226.3469999999998</v>
      </c>
      <c r="AH157" s="1186">
        <v>4210.4139999999998</v>
      </c>
      <c r="AI157" s="1186">
        <v>4193.7659999999996</v>
      </c>
      <c r="AJ157" s="1186">
        <v>4176.3879999999999</v>
      </c>
      <c r="AK157" s="1186">
        <v>4158.3</v>
      </c>
      <c r="AL157" s="1186">
        <v>4139.5330000000004</v>
      </c>
      <c r="AM157" s="1186">
        <v>4120.1409999999996</v>
      </c>
      <c r="AN157" s="1186">
        <v>4100.1729999999998</v>
      </c>
      <c r="AO157" s="1186">
        <v>4079.6460000000002</v>
      </c>
      <c r="AP157" s="1186">
        <v>4058.5859999999998</v>
      </c>
      <c r="AQ157" s="1186">
        <v>4037.067</v>
      </c>
      <c r="AR157" s="1186">
        <v>4015.1759999999999</v>
      </c>
      <c r="AS157" s="1186">
        <v>3992.989</v>
      </c>
    </row>
    <row r="158" spans="1:45" s="65" customFormat="1" ht="5.45" customHeight="1"/>
    <row r="159" spans="1:45" s="65" customFormat="1">
      <c r="A159" s="135" t="s">
        <v>165</v>
      </c>
    </row>
    <row r="160" spans="1:45" s="65" customFormat="1">
      <c r="A160" s="136" t="s">
        <v>213</v>
      </c>
      <c r="B160" s="137" t="s">
        <v>214</v>
      </c>
      <c r="C160" s="138">
        <v>11</v>
      </c>
      <c r="D160" s="138">
        <v>268</v>
      </c>
      <c r="F160" s="142">
        <f t="shared" ref="F160:AS166" si="15">F150/E150%-100</f>
        <v>-0.32921105554891028</v>
      </c>
      <c r="G160" s="142">
        <f t="shared" si="15"/>
        <v>-0.36541321824705619</v>
      </c>
      <c r="H160" s="142">
        <f t="shared" si="15"/>
        <v>-0.39802746153149826</v>
      </c>
      <c r="I160" s="143">
        <f t="shared" si="15"/>
        <v>-0.41588197825565487</v>
      </c>
      <c r="J160" s="144">
        <f t="shared" si="15"/>
        <v>-0.42337887898747795</v>
      </c>
      <c r="K160" s="144">
        <f t="shared" si="15"/>
        <v>-0.43560984448977536</v>
      </c>
      <c r="L160" s="144">
        <f t="shared" si="15"/>
        <v>-0.45839867524975375</v>
      </c>
      <c r="M160" s="144">
        <f>M150/L150%-100</f>
        <v>-0.48188726913279822</v>
      </c>
      <c r="N160" s="144">
        <f t="shared" si="15"/>
        <v>-0.50523072792087476</v>
      </c>
      <c r="O160" s="142">
        <f t="shared" si="15"/>
        <v>-0.5279424071437262</v>
      </c>
      <c r="P160" s="142">
        <f t="shared" si="15"/>
        <v>-0.55097369386794526</v>
      </c>
      <c r="Q160" s="142">
        <f t="shared" si="15"/>
        <v>-0.57319495161515022</v>
      </c>
      <c r="R160" s="142">
        <f t="shared" si="15"/>
        <v>-0.59214423268316807</v>
      </c>
      <c r="S160" s="142">
        <f t="shared" si="15"/>
        <v>-0.60644594878270652</v>
      </c>
      <c r="T160" s="142">
        <f t="shared" si="15"/>
        <v>-0.61665028859350457</v>
      </c>
      <c r="U160" s="142">
        <f t="shared" si="15"/>
        <v>-0.62510907482975142</v>
      </c>
      <c r="V160" s="142">
        <f t="shared" si="15"/>
        <v>-0.63177912642612455</v>
      </c>
      <c r="W160" s="142">
        <f t="shared" si="15"/>
        <v>-0.63388464277495871</v>
      </c>
      <c r="X160" s="142">
        <f t="shared" si="15"/>
        <v>-0.6307089930489127</v>
      </c>
      <c r="Y160" s="142">
        <f t="shared" si="15"/>
        <v>-0.62317332961944771</v>
      </c>
      <c r="Z160" s="142">
        <f t="shared" si="15"/>
        <v>-0.61319321632238655</v>
      </c>
      <c r="AA160" s="142">
        <f t="shared" si="15"/>
        <v>-0.60218838297440413</v>
      </c>
      <c r="AB160" s="142">
        <f t="shared" si="15"/>
        <v>-0.59003712506830652</v>
      </c>
      <c r="AC160" s="142">
        <f t="shared" si="15"/>
        <v>-0.5773368063354809</v>
      </c>
      <c r="AD160" s="142">
        <f t="shared" si="15"/>
        <v>-0.56436692477672068</v>
      </c>
      <c r="AE160" s="142">
        <f t="shared" si="15"/>
        <v>-0.55026915480701177</v>
      </c>
      <c r="AF160" s="142">
        <f t="shared" si="15"/>
        <v>-0.53599579335788405</v>
      </c>
      <c r="AG160" s="142">
        <f t="shared" si="15"/>
        <v>-0.52365909160950252</v>
      </c>
      <c r="AH160" s="142">
        <f t="shared" si="15"/>
        <v>-0.51444690734740561</v>
      </c>
      <c r="AI160" s="142">
        <f t="shared" si="15"/>
        <v>-0.50757840915289876</v>
      </c>
      <c r="AJ160" s="142">
        <f t="shared" si="15"/>
        <v>-0.50117911120564429</v>
      </c>
      <c r="AK160" s="142">
        <f t="shared" si="15"/>
        <v>-0.49461571698172691</v>
      </c>
      <c r="AL160" s="142">
        <f t="shared" si="15"/>
        <v>-0.48910319372144784</v>
      </c>
      <c r="AM160" s="142">
        <f t="shared" si="15"/>
        <v>-0.48466446577749878</v>
      </c>
      <c r="AN160" s="142">
        <f t="shared" si="15"/>
        <v>-0.48099473246919899</v>
      </c>
      <c r="AO160" s="142">
        <f t="shared" si="15"/>
        <v>-0.47854879133117834</v>
      </c>
      <c r="AP160" s="142">
        <f t="shared" si="15"/>
        <v>-0.4758083245381215</v>
      </c>
      <c r="AQ160" s="142">
        <f t="shared" si="15"/>
        <v>-0.47044305521416163</v>
      </c>
      <c r="AR160" s="142">
        <f t="shared" si="15"/>
        <v>-0.46118028444548997</v>
      </c>
      <c r="AS160" s="142">
        <f t="shared" si="15"/>
        <v>-0.44937447174120848</v>
      </c>
    </row>
    <row r="161" spans="1:45" s="65" customFormat="1">
      <c r="A161" s="136" t="s">
        <v>215</v>
      </c>
      <c r="B161" s="137" t="s">
        <v>214</v>
      </c>
      <c r="C161" s="138">
        <v>11</v>
      </c>
      <c r="D161" s="138">
        <v>268</v>
      </c>
      <c r="F161" s="142">
        <f t="shared" si="15"/>
        <v>-0.22095512220776925</v>
      </c>
      <c r="G161" s="142">
        <f t="shared" si="15"/>
        <v>-0.21018607770717779</v>
      </c>
      <c r="H161" s="142">
        <f t="shared" si="15"/>
        <v>-0.20447286392223418</v>
      </c>
      <c r="I161" s="143">
        <f t="shared" si="15"/>
        <v>-0.19782894938998652</v>
      </c>
      <c r="J161" s="144">
        <f t="shared" si="15"/>
        <v>-0.19155780820371149</v>
      </c>
      <c r="K161" s="144">
        <f t="shared" si="15"/>
        <v>-0.19266212601930022</v>
      </c>
      <c r="L161" s="144">
        <f t="shared" si="15"/>
        <v>-0.20276761300009127</v>
      </c>
      <c r="M161" s="144">
        <f t="shared" si="15"/>
        <v>-0.21542907619962648</v>
      </c>
      <c r="N161" s="144">
        <f t="shared" si="15"/>
        <v>-0.22932820801811715</v>
      </c>
      <c r="O161" s="142">
        <f t="shared" si="15"/>
        <v>-0.24399348855435221</v>
      </c>
      <c r="P161" s="142">
        <f t="shared" si="15"/>
        <v>-0.25990334611593369</v>
      </c>
      <c r="Q161" s="142">
        <f t="shared" si="15"/>
        <v>-0.27675022761137313</v>
      </c>
      <c r="R161" s="142">
        <f t="shared" si="15"/>
        <v>-0.29328820415200596</v>
      </c>
      <c r="S161" s="142">
        <f t="shared" si="15"/>
        <v>-0.30865312907580744</v>
      </c>
      <c r="T161" s="142">
        <f t="shared" si="15"/>
        <v>-0.32213150544988878</v>
      </c>
      <c r="U161" s="142">
        <f t="shared" si="15"/>
        <v>-0.3350981679410836</v>
      </c>
      <c r="V161" s="142">
        <f t="shared" si="15"/>
        <v>-0.34506289703084292</v>
      </c>
      <c r="W161" s="142">
        <f t="shared" si="15"/>
        <v>-0.34704232960605452</v>
      </c>
      <c r="X161" s="142">
        <f t="shared" si="15"/>
        <v>-0.33877875020488091</v>
      </c>
      <c r="Y161" s="142">
        <f t="shared" si="15"/>
        <v>-0.32209473137862688</v>
      </c>
      <c r="Z161" s="142">
        <f t="shared" si="15"/>
        <v>-0.30183174183358119</v>
      </c>
      <c r="AA161" s="142">
        <f t="shared" si="15"/>
        <v>-0.2801245286991616</v>
      </c>
      <c r="AB161" s="142">
        <f t="shared" si="15"/>
        <v>-0.25484474376979449</v>
      </c>
      <c r="AC161" s="142">
        <f t="shared" si="15"/>
        <v>-0.22638352619649993</v>
      </c>
      <c r="AD161" s="142">
        <f t="shared" si="15"/>
        <v>-0.19565542991155382</v>
      </c>
      <c r="AE161" s="142">
        <f t="shared" si="15"/>
        <v>-0.16274154934527019</v>
      </c>
      <c r="AF161" s="142">
        <f t="shared" si="15"/>
        <v>-0.12938712745472003</v>
      </c>
      <c r="AG161" s="142">
        <f t="shared" si="15"/>
        <v>-9.7623447190770207E-2</v>
      </c>
      <c r="AH161" s="142">
        <f t="shared" si="15"/>
        <v>-6.8881773628746146E-2</v>
      </c>
      <c r="AI161" s="142">
        <f t="shared" si="15"/>
        <v>-4.2662345373429389E-2</v>
      </c>
      <c r="AJ161" s="142">
        <f t="shared" si="15"/>
        <v>-1.6891330323048237E-2</v>
      </c>
      <c r="AK161" s="142">
        <f t="shared" si="15"/>
        <v>8.410418650598217E-3</v>
      </c>
      <c r="AL161" s="142">
        <f t="shared" si="15"/>
        <v>3.0729672028584787E-2</v>
      </c>
      <c r="AM161" s="142">
        <f t="shared" si="15"/>
        <v>4.9367436945331633E-2</v>
      </c>
      <c r="AN161" s="142">
        <f t="shared" si="15"/>
        <v>6.5098664170520237E-2</v>
      </c>
      <c r="AO161" s="142">
        <f t="shared" si="15"/>
        <v>7.8897562792775489E-2</v>
      </c>
      <c r="AP161" s="142">
        <f t="shared" si="15"/>
        <v>9.2202250759370941E-2</v>
      </c>
      <c r="AQ161" s="142">
        <f t="shared" si="15"/>
        <v>0.10586180501688602</v>
      </c>
      <c r="AR161" s="142">
        <f t="shared" si="15"/>
        <v>0.12052659728171022</v>
      </c>
      <c r="AS161" s="142">
        <f t="shared" si="15"/>
        <v>0.13569969349036626</v>
      </c>
    </row>
    <row r="162" spans="1:45" s="65" customFormat="1">
      <c r="A162" s="136" t="s">
        <v>216</v>
      </c>
      <c r="B162" s="137" t="s">
        <v>214</v>
      </c>
      <c r="C162" s="138">
        <v>11</v>
      </c>
      <c r="D162" s="138">
        <v>268</v>
      </c>
      <c r="F162" s="142">
        <f t="shared" si="15"/>
        <v>-0.4374669888900371</v>
      </c>
      <c r="G162" s="142">
        <f t="shared" si="15"/>
        <v>-0.52095503464374815</v>
      </c>
      <c r="H162" s="142">
        <f t="shared" si="15"/>
        <v>-0.59258584419671934</v>
      </c>
      <c r="I162" s="143">
        <f t="shared" si="15"/>
        <v>-0.63599381062607563</v>
      </c>
      <c r="J162" s="144">
        <f t="shared" si="15"/>
        <v>-0.65837143962475864</v>
      </c>
      <c r="K162" s="144">
        <f t="shared" si="15"/>
        <v>-0.68294473936310851</v>
      </c>
      <c r="L162" s="144">
        <f t="shared" si="15"/>
        <v>-0.71995858432225646</v>
      </c>
      <c r="M162" s="144">
        <f t="shared" si="15"/>
        <v>-0.75590067384300141</v>
      </c>
      <c r="N162" s="144">
        <f t="shared" si="15"/>
        <v>-0.79062453803965127</v>
      </c>
      <c r="O162" s="142">
        <f t="shared" si="15"/>
        <v>-0.82358680348436053</v>
      </c>
      <c r="P162" s="142">
        <f t="shared" si="15"/>
        <v>-0.8558236846392191</v>
      </c>
      <c r="Q162" s="142">
        <f t="shared" si="15"/>
        <v>-0.88546326808449294</v>
      </c>
      <c r="R162" s="142">
        <f t="shared" si="15"/>
        <v>-0.90871267397828603</v>
      </c>
      <c r="S162" s="142">
        <f t="shared" si="15"/>
        <v>-0.9236979527450444</v>
      </c>
      <c r="T162" s="142">
        <f t="shared" si="15"/>
        <v>-0.93195631065141527</v>
      </c>
      <c r="U162" s="142">
        <f t="shared" si="15"/>
        <v>-0.93687626721101935</v>
      </c>
      <c r="V162" s="142">
        <f t="shared" si="15"/>
        <v>-0.94090148979499588</v>
      </c>
      <c r="W162" s="142">
        <f t="shared" si="15"/>
        <v>-0.94329580262964896</v>
      </c>
      <c r="X162" s="142">
        <f t="shared" si="15"/>
        <v>-0.94517557079841197</v>
      </c>
      <c r="Y162" s="142">
        <f t="shared" si="15"/>
        <v>-0.94649435900475964</v>
      </c>
      <c r="Z162" s="142">
        <f t="shared" si="15"/>
        <v>-0.94645591927636019</v>
      </c>
      <c r="AA162" s="142">
        <f t="shared" si="15"/>
        <v>-0.94543999218987551</v>
      </c>
      <c r="AB162" s="142">
        <f t="shared" si="15"/>
        <v>-0.94515256393222558</v>
      </c>
      <c r="AC162" s="142">
        <f t="shared" si="15"/>
        <v>-0.94639244227356301</v>
      </c>
      <c r="AD162" s="142">
        <f t="shared" si="15"/>
        <v>-0.94905245983063935</v>
      </c>
      <c r="AE162" s="142">
        <f t="shared" si="15"/>
        <v>-0.95159041495649888</v>
      </c>
      <c r="AF162" s="142">
        <f t="shared" si="15"/>
        <v>-0.95434059228398382</v>
      </c>
      <c r="AG162" s="142">
        <f t="shared" si="15"/>
        <v>-0.95953816978415318</v>
      </c>
      <c r="AH162" s="142">
        <f t="shared" si="15"/>
        <v>-0.96791186206694135</v>
      </c>
      <c r="AI162" s="142">
        <f t="shared" si="15"/>
        <v>-0.97862388240557152</v>
      </c>
      <c r="AJ162" s="142">
        <f t="shared" si="15"/>
        <v>-0.990147916502508</v>
      </c>
      <c r="AK162" s="142">
        <f t="shared" si="15"/>
        <v>-1.0012971308700429</v>
      </c>
      <c r="AL162" s="142">
        <f t="shared" si="15"/>
        <v>-1.0122943959799642</v>
      </c>
      <c r="AM162" s="142">
        <f t="shared" si="15"/>
        <v>-1.0227375001022807</v>
      </c>
      <c r="AN162" s="142">
        <f t="shared" si="15"/>
        <v>-1.0323257762726854</v>
      </c>
      <c r="AO162" s="142">
        <f t="shared" si="15"/>
        <v>-1.0428154811494181</v>
      </c>
      <c r="AP162" s="142">
        <f t="shared" si="15"/>
        <v>-1.0526792943581711</v>
      </c>
      <c r="AQ162" s="142">
        <f t="shared" si="15"/>
        <v>-1.058128340911253</v>
      </c>
      <c r="AR162" s="142">
        <f t="shared" si="15"/>
        <v>-1.0575336901660819</v>
      </c>
      <c r="AS162" s="142">
        <f t="shared" si="15"/>
        <v>-1.0526033820148086</v>
      </c>
    </row>
    <row r="163" spans="1:45" s="65" customFormat="1">
      <c r="A163" s="136" t="s">
        <v>217</v>
      </c>
      <c r="B163" s="137" t="s">
        <v>214</v>
      </c>
      <c r="C163" s="138">
        <v>11</v>
      </c>
      <c r="D163" s="138">
        <v>268</v>
      </c>
      <c r="F163" s="142">
        <f t="shared" si="15"/>
        <v>-0.33196815256728485</v>
      </c>
      <c r="G163" s="142">
        <f t="shared" si="15"/>
        <v>-0.36956131597206365</v>
      </c>
      <c r="H163" s="142">
        <f t="shared" si="15"/>
        <v>-0.40475545785390921</v>
      </c>
      <c r="I163" s="143">
        <f t="shared" si="15"/>
        <v>-0.42651419797844881</v>
      </c>
      <c r="J163" s="144">
        <f t="shared" si="15"/>
        <v>-0.43884604269203464</v>
      </c>
      <c r="K163" s="144">
        <f t="shared" si="15"/>
        <v>-0.45602619489577023</v>
      </c>
      <c r="L163" s="144">
        <f t="shared" si="15"/>
        <v>-0.48330676052792398</v>
      </c>
      <c r="M163" s="144">
        <f t="shared" si="15"/>
        <v>-0.51087390029324808</v>
      </c>
      <c r="N163" s="144">
        <f t="shared" si="15"/>
        <v>-0.53759688204183931</v>
      </c>
      <c r="O163" s="142">
        <f t="shared" si="15"/>
        <v>-0.5628595665262992</v>
      </c>
      <c r="P163" s="142">
        <f t="shared" si="15"/>
        <v>-0.58860064589427452</v>
      </c>
      <c r="Q163" s="142">
        <f t="shared" si="15"/>
        <v>-0.61287953609760848</v>
      </c>
      <c r="R163" s="142">
        <f t="shared" si="15"/>
        <v>-0.63101721451835147</v>
      </c>
      <c r="S163" s="142">
        <f t="shared" si="15"/>
        <v>-0.64099839841469475</v>
      </c>
      <c r="T163" s="142">
        <f t="shared" si="15"/>
        <v>-0.64408271007479811</v>
      </c>
      <c r="U163" s="142">
        <f t="shared" si="15"/>
        <v>-0.64466643444306726</v>
      </c>
      <c r="V163" s="142">
        <f t="shared" si="15"/>
        <v>-0.64407075097268773</v>
      </c>
      <c r="W163" s="142">
        <f t="shared" si="15"/>
        <v>-0.63959864723864257</v>
      </c>
      <c r="X163" s="142">
        <f t="shared" si="15"/>
        <v>-0.63115051980568637</v>
      </c>
      <c r="Y163" s="142">
        <f t="shared" si="15"/>
        <v>-0.61973781915084203</v>
      </c>
      <c r="Z163" s="142">
        <f t="shared" si="15"/>
        <v>-0.60600226949259195</v>
      </c>
      <c r="AA163" s="142">
        <f t="shared" si="15"/>
        <v>-0.59196393688340265</v>
      </c>
      <c r="AB163" s="142">
        <f t="shared" si="15"/>
        <v>-0.57996368511749097</v>
      </c>
      <c r="AC163" s="142">
        <f t="shared" si="15"/>
        <v>-0.57153154476139889</v>
      </c>
      <c r="AD163" s="142">
        <f t="shared" si="15"/>
        <v>-0.56605387717912947</v>
      </c>
      <c r="AE163" s="142">
        <f t="shared" si="15"/>
        <v>-0.56064653091623029</v>
      </c>
      <c r="AF163" s="142">
        <f t="shared" si="15"/>
        <v>-0.55515538433662925</v>
      </c>
      <c r="AG163" s="142">
        <f t="shared" si="15"/>
        <v>-0.55225154300134704</v>
      </c>
      <c r="AH163" s="142">
        <f t="shared" si="15"/>
        <v>-0.55263251666114854</v>
      </c>
      <c r="AI163" s="142">
        <f t="shared" si="15"/>
        <v>-0.55538263911840602</v>
      </c>
      <c r="AJ163" s="142">
        <f t="shared" si="15"/>
        <v>-0.55891458819239404</v>
      </c>
      <c r="AK163" s="142">
        <f t="shared" si="15"/>
        <v>-0.56183968019107056</v>
      </c>
      <c r="AL163" s="142">
        <f t="shared" si="15"/>
        <v>-0.56408959517922597</v>
      </c>
      <c r="AM163" s="142">
        <f t="shared" si="15"/>
        <v>-0.56488306625178097</v>
      </c>
      <c r="AN163" s="142">
        <f t="shared" si="15"/>
        <v>-0.56418676413561286</v>
      </c>
      <c r="AO163" s="142">
        <f t="shared" si="15"/>
        <v>-0.56412418033831102</v>
      </c>
      <c r="AP163" s="142">
        <f t="shared" si="15"/>
        <v>-0.56318008856449353</v>
      </c>
      <c r="AQ163" s="142">
        <f t="shared" si="15"/>
        <v>-0.55730651130824072</v>
      </c>
      <c r="AR163" s="142">
        <f t="shared" si="15"/>
        <v>-0.54481778927971902</v>
      </c>
      <c r="AS163" s="142">
        <f t="shared" si="15"/>
        <v>-0.5277773220929447</v>
      </c>
    </row>
    <row r="164" spans="1:45" s="65" customFormat="1">
      <c r="A164" s="136" t="s">
        <v>218</v>
      </c>
      <c r="B164" s="137" t="s">
        <v>214</v>
      </c>
      <c r="C164" s="138">
        <v>11</v>
      </c>
      <c r="D164" s="138">
        <v>268</v>
      </c>
      <c r="F164" s="142">
        <f t="shared" si="15"/>
        <v>-0.15836218411301672</v>
      </c>
      <c r="G164" s="142">
        <f t="shared" si="15"/>
        <v>-0.12326198546506362</v>
      </c>
      <c r="H164" s="142">
        <f t="shared" si="15"/>
        <v>-0.10968111814415238</v>
      </c>
      <c r="I164" s="143">
        <f t="shared" si="15"/>
        <v>-0.11799091529428551</v>
      </c>
      <c r="J164" s="144">
        <f t="shared" si="15"/>
        <v>-0.14350609717693885</v>
      </c>
      <c r="K164" s="144">
        <f t="shared" si="15"/>
        <v>-0.18189953943708304</v>
      </c>
      <c r="L164" s="144">
        <f t="shared" si="15"/>
        <v>-0.22476154413155314</v>
      </c>
      <c r="M164" s="144">
        <f t="shared" si="15"/>
        <v>-0.26496953518181954</v>
      </c>
      <c r="N164" s="144">
        <f t="shared" si="15"/>
        <v>-0.29682189301020401</v>
      </c>
      <c r="O164" s="142">
        <f t="shared" si="15"/>
        <v>-0.32195274459967038</v>
      </c>
      <c r="P164" s="142">
        <f t="shared" si="15"/>
        <v>-0.34778281196888372</v>
      </c>
      <c r="Q164" s="142">
        <f t="shared" si="15"/>
        <v>-0.37580837619728413</v>
      </c>
      <c r="R164" s="142">
        <f t="shared" si="15"/>
        <v>-0.39952867224350541</v>
      </c>
      <c r="S164" s="142">
        <f t="shared" si="15"/>
        <v>-0.41736735023307858</v>
      </c>
      <c r="T164" s="142">
        <f t="shared" si="15"/>
        <v>-0.429781511018831</v>
      </c>
      <c r="U164" s="142">
        <f t="shared" si="15"/>
        <v>-0.43962241571948368</v>
      </c>
      <c r="V164" s="142">
        <f t="shared" si="15"/>
        <v>-0.44634771041212673</v>
      </c>
      <c r="W164" s="142">
        <f t="shared" si="15"/>
        <v>-0.44610154255168766</v>
      </c>
      <c r="X164" s="142">
        <f t="shared" si="15"/>
        <v>-0.43760586221826259</v>
      </c>
      <c r="Y164" s="142">
        <f t="shared" si="15"/>
        <v>-0.4222587732786991</v>
      </c>
      <c r="Z164" s="142">
        <f t="shared" si="15"/>
        <v>-0.40343551196582439</v>
      </c>
      <c r="AA164" s="142">
        <f t="shared" si="15"/>
        <v>-0.38266987512032813</v>
      </c>
      <c r="AB164" s="142">
        <f t="shared" si="15"/>
        <v>-0.35879747181574828</v>
      </c>
      <c r="AC164" s="142">
        <f t="shared" si="15"/>
        <v>-0.33245058815920459</v>
      </c>
      <c r="AD164" s="142">
        <f t="shared" si="15"/>
        <v>-0.30432879999213469</v>
      </c>
      <c r="AE164" s="142">
        <f t="shared" si="15"/>
        <v>-0.27450760875811397</v>
      </c>
      <c r="AF164" s="142">
        <f t="shared" si="15"/>
        <v>-0.24467567676501289</v>
      </c>
      <c r="AG164" s="142">
        <f t="shared" si="15"/>
        <v>-0.21756298717427569</v>
      </c>
      <c r="AH164" s="142">
        <f t="shared" si="15"/>
        <v>-0.1945617603169012</v>
      </c>
      <c r="AI164" s="142">
        <f t="shared" si="15"/>
        <v>-0.17525279238357427</v>
      </c>
      <c r="AJ164" s="142">
        <f t="shared" si="15"/>
        <v>-0.15666047637949987</v>
      </c>
      <c r="AK164" s="142">
        <f t="shared" si="15"/>
        <v>-0.13885070078399053</v>
      </c>
      <c r="AL164" s="142">
        <f t="shared" si="15"/>
        <v>-0.12481428529629568</v>
      </c>
      <c r="AM164" s="142">
        <f t="shared" si="15"/>
        <v>-0.11538028169015035</v>
      </c>
      <c r="AN164" s="142">
        <f t="shared" si="15"/>
        <v>-0.10934682194816503</v>
      </c>
      <c r="AO164" s="142">
        <f t="shared" si="15"/>
        <v>-0.10567710137071629</v>
      </c>
      <c r="AP164" s="142">
        <f t="shared" si="15"/>
        <v>-0.10217132274304674</v>
      </c>
      <c r="AQ164" s="142">
        <f t="shared" si="15"/>
        <v>-9.7372011883805953E-2</v>
      </c>
      <c r="AR164" s="142">
        <f t="shared" si="15"/>
        <v>-9.0041106269652005E-2</v>
      </c>
      <c r="AS164" s="142">
        <f t="shared" si="15"/>
        <v>-8.1152859384843623E-2</v>
      </c>
    </row>
    <row r="165" spans="1:45" s="65" customFormat="1">
      <c r="A165" s="136" t="s">
        <v>219</v>
      </c>
      <c r="B165" s="137" t="s">
        <v>214</v>
      </c>
      <c r="C165" s="138">
        <v>11</v>
      </c>
      <c r="D165" s="138">
        <v>268</v>
      </c>
      <c r="F165" s="142">
        <f t="shared" si="15"/>
        <v>6.7355196581019072E-2</v>
      </c>
      <c r="G165" s="142">
        <f t="shared" si="15"/>
        <v>0.1967606560661892</v>
      </c>
      <c r="H165" s="142">
        <f t="shared" si="15"/>
        <v>0.27541485513052066</v>
      </c>
      <c r="I165" s="143">
        <f t="shared" si="15"/>
        <v>0.28952563123385744</v>
      </c>
      <c r="J165" s="144">
        <f t="shared" si="15"/>
        <v>0.25513172955133712</v>
      </c>
      <c r="K165" s="144">
        <f t="shared" si="15"/>
        <v>0.19889754319609665</v>
      </c>
      <c r="L165" s="144">
        <f t="shared" si="15"/>
        <v>0.14507525849332126</v>
      </c>
      <c r="M165" s="144">
        <f t="shared" si="15"/>
        <v>9.8119202251339743E-2</v>
      </c>
      <c r="N165" s="144">
        <f t="shared" si="15"/>
        <v>6.8378239607056912E-2</v>
      </c>
      <c r="O165" s="142">
        <f t="shared" si="15"/>
        <v>5.1287881998845819E-2</v>
      </c>
      <c r="P165" s="142">
        <f t="shared" si="15"/>
        <v>3.1716288275291049E-2</v>
      </c>
      <c r="Q165" s="142">
        <f t="shared" si="15"/>
        <v>4.4814462523277143E-3</v>
      </c>
      <c r="R165" s="142">
        <f t="shared" si="15"/>
        <v>-2.023282310621255E-2</v>
      </c>
      <c r="S165" s="142">
        <f t="shared" si="15"/>
        <v>-4.1459908716475979E-2</v>
      </c>
      <c r="T165" s="142">
        <f t="shared" si="15"/>
        <v>-5.952525081319493E-2</v>
      </c>
      <c r="U165" s="142">
        <f t="shared" si="15"/>
        <v>-7.6542796104732247E-2</v>
      </c>
      <c r="V165" s="142">
        <f t="shared" si="15"/>
        <v>-9.2339295837106761E-2</v>
      </c>
      <c r="W165" s="142">
        <f t="shared" si="15"/>
        <v>-0.10440186673952212</v>
      </c>
      <c r="X165" s="142">
        <f t="shared" si="15"/>
        <v>-0.11209173571455722</v>
      </c>
      <c r="Y165" s="142">
        <f t="shared" si="15"/>
        <v>-0.11629365544243342</v>
      </c>
      <c r="Z165" s="142">
        <f t="shared" si="15"/>
        <v>-0.11888660094122372</v>
      </c>
      <c r="AA165" s="142">
        <f t="shared" si="15"/>
        <v>-0.12094682538284474</v>
      </c>
      <c r="AB165" s="142">
        <f t="shared" si="15"/>
        <v>-0.1221781061173175</v>
      </c>
      <c r="AC165" s="142">
        <f t="shared" si="15"/>
        <v>-0.12300640692313891</v>
      </c>
      <c r="AD165" s="142">
        <f t="shared" si="15"/>
        <v>-0.12365633055615888</v>
      </c>
      <c r="AE165" s="142">
        <f t="shared" si="15"/>
        <v>-0.12371869263776603</v>
      </c>
      <c r="AF165" s="142">
        <f t="shared" si="15"/>
        <v>-0.1239400817727585</v>
      </c>
      <c r="AG165" s="142">
        <f t="shared" si="15"/>
        <v>-0.12602681037330399</v>
      </c>
      <c r="AH165" s="142">
        <f t="shared" si="15"/>
        <v>-0.13071687080979189</v>
      </c>
      <c r="AI165" s="142">
        <f t="shared" si="15"/>
        <v>-0.13749961811996059</v>
      </c>
      <c r="AJ165" s="142">
        <f t="shared" si="15"/>
        <v>-0.14494894368084488</v>
      </c>
      <c r="AK165" s="142">
        <f t="shared" si="15"/>
        <v>-0.15268138974359147</v>
      </c>
      <c r="AL165" s="142">
        <f t="shared" si="15"/>
        <v>-0.16157042052276438</v>
      </c>
      <c r="AM165" s="142">
        <f t="shared" si="15"/>
        <v>-0.17183170950991666</v>
      </c>
      <c r="AN165" s="142">
        <f t="shared" si="15"/>
        <v>-0.18308647636763453</v>
      </c>
      <c r="AO165" s="142">
        <f t="shared" si="15"/>
        <v>-0.19474665097213517</v>
      </c>
      <c r="AP165" s="142">
        <f t="shared" si="15"/>
        <v>-0.20654228928005125</v>
      </c>
      <c r="AQ165" s="142">
        <f t="shared" si="15"/>
        <v>-0.21857079932946988</v>
      </c>
      <c r="AR165" s="142">
        <f t="shared" si="15"/>
        <v>-0.23065285945622804</v>
      </c>
      <c r="AS165" s="142">
        <f t="shared" si="15"/>
        <v>-0.24258406582499958</v>
      </c>
    </row>
    <row r="166" spans="1:45" s="65" customFormat="1">
      <c r="A166" s="136" t="s">
        <v>220</v>
      </c>
      <c r="B166" s="137" t="s">
        <v>214</v>
      </c>
      <c r="C166" s="138">
        <v>11</v>
      </c>
      <c r="D166" s="138">
        <v>268</v>
      </c>
      <c r="F166" s="142">
        <f t="shared" si="15"/>
        <v>-0.35509586722550068</v>
      </c>
      <c r="G166" s="142">
        <f t="shared" si="15"/>
        <v>-0.40296449421347802</v>
      </c>
      <c r="H166" s="142">
        <f t="shared" si="15"/>
        <v>-0.44608294676943672</v>
      </c>
      <c r="I166" s="143">
        <f t="shared" si="15"/>
        <v>-0.4722051623613055</v>
      </c>
      <c r="J166" s="144">
        <f t="shared" si="15"/>
        <v>-0.48626320916572752</v>
      </c>
      <c r="K166" s="144">
        <f t="shared" si="15"/>
        <v>-0.50498547121847537</v>
      </c>
      <c r="L166" s="144">
        <f t="shared" si="15"/>
        <v>-0.53483682714188774</v>
      </c>
      <c r="M166" s="144">
        <f t="shared" si="15"/>
        <v>-0.56505363833130673</v>
      </c>
      <c r="N166" s="144">
        <f t="shared" si="15"/>
        <v>-0.59464877624925805</v>
      </c>
      <c r="O166" s="142">
        <f t="shared" si="15"/>
        <v>-0.62346252964249516</v>
      </c>
      <c r="P166" s="142">
        <f t="shared" si="15"/>
        <v>-0.6523817382937267</v>
      </c>
      <c r="Q166" s="142">
        <f t="shared" si="15"/>
        <v>-0.68058391288371922</v>
      </c>
      <c r="R166" s="142">
        <f t="shared" si="15"/>
        <v>-0.70566398033037103</v>
      </c>
      <c r="S166" s="142">
        <f t="shared" si="15"/>
        <v>-0.7264484900760948</v>
      </c>
      <c r="T166" s="142">
        <f t="shared" si="15"/>
        <v>-0.74333942459720959</v>
      </c>
      <c r="U166" s="142">
        <f t="shared" si="15"/>
        <v>-0.7584838461475556</v>
      </c>
      <c r="V166" s="142">
        <f t="shared" ref="V166:AS166" si="16">V156/U156%-100</f>
        <v>-0.77193135098862342</v>
      </c>
      <c r="W166" s="142">
        <f t="shared" si="16"/>
        <v>-0.78131279396235698</v>
      </c>
      <c r="X166" s="142">
        <f t="shared" si="16"/>
        <v>-0.7860432563771127</v>
      </c>
      <c r="Y166" s="142">
        <f t="shared" si="16"/>
        <v>-0.78684451060708227</v>
      </c>
      <c r="Z166" s="142">
        <f t="shared" si="16"/>
        <v>-0.78519038319147683</v>
      </c>
      <c r="AA166" s="142">
        <f t="shared" si="16"/>
        <v>-0.78222531948061658</v>
      </c>
      <c r="AB166" s="142">
        <f t="shared" si="16"/>
        <v>-0.77793528851064764</v>
      </c>
      <c r="AC166" s="142">
        <f t="shared" si="16"/>
        <v>-0.77294086261498762</v>
      </c>
      <c r="AD166" s="142">
        <f t="shared" si="16"/>
        <v>-0.76724926643751701</v>
      </c>
      <c r="AE166" s="142">
        <f t="shared" si="16"/>
        <v>-0.76019811987841024</v>
      </c>
      <c r="AF166" s="142">
        <f t="shared" si="16"/>
        <v>-0.75237092529947347</v>
      </c>
      <c r="AG166" s="142">
        <f t="shared" si="16"/>
        <v>-0.74535545259909952</v>
      </c>
      <c r="AH166" s="142">
        <f t="shared" si="16"/>
        <v>-0.73997668690648766</v>
      </c>
      <c r="AI166" s="142">
        <f t="shared" si="16"/>
        <v>-0.73581753649162351</v>
      </c>
      <c r="AJ166" s="142">
        <f t="shared" si="16"/>
        <v>-0.73141319846715191</v>
      </c>
      <c r="AK166" s="142">
        <f t="shared" si="16"/>
        <v>-0.72645005957429021</v>
      </c>
      <c r="AL166" s="142">
        <f t="shared" si="16"/>
        <v>-0.72167713277960388</v>
      </c>
      <c r="AM166" s="142">
        <f t="shared" si="16"/>
        <v>-0.71727337059276408</v>
      </c>
      <c r="AN166" s="142">
        <f t="shared" si="16"/>
        <v>-0.71285051900493102</v>
      </c>
      <c r="AO166" s="142">
        <f t="shared" si="16"/>
        <v>-0.70927658812607319</v>
      </c>
      <c r="AP166" s="142">
        <f t="shared" si="16"/>
        <v>-0.70524019435765695</v>
      </c>
      <c r="AQ166" s="142">
        <f t="shared" si="16"/>
        <v>-0.69841606441887905</v>
      </c>
      <c r="AR166" s="142">
        <f t="shared" si="16"/>
        <v>-0.68766593251530139</v>
      </c>
      <c r="AS166" s="142">
        <f t="shared" si="16"/>
        <v>-0.67434017573533822</v>
      </c>
    </row>
    <row r="167" spans="1:45" s="65" customFormat="1">
      <c r="A167" s="136" t="s">
        <v>221</v>
      </c>
      <c r="B167" s="137" t="s">
        <v>214</v>
      </c>
      <c r="C167" s="138">
        <v>11</v>
      </c>
      <c r="D167" s="138">
        <v>268</v>
      </c>
      <c r="F167" s="145">
        <f t="shared" ref="F167:AS167" si="17">F157/E157%-100</f>
        <v>3.8644930108716835E-2</v>
      </c>
      <c r="G167" s="145">
        <f t="shared" si="17"/>
        <v>0.15511221149925802</v>
      </c>
      <c r="H167" s="145">
        <f t="shared" si="17"/>
        <v>0.22109624804988925</v>
      </c>
      <c r="I167" s="146">
        <f t="shared" si="17"/>
        <v>0.22339956731508437</v>
      </c>
      <c r="J167" s="147">
        <f t="shared" si="17"/>
        <v>0.17800430950651958</v>
      </c>
      <c r="K167" s="147">
        <f t="shared" si="17"/>
        <v>0.11069904707962053</v>
      </c>
      <c r="L167" s="144">
        <f t="shared" si="17"/>
        <v>4.5783876174041893E-2</v>
      </c>
      <c r="M167" s="147">
        <f t="shared" si="17"/>
        <v>-1.1643820933358029E-2</v>
      </c>
      <c r="N167" s="147">
        <f t="shared" si="17"/>
        <v>-5.0868660233689411E-2</v>
      </c>
      <c r="O167" s="142">
        <f t="shared" si="17"/>
        <v>-7.6386983730245106E-2</v>
      </c>
      <c r="P167" s="142">
        <f t="shared" si="17"/>
        <v>-0.10437517032427479</v>
      </c>
      <c r="Q167" s="142">
        <f t="shared" si="17"/>
        <v>-0.13936508245296864</v>
      </c>
      <c r="R167" s="142">
        <f t="shared" si="17"/>
        <v>-0.16936974159844453</v>
      </c>
      <c r="S167" s="142">
        <f t="shared" si="17"/>
        <v>-0.19268797685566597</v>
      </c>
      <c r="T167" s="142">
        <f t="shared" si="17"/>
        <v>-0.21061088751891077</v>
      </c>
      <c r="U167" s="142">
        <f t="shared" si="17"/>
        <v>-0.22672962788044515</v>
      </c>
      <c r="V167" s="142">
        <f t="shared" si="17"/>
        <v>-0.24231535841414598</v>
      </c>
      <c r="W167" s="142">
        <f t="shared" si="17"/>
        <v>-0.25505830541762009</v>
      </c>
      <c r="X167" s="142">
        <f t="shared" si="17"/>
        <v>-0.2649815428548834</v>
      </c>
      <c r="Y167" s="142">
        <f t="shared" si="17"/>
        <v>-0.27291040388944054</v>
      </c>
      <c r="Z167" s="142">
        <f t="shared" si="17"/>
        <v>-0.2791945280548731</v>
      </c>
      <c r="AA167" s="142">
        <f t="shared" si="17"/>
        <v>-0.28548272122712604</v>
      </c>
      <c r="AB167" s="142">
        <f t="shared" si="17"/>
        <v>-0.29356255281550148</v>
      </c>
      <c r="AC167" s="142">
        <f t="shared" si="17"/>
        <v>-0.30454984010377473</v>
      </c>
      <c r="AD167" s="142">
        <f t="shared" si="17"/>
        <v>-0.31792160501392175</v>
      </c>
      <c r="AE167" s="142">
        <f t="shared" si="17"/>
        <v>-0.33148692586620143</v>
      </c>
      <c r="AF167" s="142">
        <f t="shared" si="17"/>
        <v>-0.34494757064763348</v>
      </c>
      <c r="AG167" s="142">
        <f t="shared" si="17"/>
        <v>-0.36000421537353589</v>
      </c>
      <c r="AH167" s="142">
        <f t="shared" si="17"/>
        <v>-0.37699223466506737</v>
      </c>
      <c r="AI167" s="142">
        <f t="shared" si="17"/>
        <v>-0.39540054730960605</v>
      </c>
      <c r="AJ167" s="142">
        <f t="shared" si="17"/>
        <v>-0.41437695856181733</v>
      </c>
      <c r="AK167" s="142">
        <f t="shared" si="17"/>
        <v>-0.43310152217657105</v>
      </c>
      <c r="AL167" s="142">
        <f t="shared" si="17"/>
        <v>-0.45131423899188405</v>
      </c>
      <c r="AM167" s="142">
        <f t="shared" si="17"/>
        <v>-0.46845864014130711</v>
      </c>
      <c r="AN167" s="142">
        <f t="shared" si="17"/>
        <v>-0.48464360807068374</v>
      </c>
      <c r="AO167" s="142">
        <f t="shared" si="17"/>
        <v>-0.50063741212869672</v>
      </c>
      <c r="AP167" s="142">
        <f t="shared" si="17"/>
        <v>-0.51622126037408123</v>
      </c>
      <c r="AQ167" s="142">
        <f t="shared" si="17"/>
        <v>-0.53020928963928782</v>
      </c>
      <c r="AR167" s="142">
        <f t="shared" si="17"/>
        <v>-0.54225010385013661</v>
      </c>
      <c r="AS167" s="142">
        <f t="shared" si="17"/>
        <v>-0.55257851710608463</v>
      </c>
    </row>
    <row r="169" spans="1:45">
      <c r="E169" s="534" t="s">
        <v>1552</v>
      </c>
      <c r="F169" s="534"/>
      <c r="G169" s="534"/>
      <c r="H169" s="534"/>
      <c r="I169" s="600">
        <f>D141</f>
        <v>59249</v>
      </c>
      <c r="J169" s="600">
        <f>ROUND(I169+I169*J167*0.1/100,-1)</f>
        <v>59260</v>
      </c>
      <c r="K169" s="600">
        <f>ROUND(J169+J169*K167*0.01/100,-1)</f>
        <v>59260</v>
      </c>
      <c r="L169" s="600">
        <f>ROUND(K169+K169*L167*0.1/100,-1)</f>
        <v>59260</v>
      </c>
      <c r="M169" s="600">
        <f>ROUND(L169+L169*M167*10/100,-1)</f>
        <v>59190</v>
      </c>
      <c r="N169" s="600">
        <f>ROUND(M169+M169*N167*10/100,-1)</f>
        <v>58890</v>
      </c>
      <c r="O169" s="600">
        <f>ROUND(N169+N169*O167*10/100,-1)</f>
        <v>58440</v>
      </c>
      <c r="P169" s="600">
        <f t="shared" ref="P169:Q169" si="18">ROUND(O169+O169*P167*10/100,-1)</f>
        <v>57830</v>
      </c>
      <c r="Q169" s="600">
        <f t="shared" si="18"/>
        <v>57020</v>
      </c>
      <c r="R169" s="534"/>
      <c r="S169" s="534"/>
    </row>
  </sheetData>
  <hyperlinks>
    <hyperlink ref="A145" r:id="rId1" display="http://esa.un.org/wpp/Excel-Data/population.htm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11"/>
  <sheetViews>
    <sheetView topLeftCell="A29" zoomScale="80" zoomScaleNormal="80" workbookViewId="0">
      <selection activeCell="V52" sqref="V52"/>
    </sheetView>
  </sheetViews>
  <sheetFormatPr defaultColWidth="8.85546875" defaultRowHeight="15"/>
  <cols>
    <col min="1" max="1" width="4.7109375" style="25" customWidth="1"/>
    <col min="2" max="2" width="14.28515625" style="1" customWidth="1"/>
    <col min="3" max="12" width="8.85546875" style="1"/>
    <col min="13" max="13" width="11" style="1" customWidth="1"/>
    <col min="14" max="26" width="8.85546875" style="1"/>
    <col min="27" max="27" width="41.85546875" style="1" customWidth="1"/>
    <col min="28" max="16384" width="8.85546875" style="1"/>
  </cols>
  <sheetData>
    <row r="2" spans="1:22">
      <c r="B2" s="2" t="s">
        <v>15</v>
      </c>
    </row>
    <row r="3" spans="1:22">
      <c r="B3" s="2" t="str">
        <f>'Penitentiary sector'!B3</f>
        <v>TB case notifications and forecast</v>
      </c>
    </row>
    <row r="4" spans="1:22">
      <c r="B4" s="2"/>
    </row>
    <row r="5" spans="1:22" ht="15.75">
      <c r="B5" s="2"/>
      <c r="C5" s="1816" t="s">
        <v>62</v>
      </c>
      <c r="D5" s="1816"/>
      <c r="E5" s="1816"/>
    </row>
    <row r="7" spans="1:22">
      <c r="B7" s="24" t="s">
        <v>41</v>
      </c>
      <c r="C7" s="22" t="s">
        <v>1761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</row>
    <row r="8" spans="1:22" ht="15.75" thickBot="1"/>
    <row r="9" spans="1:22" ht="18.95" customHeight="1">
      <c r="B9" s="1817" t="s">
        <v>0</v>
      </c>
      <c r="C9" s="1819" t="s">
        <v>6</v>
      </c>
      <c r="D9" s="1820"/>
      <c r="E9" s="1820"/>
      <c r="F9" s="1820"/>
      <c r="G9" s="1821"/>
      <c r="H9" s="1819" t="s">
        <v>14</v>
      </c>
      <c r="I9" s="1820"/>
      <c r="J9" s="1820"/>
      <c r="K9" s="1820"/>
      <c r="L9" s="1821"/>
      <c r="M9" s="1822" t="s">
        <v>13</v>
      </c>
    </row>
    <row r="10" spans="1:22" ht="29.45" customHeight="1" thickBot="1">
      <c r="B10" s="1818"/>
      <c r="C10" s="15" t="s">
        <v>10</v>
      </c>
      <c r="D10" s="16" t="s">
        <v>11</v>
      </c>
      <c r="E10" s="17" t="s">
        <v>12</v>
      </c>
      <c r="F10" s="16" t="s">
        <v>9</v>
      </c>
      <c r="G10" s="18" t="s">
        <v>4</v>
      </c>
      <c r="H10" s="15" t="s">
        <v>10</v>
      </c>
      <c r="I10" s="16" t="s">
        <v>11</v>
      </c>
      <c r="J10" s="17" t="s">
        <v>12</v>
      </c>
      <c r="K10" s="16" t="s">
        <v>9</v>
      </c>
      <c r="L10" s="18" t="s">
        <v>4</v>
      </c>
      <c r="M10" s="1823"/>
    </row>
    <row r="11" spans="1:22" hidden="1">
      <c r="A11" s="25">
        <v>1</v>
      </c>
      <c r="B11" s="10">
        <v>1996</v>
      </c>
      <c r="C11" s="11">
        <f>'All country'!C11-'Penitentiary sector'!C11</f>
        <v>653</v>
      </c>
      <c r="D11" s="12">
        <f>'All country'!D11-'Penitentiary sector'!D11</f>
        <v>5234</v>
      </c>
      <c r="E11" s="30">
        <f>'All country'!E11-'Penitentiary sector'!E11</f>
        <v>0</v>
      </c>
      <c r="F11" s="30">
        <f>'All country'!F11-'Penitentiary sector'!F11</f>
        <v>1007</v>
      </c>
      <c r="G11" s="31">
        <f>SUM(C11:F11)</f>
        <v>6894</v>
      </c>
      <c r="H11" s="11">
        <f>'All country'!H11-'Penitentiary sector'!H11</f>
        <v>665</v>
      </c>
      <c r="I11" s="12">
        <f>'All country'!I11-'Penitentiary sector'!I11</f>
        <v>2661</v>
      </c>
      <c r="J11" s="30">
        <f>'All country'!J11-'Penitentiary sector'!J11</f>
        <v>0</v>
      </c>
      <c r="K11" s="30">
        <f>'All country'!K11-'Penitentiary sector'!K11</f>
        <v>423</v>
      </c>
      <c r="L11" s="13">
        <f>SUM(H11:K11)</f>
        <v>3749</v>
      </c>
      <c r="M11" s="14">
        <f>SUM(G11,L11)</f>
        <v>10643</v>
      </c>
      <c r="N11" s="4"/>
      <c r="O11" s="4"/>
    </row>
    <row r="12" spans="1:22" hidden="1">
      <c r="A12" s="25">
        <v>2</v>
      </c>
      <c r="B12" s="7">
        <v>1997</v>
      </c>
      <c r="C12" s="8">
        <f>'All country'!C12-'Penitentiary sector'!C12</f>
        <v>595</v>
      </c>
      <c r="D12" s="3">
        <f>'All country'!D12-'Penitentiary sector'!D12</f>
        <v>3194</v>
      </c>
      <c r="E12" s="27">
        <f>'All country'!E12-'Penitentiary sector'!E12</f>
        <v>0</v>
      </c>
      <c r="F12" s="27">
        <f>'All country'!F12-'Penitentiary sector'!F12</f>
        <v>1636</v>
      </c>
      <c r="G12" s="28">
        <f t="shared" ref="G12:G37" si="0">SUM(C12:F12)</f>
        <v>5425</v>
      </c>
      <c r="H12" s="8">
        <f>'All country'!H12-'Penitentiary sector'!H12</f>
        <v>553</v>
      </c>
      <c r="I12" s="3">
        <f>'All country'!I12-'Penitentiary sector'!I12</f>
        <v>2075</v>
      </c>
      <c r="J12" s="27">
        <f>'All country'!J12-'Penitentiary sector'!J12</f>
        <v>0</v>
      </c>
      <c r="K12" s="27">
        <f>'All country'!K12-'Penitentiary sector'!K12</f>
        <v>393</v>
      </c>
      <c r="L12" s="6">
        <f t="shared" ref="L12:L37" si="1">SUM(H12:K12)</f>
        <v>3021</v>
      </c>
      <c r="M12" s="9">
        <f t="shared" ref="M12:M37" si="2">SUM(G12,L12)</f>
        <v>8446</v>
      </c>
      <c r="N12" s="4"/>
      <c r="O12" s="4"/>
    </row>
    <row r="13" spans="1:22" hidden="1">
      <c r="A13" s="25">
        <v>3</v>
      </c>
      <c r="B13" s="7">
        <v>1998</v>
      </c>
      <c r="C13" s="8">
        <f>'All country'!C13-'Penitentiary sector'!C13</f>
        <v>534</v>
      </c>
      <c r="D13" s="3">
        <f>'All country'!D13-'Penitentiary sector'!D13</f>
        <v>1944</v>
      </c>
      <c r="E13" s="27">
        <f>'All country'!E13-'Penitentiary sector'!E13</f>
        <v>363</v>
      </c>
      <c r="F13" s="27">
        <f>'All country'!F13-'Penitentiary sector'!F13</f>
        <v>1615</v>
      </c>
      <c r="G13" s="28">
        <f t="shared" si="0"/>
        <v>4456</v>
      </c>
      <c r="H13" s="8">
        <f>'All country'!H13-'Penitentiary sector'!H13</f>
        <v>381</v>
      </c>
      <c r="I13" s="3">
        <f>'All country'!I13-'Penitentiary sector'!I13</f>
        <v>1732</v>
      </c>
      <c r="J13" s="27">
        <f>'All country'!J13-'Penitentiary sector'!J13</f>
        <v>0</v>
      </c>
      <c r="K13" s="27">
        <f>'All country'!K13-'Penitentiary sector'!K13</f>
        <v>126</v>
      </c>
      <c r="L13" s="6">
        <f t="shared" si="1"/>
        <v>2239</v>
      </c>
      <c r="M13" s="9">
        <f t="shared" si="2"/>
        <v>6695</v>
      </c>
      <c r="N13" s="4"/>
      <c r="O13" s="4"/>
    </row>
    <row r="14" spans="1:22" hidden="1">
      <c r="A14" s="25">
        <v>4</v>
      </c>
      <c r="B14" s="7">
        <v>1999</v>
      </c>
      <c r="C14" s="8">
        <f>'All country'!C14-'Penitentiary sector'!C14</f>
        <v>570</v>
      </c>
      <c r="D14" s="3">
        <f>'All country'!D14-'Penitentiary sector'!D14</f>
        <v>1798</v>
      </c>
      <c r="E14" s="27">
        <f>'All country'!E14-'Penitentiary sector'!E14</f>
        <v>321</v>
      </c>
      <c r="F14" s="27">
        <f>'All country'!F14-'Penitentiary sector'!F14</f>
        <v>1613</v>
      </c>
      <c r="G14" s="28">
        <f t="shared" si="0"/>
        <v>4302</v>
      </c>
      <c r="H14" s="8">
        <f>'All country'!H14-'Penitentiary sector'!H14</f>
        <v>473</v>
      </c>
      <c r="I14" s="3">
        <f>'All country'!I14-'Penitentiary sector'!I14</f>
        <v>1147</v>
      </c>
      <c r="J14" s="27">
        <f>'All country'!J14-'Penitentiary sector'!J14</f>
        <v>162</v>
      </c>
      <c r="K14" s="27">
        <f>'All country'!K14-'Penitentiary sector'!K14</f>
        <v>106</v>
      </c>
      <c r="L14" s="6">
        <f t="shared" si="1"/>
        <v>1888</v>
      </c>
      <c r="M14" s="9">
        <f t="shared" si="2"/>
        <v>6190</v>
      </c>
      <c r="N14" s="4"/>
      <c r="O14" s="4"/>
    </row>
    <row r="15" spans="1:22" hidden="1">
      <c r="A15" s="25">
        <v>5</v>
      </c>
      <c r="B15" s="7">
        <v>2000</v>
      </c>
      <c r="C15" s="8">
        <f>'All country'!C15-'Penitentiary sector'!C15</f>
        <v>601</v>
      </c>
      <c r="D15" s="3">
        <f>'All country'!D15-'Penitentiary sector'!D15</f>
        <v>1896</v>
      </c>
      <c r="E15" s="27">
        <f>'All country'!E15-'Penitentiary sector'!E15</f>
        <v>317</v>
      </c>
      <c r="F15" s="27">
        <f>'All country'!F15-'Penitentiary sector'!F15</f>
        <v>1324</v>
      </c>
      <c r="G15" s="28">
        <f t="shared" si="0"/>
        <v>4138</v>
      </c>
      <c r="H15" s="8">
        <f>'All country'!H15-'Penitentiary sector'!H15</f>
        <v>470</v>
      </c>
      <c r="I15" s="3">
        <f>'All country'!I15-'Penitentiary sector'!I15</f>
        <v>944</v>
      </c>
      <c r="J15" s="27">
        <f>'All country'!J15-'Penitentiary sector'!J15</f>
        <v>207</v>
      </c>
      <c r="K15" s="27">
        <f>'All country'!K15-'Penitentiary sector'!K15</f>
        <v>149</v>
      </c>
      <c r="L15" s="6">
        <f t="shared" si="1"/>
        <v>1770</v>
      </c>
      <c r="M15" s="9">
        <f t="shared" si="2"/>
        <v>5908</v>
      </c>
      <c r="N15" s="4"/>
      <c r="O15" s="4"/>
    </row>
    <row r="16" spans="1:22" hidden="1">
      <c r="A16" s="25">
        <v>6</v>
      </c>
      <c r="B16" s="7">
        <v>2001</v>
      </c>
      <c r="C16" s="8">
        <f>'All country'!C16-'Penitentiary sector'!C16</f>
        <v>807</v>
      </c>
      <c r="D16" s="3">
        <f>'All country'!D16-'Penitentiary sector'!D16</f>
        <v>1511</v>
      </c>
      <c r="E16" s="27">
        <f>'All country'!E16-'Penitentiary sector'!E16</f>
        <v>234</v>
      </c>
      <c r="F16" s="27">
        <f>'All country'!F16-'Penitentiary sector'!F16</f>
        <v>1098</v>
      </c>
      <c r="G16" s="28">
        <f t="shared" si="0"/>
        <v>3650</v>
      </c>
      <c r="H16" s="8">
        <f>'All country'!H16-'Penitentiary sector'!H16</f>
        <v>561</v>
      </c>
      <c r="I16" s="3">
        <f>'All country'!I16-'Penitentiary sector'!I16</f>
        <v>1014</v>
      </c>
      <c r="J16" s="27">
        <f>'All country'!J16-'Penitentiary sector'!J16</f>
        <v>152</v>
      </c>
      <c r="K16" s="27">
        <f>'All country'!K16-'Penitentiary sector'!K16</f>
        <v>70</v>
      </c>
      <c r="L16" s="6">
        <f t="shared" si="1"/>
        <v>1797</v>
      </c>
      <c r="M16" s="9">
        <f t="shared" si="2"/>
        <v>5447</v>
      </c>
      <c r="N16" s="4"/>
      <c r="O16" s="4"/>
    </row>
    <row r="17" spans="1:15" hidden="1">
      <c r="A17" s="25">
        <v>7</v>
      </c>
      <c r="B17" s="7">
        <v>2002</v>
      </c>
      <c r="C17" s="8">
        <f>'All country'!C17-'Penitentiary sector'!C17</f>
        <v>869</v>
      </c>
      <c r="D17" s="3">
        <f>'All country'!D17-'Penitentiary sector'!D17</f>
        <v>1780</v>
      </c>
      <c r="E17" s="27">
        <f>'All country'!E17-'Penitentiary sector'!E17</f>
        <v>264</v>
      </c>
      <c r="F17" s="27">
        <f>'All country'!F17-'Penitentiary sector'!F17</f>
        <v>1251</v>
      </c>
      <c r="G17" s="28">
        <f t="shared" si="0"/>
        <v>4164</v>
      </c>
      <c r="H17" s="8">
        <f>'All country'!H17-'Penitentiary sector'!H17</f>
        <v>580</v>
      </c>
      <c r="I17" s="3">
        <f>'All country'!I17-'Penitentiary sector'!I17</f>
        <v>974</v>
      </c>
      <c r="J17" s="27">
        <f>'All country'!J17-'Penitentiary sector'!J17</f>
        <v>124</v>
      </c>
      <c r="K17" s="27">
        <f>'All country'!K17-'Penitentiary sector'!K17</f>
        <v>82</v>
      </c>
      <c r="L17" s="6">
        <f t="shared" si="1"/>
        <v>1760</v>
      </c>
      <c r="M17" s="9">
        <f t="shared" si="2"/>
        <v>5924</v>
      </c>
      <c r="N17" s="4"/>
      <c r="O17" s="4"/>
    </row>
    <row r="18" spans="1:15" hidden="1">
      <c r="A18" s="25">
        <v>8</v>
      </c>
      <c r="B18" s="7">
        <v>2003</v>
      </c>
      <c r="C18" s="8">
        <f>'All country'!C18-'Penitentiary sector'!C18</f>
        <v>928</v>
      </c>
      <c r="D18" s="3">
        <f>'All country'!D18-'Penitentiary sector'!D18</f>
        <v>1542</v>
      </c>
      <c r="E18" s="27">
        <f>'All country'!E18-'Penitentiary sector'!E18</f>
        <v>274</v>
      </c>
      <c r="F18" s="27">
        <f>'All country'!F18-'Penitentiary sector'!F18</f>
        <v>1206</v>
      </c>
      <c r="G18" s="28">
        <f t="shared" si="0"/>
        <v>3950</v>
      </c>
      <c r="H18" s="8">
        <f>'All country'!H18-'Penitentiary sector'!H18</f>
        <v>643</v>
      </c>
      <c r="I18" s="3">
        <f>'All country'!I18-'Penitentiary sector'!I18</f>
        <v>905</v>
      </c>
      <c r="J18" s="27">
        <f>'All country'!J18-'Penitentiary sector'!J18</f>
        <v>124</v>
      </c>
      <c r="K18" s="27">
        <f>'All country'!K18-'Penitentiary sector'!K18</f>
        <v>63</v>
      </c>
      <c r="L18" s="6">
        <f t="shared" si="1"/>
        <v>1735</v>
      </c>
      <c r="M18" s="9">
        <f t="shared" si="2"/>
        <v>5685</v>
      </c>
      <c r="N18" s="4"/>
      <c r="O18" s="4"/>
    </row>
    <row r="19" spans="1:15" hidden="1">
      <c r="A19" s="25">
        <v>9</v>
      </c>
      <c r="B19" s="7">
        <v>2004</v>
      </c>
      <c r="C19" s="8">
        <f>'All country'!C19-'Penitentiary sector'!C19</f>
        <v>1198</v>
      </c>
      <c r="D19" s="3">
        <f>'All country'!D19-'Penitentiary sector'!D19</f>
        <v>1287</v>
      </c>
      <c r="E19" s="27">
        <f>'All country'!E19-'Penitentiary sector'!E19</f>
        <v>170</v>
      </c>
      <c r="F19" s="27">
        <f>'All country'!F19-'Penitentiary sector'!F19</f>
        <v>1024</v>
      </c>
      <c r="G19" s="28">
        <f t="shared" si="0"/>
        <v>3679</v>
      </c>
      <c r="H19" s="8">
        <f>'All country'!H19-'Penitentiary sector'!H19</f>
        <v>831</v>
      </c>
      <c r="I19" s="3">
        <f>'All country'!I19-'Penitentiary sector'!I19</f>
        <v>845</v>
      </c>
      <c r="J19" s="27">
        <f>'All country'!J19-'Penitentiary sector'!J19</f>
        <v>94</v>
      </c>
      <c r="K19" s="27">
        <f>'All country'!K19-'Penitentiary sector'!K19</f>
        <v>93</v>
      </c>
      <c r="L19" s="6">
        <f t="shared" si="1"/>
        <v>1863</v>
      </c>
      <c r="M19" s="9">
        <f t="shared" si="2"/>
        <v>5542</v>
      </c>
      <c r="N19" s="4"/>
      <c r="O19" s="4"/>
    </row>
    <row r="20" spans="1:15" hidden="1">
      <c r="A20" s="25">
        <v>10</v>
      </c>
      <c r="B20" s="7">
        <v>2005</v>
      </c>
      <c r="C20" s="8">
        <f>'All country'!C20-'Penitentiary sector'!C20</f>
        <v>1317</v>
      </c>
      <c r="D20" s="3">
        <f>'All country'!D20-'Penitentiary sector'!D20</f>
        <v>1372</v>
      </c>
      <c r="E20" s="27">
        <f>'All country'!E20-'Penitentiary sector'!E20</f>
        <v>112</v>
      </c>
      <c r="F20" s="5">
        <f>'All country'!F20-'Penitentiary sector'!F20</f>
        <v>1216</v>
      </c>
      <c r="G20" s="28">
        <f t="shared" si="0"/>
        <v>4017</v>
      </c>
      <c r="H20" s="8">
        <f>'All country'!H20-'Penitentiary sector'!H20</f>
        <v>985</v>
      </c>
      <c r="I20" s="3">
        <f>'All country'!I20-'Penitentiary sector'!I20</f>
        <v>921</v>
      </c>
      <c r="J20" s="27">
        <f>'All country'!J20-'Penitentiary sector'!J20</f>
        <v>28</v>
      </c>
      <c r="K20" s="5">
        <f>'All country'!K20-'Penitentiary sector'!K20</f>
        <v>121</v>
      </c>
      <c r="L20" s="6">
        <f t="shared" si="1"/>
        <v>2055</v>
      </c>
      <c r="M20" s="9">
        <f t="shared" si="2"/>
        <v>6072</v>
      </c>
      <c r="N20" s="4"/>
      <c r="O20" s="4"/>
    </row>
    <row r="21" spans="1:15" hidden="1">
      <c r="A21" s="25">
        <v>11</v>
      </c>
      <c r="B21" s="7">
        <v>2006</v>
      </c>
      <c r="C21" s="8">
        <f>'All country'!C21-'Penitentiary sector'!C21</f>
        <v>1509</v>
      </c>
      <c r="D21" s="3">
        <f>'All country'!D21-'Penitentiary sector'!D21</f>
        <v>1086</v>
      </c>
      <c r="E21" s="27">
        <f>'All country'!E21-'Penitentiary sector'!E21</f>
        <v>96</v>
      </c>
      <c r="F21" s="27">
        <f>'All country'!F21-'Penitentiary sector'!F21</f>
        <v>1209</v>
      </c>
      <c r="G21" s="28">
        <f t="shared" si="0"/>
        <v>3900</v>
      </c>
      <c r="H21" s="8">
        <f>'All country'!H21-'Penitentiary sector'!H21</f>
        <v>993</v>
      </c>
      <c r="I21" s="3">
        <f>'All country'!I21-'Penitentiary sector'!I21</f>
        <v>653</v>
      </c>
      <c r="J21" s="27">
        <f>'All country'!J21-'Penitentiary sector'!J21</f>
        <v>52</v>
      </c>
      <c r="K21" s="27">
        <f>'All country'!K21-'Penitentiary sector'!K21</f>
        <v>114</v>
      </c>
      <c r="L21" s="6">
        <f t="shared" si="1"/>
        <v>1812</v>
      </c>
      <c r="M21" s="9">
        <f t="shared" si="2"/>
        <v>5712</v>
      </c>
      <c r="N21" s="4"/>
      <c r="O21" s="4"/>
    </row>
    <row r="22" spans="1:15" hidden="1">
      <c r="A22" s="25">
        <v>12</v>
      </c>
      <c r="B22" s="7">
        <v>2007</v>
      </c>
      <c r="C22" s="8">
        <f>'All country'!C22-'Penitentiary sector'!C22</f>
        <v>1579</v>
      </c>
      <c r="D22" s="3">
        <f>'All country'!D22-'Penitentiary sector'!D22</f>
        <v>843</v>
      </c>
      <c r="E22" s="27">
        <f>'All country'!E22-'Penitentiary sector'!E22</f>
        <v>72</v>
      </c>
      <c r="F22" s="5">
        <f>'All country'!F22-'Penitentiary sector'!F22</f>
        <v>1177</v>
      </c>
      <c r="G22" s="28">
        <f t="shared" si="0"/>
        <v>3671</v>
      </c>
      <c r="H22" s="8">
        <f>'All country'!H22-'Penitentiary sector'!H22</f>
        <v>943</v>
      </c>
      <c r="I22" s="3">
        <f>'All country'!I22-'Penitentiary sector'!I22</f>
        <v>501</v>
      </c>
      <c r="J22" s="27">
        <f>'All country'!J22-'Penitentiary sector'!J22</f>
        <v>31</v>
      </c>
      <c r="K22" s="27">
        <f>'All country'!K22-'Penitentiary sector'!K22</f>
        <v>115</v>
      </c>
      <c r="L22" s="6">
        <f t="shared" si="1"/>
        <v>1590</v>
      </c>
      <c r="M22" s="9">
        <f t="shared" si="2"/>
        <v>5261</v>
      </c>
      <c r="N22" s="4"/>
      <c r="O22" s="4"/>
    </row>
    <row r="23" spans="1:15" hidden="1">
      <c r="A23" s="25">
        <v>13</v>
      </c>
      <c r="B23" s="7">
        <v>2008</v>
      </c>
      <c r="C23" s="8">
        <f>'All country'!C23-'Penitentiary sector'!C23</f>
        <v>1601</v>
      </c>
      <c r="D23" s="3">
        <f>'All country'!D23-'Penitentiary sector'!D23</f>
        <v>955</v>
      </c>
      <c r="E23" s="27">
        <f>'All country'!E23-'Penitentiary sector'!E23</f>
        <v>59</v>
      </c>
      <c r="F23" s="27">
        <f>'All country'!F23-'Penitentiary sector'!F23</f>
        <v>1158</v>
      </c>
      <c r="G23" s="28">
        <f t="shared" si="0"/>
        <v>3773</v>
      </c>
      <c r="H23" s="8">
        <f>'All country'!H23-'Penitentiary sector'!H23</f>
        <v>813</v>
      </c>
      <c r="I23" s="3">
        <f>'All country'!I23-'Penitentiary sector'!I23</f>
        <v>500</v>
      </c>
      <c r="J23" s="27">
        <f>'All country'!J23-'Penitentiary sector'!J23</f>
        <v>15</v>
      </c>
      <c r="K23" s="27">
        <f>'All country'!K23-'Penitentiary sector'!K23</f>
        <v>120</v>
      </c>
      <c r="L23" s="6">
        <f t="shared" si="1"/>
        <v>1448</v>
      </c>
      <c r="M23" s="9">
        <f t="shared" si="2"/>
        <v>5221</v>
      </c>
      <c r="N23" s="4"/>
      <c r="O23" s="4"/>
    </row>
    <row r="24" spans="1:15" hidden="1">
      <c r="A24" s="25">
        <v>14</v>
      </c>
      <c r="B24" s="7">
        <v>2009</v>
      </c>
      <c r="C24" s="8">
        <f>'All country'!C24-'Penitentiary sector'!C24</f>
        <v>1682</v>
      </c>
      <c r="D24" s="3">
        <f>'All country'!D24-'Penitentiary sector'!D24</f>
        <v>967</v>
      </c>
      <c r="E24" s="27">
        <f>'All country'!E24-'Penitentiary sector'!E24</f>
        <v>61</v>
      </c>
      <c r="F24" s="27">
        <f>'All country'!F24-'Penitentiary sector'!F24</f>
        <v>1135</v>
      </c>
      <c r="G24" s="28">
        <f t="shared" si="0"/>
        <v>3845</v>
      </c>
      <c r="H24" s="8">
        <f>'All country'!H24-'Penitentiary sector'!H24</f>
        <v>621</v>
      </c>
      <c r="I24" s="3">
        <f>'All country'!I24-'Penitentiary sector'!I24</f>
        <v>453</v>
      </c>
      <c r="J24" s="27">
        <f>'All country'!J24-'Penitentiary sector'!J24</f>
        <v>30</v>
      </c>
      <c r="K24" s="27">
        <f>'All country'!K24-'Penitentiary sector'!K24</f>
        <v>88</v>
      </c>
      <c r="L24" s="6">
        <f t="shared" si="1"/>
        <v>1192</v>
      </c>
      <c r="M24" s="9">
        <f t="shared" si="2"/>
        <v>5037</v>
      </c>
      <c r="N24" s="4"/>
      <c r="O24" s="4"/>
    </row>
    <row r="25" spans="1:15" hidden="1">
      <c r="A25" s="25">
        <v>15</v>
      </c>
      <c r="B25" s="7">
        <v>2010</v>
      </c>
      <c r="C25" s="8">
        <f>'All country'!C25-'Penitentiary sector'!C25</f>
        <v>1600</v>
      </c>
      <c r="D25" s="3">
        <f>'All country'!D25-'Penitentiary sector'!D25</f>
        <v>876</v>
      </c>
      <c r="E25" s="27">
        <f>'All country'!E25-'Penitentiary sector'!E25</f>
        <v>50</v>
      </c>
      <c r="F25" s="27">
        <f>'All country'!F25-'Penitentiary sector'!F25</f>
        <v>964</v>
      </c>
      <c r="G25" s="28">
        <f t="shared" si="0"/>
        <v>3490</v>
      </c>
      <c r="H25" s="8">
        <f>'All country'!H25-'Penitentiary sector'!H25</f>
        <v>509</v>
      </c>
      <c r="I25" s="3">
        <f>'All country'!I25-'Penitentiary sector'!I25</f>
        <v>416</v>
      </c>
      <c r="J25" s="27">
        <f>'All country'!J25-'Penitentiary sector'!J25</f>
        <v>15</v>
      </c>
      <c r="K25" s="27">
        <f>'All country'!K25-'Penitentiary sector'!K25</f>
        <v>89</v>
      </c>
      <c r="L25" s="6">
        <f t="shared" si="1"/>
        <v>1029</v>
      </c>
      <c r="M25" s="9">
        <f t="shared" si="2"/>
        <v>4519</v>
      </c>
      <c r="N25" s="4"/>
      <c r="O25" s="4"/>
    </row>
    <row r="26" spans="1:15" hidden="1">
      <c r="A26" s="25">
        <v>16</v>
      </c>
      <c r="B26" s="7">
        <v>2011</v>
      </c>
      <c r="C26" s="8">
        <f>'All country'!C26-'Penitentiary sector'!C26</f>
        <v>1552</v>
      </c>
      <c r="D26" s="3">
        <f>'All country'!D26-'Penitentiary sector'!D26</f>
        <v>925</v>
      </c>
      <c r="E26" s="27">
        <f>'All country'!E26-'Penitentiary sector'!E26</f>
        <v>46</v>
      </c>
      <c r="F26" s="27">
        <f>'All country'!F26-'Penitentiary sector'!F26</f>
        <v>903</v>
      </c>
      <c r="G26" s="28">
        <f t="shared" si="0"/>
        <v>3426</v>
      </c>
      <c r="H26" s="8">
        <f>'All country'!H26-'Penitentiary sector'!H26</f>
        <v>502</v>
      </c>
      <c r="I26" s="3">
        <f>'All country'!I26-'Penitentiary sector'!I26</f>
        <v>341</v>
      </c>
      <c r="J26" s="27">
        <f>'All country'!J26-'Penitentiary sector'!J26</f>
        <v>9</v>
      </c>
      <c r="K26" s="27">
        <f>'All country'!K26-'Penitentiary sector'!K26</f>
        <v>86</v>
      </c>
      <c r="L26" s="6">
        <f t="shared" si="1"/>
        <v>938</v>
      </c>
      <c r="M26" s="9">
        <f t="shared" si="2"/>
        <v>4364</v>
      </c>
      <c r="N26" s="4"/>
      <c r="O26" s="4"/>
    </row>
    <row r="27" spans="1:15" hidden="1">
      <c r="A27" s="25">
        <v>17</v>
      </c>
      <c r="B27" s="7">
        <v>2012</v>
      </c>
      <c r="C27" s="8">
        <f>'All country'!C27-'Penitentiary sector'!C27</f>
        <v>1453</v>
      </c>
      <c r="D27" s="3">
        <f>'All country'!D27-'Penitentiary sector'!D27</f>
        <v>975</v>
      </c>
      <c r="E27" s="27">
        <f>'All country'!E27-'Penitentiary sector'!E27</f>
        <v>47</v>
      </c>
      <c r="F27" s="27">
        <f>'All country'!F27-'Penitentiary sector'!F27</f>
        <v>847</v>
      </c>
      <c r="G27" s="28">
        <f t="shared" si="0"/>
        <v>3322</v>
      </c>
      <c r="H27" s="8">
        <f>'All country'!H27-'Penitentiary sector'!H27</f>
        <v>506</v>
      </c>
      <c r="I27" s="3">
        <f>'All country'!I27-'Penitentiary sector'!I27</f>
        <v>361</v>
      </c>
      <c r="J27" s="27">
        <f>'All country'!J27-'Penitentiary sector'!J27</f>
        <v>7</v>
      </c>
      <c r="K27" s="27">
        <f>'All country'!K27-'Penitentiary sector'!K27</f>
        <v>105</v>
      </c>
      <c r="L27" s="6">
        <f t="shared" si="1"/>
        <v>979</v>
      </c>
      <c r="M27" s="9">
        <f t="shared" si="2"/>
        <v>4301</v>
      </c>
      <c r="N27" s="4"/>
      <c r="O27" s="4"/>
    </row>
    <row r="28" spans="1:15" hidden="1">
      <c r="A28" s="25">
        <v>18</v>
      </c>
      <c r="B28" s="7">
        <v>2013</v>
      </c>
      <c r="C28" s="8">
        <f>'All country'!C28-'Penitentiary sector'!C28</f>
        <v>1289</v>
      </c>
      <c r="D28" s="3">
        <f>'All country'!D28-'Penitentiary sector'!D28</f>
        <v>1006</v>
      </c>
      <c r="E28" s="27">
        <f>'All country'!E28-'Penitentiary sector'!E28</f>
        <v>38</v>
      </c>
      <c r="F28" s="27">
        <f>'All country'!F28-'Penitentiary sector'!F28</f>
        <v>701</v>
      </c>
      <c r="G28" s="28">
        <f t="shared" si="0"/>
        <v>3034</v>
      </c>
      <c r="H28" s="8">
        <f>'All country'!H28-'Penitentiary sector'!H28</f>
        <v>528</v>
      </c>
      <c r="I28" s="3">
        <f>'All country'!I28-'Penitentiary sector'!I28</f>
        <v>438</v>
      </c>
      <c r="J28" s="27">
        <f>'All country'!J28-'Penitentiary sector'!J28</f>
        <v>4</v>
      </c>
      <c r="K28" s="27">
        <f>'All country'!K28-'Penitentiary sector'!K28</f>
        <v>88</v>
      </c>
      <c r="L28" s="6">
        <f t="shared" si="1"/>
        <v>1058</v>
      </c>
      <c r="M28" s="9">
        <f t="shared" si="2"/>
        <v>4092</v>
      </c>
      <c r="N28" s="4"/>
      <c r="O28" s="96"/>
    </row>
    <row r="29" spans="1:15">
      <c r="A29" s="25">
        <v>19</v>
      </c>
      <c r="B29" s="97">
        <v>2014</v>
      </c>
      <c r="C29" s="8">
        <f>'All country'!C29-'Penitentiary sector'!C29</f>
        <v>1120</v>
      </c>
      <c r="D29" s="3">
        <f>'All country'!D29-'Penitentiary sector'!D29</f>
        <v>934</v>
      </c>
      <c r="E29" s="27">
        <f>'All country'!E29-'Penitentiary sector'!E29</f>
        <v>39</v>
      </c>
      <c r="F29" s="27">
        <f>'All country'!F29-'Penitentiary sector'!F29</f>
        <v>648</v>
      </c>
      <c r="G29" s="28">
        <f t="shared" si="0"/>
        <v>2741</v>
      </c>
      <c r="H29" s="8">
        <f>'All country'!H29-'Penitentiary sector'!H29</f>
        <v>450</v>
      </c>
      <c r="I29" s="3">
        <f>'All country'!I29-'Penitentiary sector'!I29</f>
        <v>411</v>
      </c>
      <c r="J29" s="27">
        <f>'All country'!J29-'Penitentiary sector'!J29</f>
        <v>14</v>
      </c>
      <c r="K29" s="27">
        <f>'All country'!K29-'Penitentiary sector'!K29</f>
        <v>89</v>
      </c>
      <c r="L29" s="6">
        <f t="shared" si="1"/>
        <v>964</v>
      </c>
      <c r="M29" s="9">
        <f t="shared" si="2"/>
        <v>3705</v>
      </c>
    </row>
    <row r="30" spans="1:15">
      <c r="A30" s="25">
        <v>20</v>
      </c>
      <c r="B30" s="1095">
        <v>2015</v>
      </c>
      <c r="C30" s="8">
        <f>'All country'!C30-'Penitentiary sector'!C30</f>
        <v>869</v>
      </c>
      <c r="D30" s="3">
        <f>'All country'!D30-'Penitentiary sector'!D30</f>
        <v>1058</v>
      </c>
      <c r="E30" s="27">
        <f>'All country'!E30-'Penitentiary sector'!E30</f>
        <v>39</v>
      </c>
      <c r="F30" s="27">
        <f>'All country'!F30-'Penitentiary sector'!F30</f>
        <v>606</v>
      </c>
      <c r="G30" s="28">
        <f t="shared" si="0"/>
        <v>2572</v>
      </c>
      <c r="H30" s="8">
        <f>'All country'!H30-'Penitentiary sector'!H30</f>
        <v>377</v>
      </c>
      <c r="I30" s="3">
        <f>'All country'!I30-'Penitentiary sector'!I30</f>
        <v>464</v>
      </c>
      <c r="J30" s="27">
        <f>'All country'!J30-'Penitentiary sector'!J30</f>
        <v>11</v>
      </c>
      <c r="K30" s="27">
        <f>'All country'!K30-'Penitentiary sector'!K30</f>
        <v>72</v>
      </c>
      <c r="L30" s="6">
        <f t="shared" si="1"/>
        <v>924</v>
      </c>
      <c r="M30" s="9">
        <f t="shared" si="2"/>
        <v>3496</v>
      </c>
    </row>
    <row r="31" spans="1:15">
      <c r="A31" s="25">
        <v>21</v>
      </c>
      <c r="B31" s="1095">
        <v>2016</v>
      </c>
      <c r="C31" s="8">
        <f>'All country'!C31-'Penitentiary sector'!C31</f>
        <v>817</v>
      </c>
      <c r="D31" s="3">
        <f>'All country'!D31-'Penitentiary sector'!D31</f>
        <v>1008</v>
      </c>
      <c r="E31" s="27">
        <f>'All country'!E31-'Penitentiary sector'!E31</f>
        <v>40</v>
      </c>
      <c r="F31" s="27">
        <f>'All country'!F31-'Penitentiary sector'!F31</f>
        <v>556</v>
      </c>
      <c r="G31" s="28">
        <f t="shared" si="0"/>
        <v>2421</v>
      </c>
      <c r="H31" s="8">
        <f>'All country'!H31-'Penitentiary sector'!H31</f>
        <v>346</v>
      </c>
      <c r="I31" s="3">
        <f>'All country'!I31-'Penitentiary sector'!I31</f>
        <v>417</v>
      </c>
      <c r="J31" s="27">
        <f>'All country'!J31-'Penitentiary sector'!J31</f>
        <v>7</v>
      </c>
      <c r="K31" s="27">
        <f>'All country'!K31-'Penitentiary sector'!K31</f>
        <v>57</v>
      </c>
      <c r="L31" s="6">
        <f t="shared" si="1"/>
        <v>827</v>
      </c>
      <c r="M31" s="9">
        <f t="shared" si="2"/>
        <v>3248</v>
      </c>
    </row>
    <row r="32" spans="1:15">
      <c r="A32" s="25">
        <v>22</v>
      </c>
      <c r="B32" s="102">
        <v>2017</v>
      </c>
      <c r="C32" s="103">
        <f>Q42</f>
        <v>742</v>
      </c>
      <c r="D32" s="104">
        <f>Q43</f>
        <v>984</v>
      </c>
      <c r="E32" s="27"/>
      <c r="F32" s="104">
        <f>Q44</f>
        <v>501</v>
      </c>
      <c r="G32" s="105">
        <f t="shared" si="0"/>
        <v>2227</v>
      </c>
      <c r="H32" s="103">
        <f>Q47</f>
        <v>308</v>
      </c>
      <c r="I32" s="104">
        <f>Q48</f>
        <v>391</v>
      </c>
      <c r="J32" s="104"/>
      <c r="K32" s="104">
        <f>Q49</f>
        <v>45</v>
      </c>
      <c r="L32" s="105">
        <f t="shared" si="1"/>
        <v>744</v>
      </c>
      <c r="M32" s="106">
        <f t="shared" si="2"/>
        <v>2971</v>
      </c>
    </row>
    <row r="33" spans="1:24">
      <c r="A33" s="25">
        <v>23</v>
      </c>
      <c r="B33" s="1053">
        <v>2018</v>
      </c>
      <c r="C33" s="1054">
        <f>R42</f>
        <v>707</v>
      </c>
      <c r="D33" s="1054">
        <f>R43</f>
        <v>937</v>
      </c>
      <c r="E33" s="27"/>
      <c r="F33" s="1054">
        <f>R44</f>
        <v>472</v>
      </c>
      <c r="G33" s="1055">
        <f t="shared" si="0"/>
        <v>2116</v>
      </c>
      <c r="H33" s="1054">
        <f>R47</f>
        <v>294</v>
      </c>
      <c r="I33" s="1054">
        <f>R48</f>
        <v>374</v>
      </c>
      <c r="J33" s="1054"/>
      <c r="K33" s="1054">
        <f>R49</f>
        <v>43</v>
      </c>
      <c r="L33" s="1055">
        <f t="shared" si="1"/>
        <v>711</v>
      </c>
      <c r="M33" s="1055">
        <f t="shared" si="2"/>
        <v>2827</v>
      </c>
    </row>
    <row r="34" spans="1:24">
      <c r="A34" s="25">
        <v>24</v>
      </c>
      <c r="B34" s="1053">
        <v>2019</v>
      </c>
      <c r="C34" s="1054">
        <f>S42</f>
        <v>664</v>
      </c>
      <c r="D34" s="1054">
        <f>S43</f>
        <v>918</v>
      </c>
      <c r="E34" s="27"/>
      <c r="F34" s="1054">
        <f>S44</f>
        <v>449</v>
      </c>
      <c r="G34" s="1055">
        <f t="shared" si="0"/>
        <v>2031</v>
      </c>
      <c r="H34" s="1054">
        <f>S47</f>
        <v>284</v>
      </c>
      <c r="I34" s="1054">
        <f>S48</f>
        <v>361</v>
      </c>
      <c r="J34" s="1054"/>
      <c r="K34" s="1054">
        <f>S49</f>
        <v>38</v>
      </c>
      <c r="L34" s="1055">
        <f t="shared" si="1"/>
        <v>683</v>
      </c>
      <c r="M34" s="1055">
        <f t="shared" si="2"/>
        <v>2714</v>
      </c>
    </row>
    <row r="35" spans="1:24">
      <c r="A35" s="25">
        <v>25</v>
      </c>
      <c r="B35" s="1053">
        <v>2020</v>
      </c>
      <c r="C35" s="1054">
        <f>T42</f>
        <v>612</v>
      </c>
      <c r="D35" s="1054">
        <f>T43</f>
        <v>917</v>
      </c>
      <c r="E35" s="27"/>
      <c r="F35" s="1054">
        <f>T44</f>
        <v>431</v>
      </c>
      <c r="G35" s="1055">
        <f t="shared" si="0"/>
        <v>1960</v>
      </c>
      <c r="H35" s="1054">
        <f>T47</f>
        <v>275</v>
      </c>
      <c r="I35" s="1054">
        <f>T48</f>
        <v>351</v>
      </c>
      <c r="J35" s="1054"/>
      <c r="K35" s="1054">
        <f>T49</f>
        <v>33</v>
      </c>
      <c r="L35" s="1055">
        <f t="shared" si="1"/>
        <v>659</v>
      </c>
      <c r="M35" s="1055">
        <f t="shared" si="2"/>
        <v>2619</v>
      </c>
    </row>
    <row r="36" spans="1:24">
      <c r="A36" s="25">
        <v>26</v>
      </c>
      <c r="B36" s="1053">
        <v>2021</v>
      </c>
      <c r="C36" s="1054">
        <f>U42</f>
        <v>593</v>
      </c>
      <c r="D36" s="1054">
        <f>U43</f>
        <v>890</v>
      </c>
      <c r="E36" s="27"/>
      <c r="F36" s="1054">
        <f>U44</f>
        <v>418</v>
      </c>
      <c r="G36" s="1055">
        <f t="shared" si="0"/>
        <v>1901</v>
      </c>
      <c r="H36" s="1054">
        <f>U47</f>
        <v>268</v>
      </c>
      <c r="I36" s="1054">
        <f>U48</f>
        <v>342</v>
      </c>
      <c r="J36" s="1054"/>
      <c r="K36" s="1054">
        <f>U49</f>
        <v>29</v>
      </c>
      <c r="L36" s="1055">
        <f t="shared" si="1"/>
        <v>639</v>
      </c>
      <c r="M36" s="1055">
        <f t="shared" si="2"/>
        <v>2540</v>
      </c>
      <c r="O36" s="1">
        <f>N42/N45</f>
        <v>0.40860999635169648</v>
      </c>
      <c r="P36" s="1">
        <f>O42/O45</f>
        <v>0.33786936236391912</v>
      </c>
    </row>
    <row r="37" spans="1:24">
      <c r="A37" s="25">
        <v>27</v>
      </c>
      <c r="B37" s="1053">
        <v>2022</v>
      </c>
      <c r="C37" s="1054">
        <f>V42</f>
        <v>578</v>
      </c>
      <c r="D37" s="1054">
        <f>V43</f>
        <v>867</v>
      </c>
      <c r="E37" s="27"/>
      <c r="F37" s="1054">
        <f>V44</f>
        <v>408</v>
      </c>
      <c r="G37" s="1055">
        <f t="shared" si="0"/>
        <v>1853</v>
      </c>
      <c r="H37" s="1054">
        <f>V47</f>
        <v>263</v>
      </c>
      <c r="I37" s="1054">
        <f>V48</f>
        <v>335</v>
      </c>
      <c r="J37" s="1054"/>
      <c r="K37" s="1054">
        <f>V49</f>
        <v>25</v>
      </c>
      <c r="L37" s="1055">
        <f t="shared" si="1"/>
        <v>623</v>
      </c>
      <c r="M37" s="1055">
        <f t="shared" si="2"/>
        <v>2476</v>
      </c>
    </row>
    <row r="39" spans="1:24">
      <c r="B39" s="24" t="s">
        <v>43</v>
      </c>
      <c r="C39" s="22" t="str">
        <f>'Penitentiary sector'!C39</f>
        <v>CASE NOTIFICATIONS BY CATEGORY, 2005-2014,  and forecast until 2020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</row>
    <row r="41" spans="1:24">
      <c r="E41" s="20">
        <v>2005</v>
      </c>
      <c r="F41" s="20">
        <v>2006</v>
      </c>
      <c r="G41" s="20">
        <v>2007</v>
      </c>
      <c r="H41" s="20">
        <v>2008</v>
      </c>
      <c r="I41" s="20">
        <v>2009</v>
      </c>
      <c r="J41" s="20">
        <v>2010</v>
      </c>
      <c r="K41" s="20">
        <v>2011</v>
      </c>
      <c r="L41" s="20">
        <v>2012</v>
      </c>
      <c r="M41" s="20">
        <v>2013</v>
      </c>
      <c r="N41" s="20">
        <v>2014</v>
      </c>
      <c r="O41" s="20">
        <v>2015</v>
      </c>
      <c r="P41" s="20">
        <v>2016</v>
      </c>
      <c r="Q41" s="20">
        <v>2017</v>
      </c>
      <c r="R41" s="20">
        <v>2018</v>
      </c>
      <c r="S41" s="20">
        <v>2019</v>
      </c>
      <c r="T41" s="20">
        <v>2020</v>
      </c>
      <c r="U41" s="1">
        <v>2021</v>
      </c>
      <c r="V41" s="1">
        <v>2022</v>
      </c>
    </row>
    <row r="42" spans="1:24">
      <c r="A42" s="25">
        <v>1</v>
      </c>
      <c r="B42" s="1" t="s">
        <v>19</v>
      </c>
      <c r="E42" s="4">
        <f>C20</f>
        <v>1317</v>
      </c>
      <c r="F42" s="4">
        <f>C21</f>
        <v>1509</v>
      </c>
      <c r="G42" s="4">
        <f>C22</f>
        <v>1579</v>
      </c>
      <c r="H42" s="4">
        <f>C23</f>
        <v>1601</v>
      </c>
      <c r="I42" s="4">
        <f>C24</f>
        <v>1682</v>
      </c>
      <c r="J42" s="4">
        <f>C25</f>
        <v>1600</v>
      </c>
      <c r="K42" s="4">
        <f>C26</f>
        <v>1552</v>
      </c>
      <c r="L42" s="4">
        <f>C27</f>
        <v>1453</v>
      </c>
      <c r="M42" s="4">
        <f>C28</f>
        <v>1289</v>
      </c>
      <c r="N42" s="33">
        <f>C29</f>
        <v>1120</v>
      </c>
      <c r="O42" s="33">
        <f>C30</f>
        <v>869</v>
      </c>
      <c r="P42" s="33">
        <f>C31</f>
        <v>817</v>
      </c>
      <c r="Q42" s="47">
        <f>ROUND((Q45-Q44)*Q99/100,0)</f>
        <v>742</v>
      </c>
      <c r="R42" s="47">
        <f t="shared" ref="R42:U42" si="3">ROUND((R45-R44)*R99/100,0)</f>
        <v>707</v>
      </c>
      <c r="S42" s="47">
        <f>ROUND((S45-S44)*S99/100,0)</f>
        <v>664</v>
      </c>
      <c r="T42" s="47">
        <f>ROUND((T45-T44)*T99/100,0)</f>
        <v>612</v>
      </c>
      <c r="U42" s="47">
        <f t="shared" si="3"/>
        <v>593</v>
      </c>
      <c r="V42" s="47">
        <f>ROUND((V45-V44)*V99/100,0)</f>
        <v>578</v>
      </c>
    </row>
    <row r="43" spans="1:24">
      <c r="A43" s="25">
        <v>2</v>
      </c>
      <c r="B43" s="1" t="s">
        <v>24</v>
      </c>
      <c r="E43" s="4">
        <f>D20+E20</f>
        <v>1484</v>
      </c>
      <c r="F43" s="4">
        <f>D21+E21</f>
        <v>1182</v>
      </c>
      <c r="G43" s="4">
        <f>D22+E22</f>
        <v>915</v>
      </c>
      <c r="H43" s="4">
        <f>D23+E23</f>
        <v>1014</v>
      </c>
      <c r="I43" s="4">
        <f>D24+E24</f>
        <v>1028</v>
      </c>
      <c r="J43" s="4">
        <f>D25+E25</f>
        <v>926</v>
      </c>
      <c r="K43" s="4">
        <f>D26+E26</f>
        <v>971</v>
      </c>
      <c r="L43" s="4">
        <f>D27+E27</f>
        <v>1022</v>
      </c>
      <c r="M43" s="4">
        <f>D28+E28</f>
        <v>1044</v>
      </c>
      <c r="N43" s="33">
        <f>D29+E29</f>
        <v>973</v>
      </c>
      <c r="O43" s="33">
        <f>D30+E30</f>
        <v>1097</v>
      </c>
      <c r="P43" s="33">
        <f>D31+E31</f>
        <v>1048</v>
      </c>
      <c r="Q43" s="47">
        <f t="shared" ref="Q43:U43" si="4">Q45-(Q42+Q44)</f>
        <v>984</v>
      </c>
      <c r="R43" s="47">
        <f t="shared" si="4"/>
        <v>937</v>
      </c>
      <c r="S43" s="47">
        <f t="shared" si="4"/>
        <v>918</v>
      </c>
      <c r="T43" s="47">
        <f>T45-(T42+T44)</f>
        <v>917</v>
      </c>
      <c r="U43" s="47">
        <f t="shared" si="4"/>
        <v>890</v>
      </c>
      <c r="V43" s="47">
        <f>V45-(V42+V44)</f>
        <v>867</v>
      </c>
    </row>
    <row r="44" spans="1:24">
      <c r="A44" s="25">
        <v>3</v>
      </c>
      <c r="B44" s="1" t="s">
        <v>20</v>
      </c>
      <c r="E44" s="4">
        <f>F20</f>
        <v>1216</v>
      </c>
      <c r="F44" s="4">
        <f>F21</f>
        <v>1209</v>
      </c>
      <c r="G44" s="4">
        <f>F22</f>
        <v>1177</v>
      </c>
      <c r="H44" s="4">
        <f>F23</f>
        <v>1158</v>
      </c>
      <c r="I44" s="4">
        <f>F24</f>
        <v>1135</v>
      </c>
      <c r="J44" s="4">
        <f>F25</f>
        <v>964</v>
      </c>
      <c r="K44" s="4">
        <f>F26</f>
        <v>903</v>
      </c>
      <c r="L44" s="4">
        <f>F27</f>
        <v>847</v>
      </c>
      <c r="M44" s="4">
        <f>F28</f>
        <v>701</v>
      </c>
      <c r="N44" s="33">
        <f>F29</f>
        <v>648</v>
      </c>
      <c r="O44" s="33">
        <f>F30</f>
        <v>606</v>
      </c>
      <c r="P44" s="33">
        <f>F31</f>
        <v>556</v>
      </c>
      <c r="Q44" s="47">
        <f t="shared" ref="Q44:U44" si="5">ROUND(Q45*Q82/100,0)</f>
        <v>501</v>
      </c>
      <c r="R44" s="47">
        <f t="shared" si="5"/>
        <v>472</v>
      </c>
      <c r="S44" s="47">
        <f t="shared" si="5"/>
        <v>449</v>
      </c>
      <c r="T44" s="47">
        <f>ROUND(T45*T82/100,0)</f>
        <v>431</v>
      </c>
      <c r="U44" s="47">
        <f t="shared" si="5"/>
        <v>418</v>
      </c>
      <c r="V44" s="47">
        <f>ROUND(V45*V82/100,0)</f>
        <v>408</v>
      </c>
    </row>
    <row r="45" spans="1:24">
      <c r="A45" s="25">
        <v>4</v>
      </c>
      <c r="B45" s="2" t="s">
        <v>16</v>
      </c>
      <c r="C45" s="2"/>
      <c r="D45" s="2"/>
      <c r="E45" s="19">
        <f>SUM(E42:E44)</f>
        <v>4017</v>
      </c>
      <c r="F45" s="19">
        <f t="shared" ref="F45:P45" si="6">SUM(F42:F44)</f>
        <v>3900</v>
      </c>
      <c r="G45" s="19">
        <f t="shared" si="6"/>
        <v>3671</v>
      </c>
      <c r="H45" s="19">
        <f t="shared" si="6"/>
        <v>3773</v>
      </c>
      <c r="I45" s="19">
        <f t="shared" si="6"/>
        <v>3845</v>
      </c>
      <c r="J45" s="19">
        <f t="shared" si="6"/>
        <v>3490</v>
      </c>
      <c r="K45" s="19">
        <f t="shared" si="6"/>
        <v>3426</v>
      </c>
      <c r="L45" s="19">
        <f t="shared" si="6"/>
        <v>3322</v>
      </c>
      <c r="M45" s="19">
        <f t="shared" si="6"/>
        <v>3034</v>
      </c>
      <c r="N45" s="33">
        <f t="shared" si="6"/>
        <v>2741</v>
      </c>
      <c r="O45" s="33">
        <f t="shared" si="6"/>
        <v>2572</v>
      </c>
      <c r="P45" s="33">
        <f t="shared" si="6"/>
        <v>2421</v>
      </c>
      <c r="Q45" s="32">
        <f t="shared" ref="Q45:S45" si="7">ROUND(P45+(P45*Q58/100),0)</f>
        <v>2227</v>
      </c>
      <c r="R45" s="32">
        <f t="shared" si="7"/>
        <v>2116</v>
      </c>
      <c r="S45" s="32">
        <f t="shared" si="7"/>
        <v>2031</v>
      </c>
      <c r="T45" s="32">
        <f>ROUND(S45+(S45*T58/100),0)</f>
        <v>1960</v>
      </c>
      <c r="U45" s="32">
        <f t="shared" ref="U45:V45" si="8">ROUND(T45+(T45*U58/100),0)</f>
        <v>1901</v>
      </c>
      <c r="V45" s="32">
        <f t="shared" si="8"/>
        <v>1853</v>
      </c>
      <c r="W45" s="4"/>
      <c r="X45" s="1729"/>
    </row>
    <row r="46" spans="1:24" ht="34.5" customHeight="1">
      <c r="N46" s="33"/>
      <c r="O46" s="33"/>
      <c r="P46" s="33"/>
      <c r="Q46" s="47"/>
      <c r="R46" s="47"/>
      <c r="S46" s="47"/>
      <c r="T46" s="47"/>
      <c r="U46" s="1425"/>
      <c r="V46" s="1425"/>
    </row>
    <row r="47" spans="1:24">
      <c r="A47" s="25">
        <v>5</v>
      </c>
      <c r="B47" s="1" t="s">
        <v>21</v>
      </c>
      <c r="E47" s="4">
        <f>H20</f>
        <v>985</v>
      </c>
      <c r="F47" s="4">
        <f>H21</f>
        <v>993</v>
      </c>
      <c r="G47" s="4">
        <f>H22</f>
        <v>943</v>
      </c>
      <c r="H47" s="4">
        <f>H23</f>
        <v>813</v>
      </c>
      <c r="I47" s="4">
        <f>H24</f>
        <v>621</v>
      </c>
      <c r="J47" s="4">
        <f>H25</f>
        <v>509</v>
      </c>
      <c r="K47" s="4">
        <f>H26</f>
        <v>502</v>
      </c>
      <c r="L47" s="4">
        <f>H27</f>
        <v>506</v>
      </c>
      <c r="M47" s="4">
        <f>H28</f>
        <v>528</v>
      </c>
      <c r="N47" s="34">
        <f>H29</f>
        <v>450</v>
      </c>
      <c r="O47" s="33">
        <f>H30</f>
        <v>377</v>
      </c>
      <c r="P47" s="33">
        <f>H31</f>
        <v>346</v>
      </c>
      <c r="Q47" s="47">
        <f t="shared" ref="Q47:V47" si="9">ROUND((Q50-Q49)*Q104/100,0)</f>
        <v>308</v>
      </c>
      <c r="R47" s="47">
        <f t="shared" si="9"/>
        <v>294</v>
      </c>
      <c r="S47" s="47">
        <f t="shared" si="9"/>
        <v>284</v>
      </c>
      <c r="T47" s="47">
        <f t="shared" si="9"/>
        <v>275</v>
      </c>
      <c r="U47" s="47">
        <f t="shared" si="9"/>
        <v>268</v>
      </c>
      <c r="V47" s="47">
        <f t="shared" si="9"/>
        <v>263</v>
      </c>
    </row>
    <row r="48" spans="1:24">
      <c r="A48" s="25">
        <v>6</v>
      </c>
      <c r="B48" s="1" t="s">
        <v>25</v>
      </c>
      <c r="E48" s="4">
        <f>I20+J20</f>
        <v>949</v>
      </c>
      <c r="F48" s="4">
        <f>I21+J21</f>
        <v>705</v>
      </c>
      <c r="G48" s="4">
        <f>I22+J22</f>
        <v>532</v>
      </c>
      <c r="H48" s="4">
        <f>I23+J23</f>
        <v>515</v>
      </c>
      <c r="I48" s="4">
        <f>I24+J24</f>
        <v>483</v>
      </c>
      <c r="J48" s="4">
        <f>I25+J25</f>
        <v>431</v>
      </c>
      <c r="K48" s="4">
        <f>I26+J26</f>
        <v>350</v>
      </c>
      <c r="L48" s="4">
        <f>I27+J27</f>
        <v>368</v>
      </c>
      <c r="M48" s="4">
        <f>I28+J28</f>
        <v>442</v>
      </c>
      <c r="N48" s="34">
        <f>I29+J29</f>
        <v>425</v>
      </c>
      <c r="O48" s="33">
        <f>I30+J30</f>
        <v>475</v>
      </c>
      <c r="P48" s="33">
        <f>I31+J31</f>
        <v>424</v>
      </c>
      <c r="Q48" s="47">
        <f t="shared" ref="Q48:V48" si="10">Q50-(Q47+Q49)</f>
        <v>391</v>
      </c>
      <c r="R48" s="47">
        <f t="shared" si="10"/>
        <v>374</v>
      </c>
      <c r="S48" s="47">
        <f t="shared" si="10"/>
        <v>361</v>
      </c>
      <c r="T48" s="47">
        <f t="shared" si="10"/>
        <v>351</v>
      </c>
      <c r="U48" s="47">
        <f t="shared" si="10"/>
        <v>342</v>
      </c>
      <c r="V48" s="47">
        <f t="shared" si="10"/>
        <v>335</v>
      </c>
    </row>
    <row r="49" spans="1:22">
      <c r="A49" s="25">
        <v>7</v>
      </c>
      <c r="B49" s="1" t="s">
        <v>22</v>
      </c>
      <c r="E49" s="4">
        <f>K20</f>
        <v>121</v>
      </c>
      <c r="F49" s="4">
        <f>K21</f>
        <v>114</v>
      </c>
      <c r="G49" s="4">
        <f>K22</f>
        <v>115</v>
      </c>
      <c r="H49" s="4">
        <f>K23</f>
        <v>120</v>
      </c>
      <c r="I49" s="4">
        <f>K24</f>
        <v>88</v>
      </c>
      <c r="J49" s="4">
        <f>K25</f>
        <v>89</v>
      </c>
      <c r="K49" s="4">
        <f>K26</f>
        <v>86</v>
      </c>
      <c r="L49" s="4">
        <f>K27</f>
        <v>105</v>
      </c>
      <c r="M49" s="4">
        <f>K28</f>
        <v>88</v>
      </c>
      <c r="N49" s="34">
        <f>K29</f>
        <v>89</v>
      </c>
      <c r="O49" s="33">
        <f>K30</f>
        <v>72</v>
      </c>
      <c r="P49" s="33">
        <f>K31</f>
        <v>57</v>
      </c>
      <c r="Q49" s="47">
        <f t="shared" ref="Q49:V49" si="11">ROUND(Q50*Q87/100,0)</f>
        <v>45</v>
      </c>
      <c r="R49" s="47">
        <f t="shared" si="11"/>
        <v>43</v>
      </c>
      <c r="S49" s="47">
        <f t="shared" si="11"/>
        <v>38</v>
      </c>
      <c r="T49" s="47">
        <f t="shared" si="11"/>
        <v>33</v>
      </c>
      <c r="U49" s="47">
        <f t="shared" si="11"/>
        <v>29</v>
      </c>
      <c r="V49" s="47">
        <f t="shared" si="11"/>
        <v>25</v>
      </c>
    </row>
    <row r="50" spans="1:22">
      <c r="A50" s="25">
        <v>8</v>
      </c>
      <c r="B50" s="2" t="s">
        <v>23</v>
      </c>
      <c r="C50" s="2"/>
      <c r="D50" s="2"/>
      <c r="E50" s="19">
        <f>SUM(E47:E49)</f>
        <v>2055</v>
      </c>
      <c r="F50" s="19">
        <f t="shared" ref="F50:P50" si="12">SUM(F47:F49)</f>
        <v>1812</v>
      </c>
      <c r="G50" s="19">
        <f t="shared" si="12"/>
        <v>1590</v>
      </c>
      <c r="H50" s="19">
        <f t="shared" si="12"/>
        <v>1448</v>
      </c>
      <c r="I50" s="19">
        <f t="shared" si="12"/>
        <v>1192</v>
      </c>
      <c r="J50" s="19">
        <f t="shared" si="12"/>
        <v>1029</v>
      </c>
      <c r="K50" s="19">
        <f t="shared" si="12"/>
        <v>938</v>
      </c>
      <c r="L50" s="19">
        <f t="shared" si="12"/>
        <v>979</v>
      </c>
      <c r="M50" s="19">
        <f t="shared" si="12"/>
        <v>1058</v>
      </c>
      <c r="N50" s="33">
        <f t="shared" si="12"/>
        <v>964</v>
      </c>
      <c r="O50" s="33">
        <f t="shared" si="12"/>
        <v>924</v>
      </c>
      <c r="P50" s="33">
        <f t="shared" si="12"/>
        <v>827</v>
      </c>
      <c r="Q50" s="32">
        <f t="shared" ref="Q50:T50" si="13">ROUND(P50+(P50*Q63/100),0)</f>
        <v>744</v>
      </c>
      <c r="R50" s="32">
        <f t="shared" si="13"/>
        <v>711</v>
      </c>
      <c r="S50" s="32">
        <f t="shared" si="13"/>
        <v>683</v>
      </c>
      <c r="T50" s="32">
        <f t="shared" si="13"/>
        <v>659</v>
      </c>
      <c r="U50" s="32">
        <f t="shared" ref="U50" si="14">ROUND(T50+(T50*U63/100),0)</f>
        <v>639</v>
      </c>
      <c r="V50" s="32">
        <f t="shared" ref="V50" si="15">ROUND(U50+(U50*V63/100),0)</f>
        <v>623</v>
      </c>
    </row>
    <row r="51" spans="1:22" ht="36" customHeight="1">
      <c r="N51" s="42"/>
      <c r="O51" s="48"/>
      <c r="P51" s="48"/>
      <c r="Q51" s="48"/>
      <c r="R51" s="48"/>
      <c r="S51" s="48"/>
      <c r="T51" s="48"/>
    </row>
    <row r="52" spans="1:22">
      <c r="A52" s="25">
        <v>9</v>
      </c>
      <c r="B52" s="2" t="s">
        <v>13</v>
      </c>
      <c r="C52" s="2"/>
      <c r="D52" s="2"/>
      <c r="E52" s="19">
        <f>SUM(E45,E50)</f>
        <v>6072</v>
      </c>
      <c r="F52" s="19">
        <f t="shared" ref="F52:S52" si="16">SUM(F45,F50)</f>
        <v>5712</v>
      </c>
      <c r="G52" s="19">
        <f t="shared" si="16"/>
        <v>5261</v>
      </c>
      <c r="H52" s="19">
        <f t="shared" si="16"/>
        <v>5221</v>
      </c>
      <c r="I52" s="19">
        <f t="shared" si="16"/>
        <v>5037</v>
      </c>
      <c r="J52" s="19">
        <f t="shared" si="16"/>
        <v>4519</v>
      </c>
      <c r="K52" s="19">
        <f t="shared" si="16"/>
        <v>4364</v>
      </c>
      <c r="L52" s="19">
        <f t="shared" si="16"/>
        <v>4301</v>
      </c>
      <c r="M52" s="19">
        <f t="shared" si="16"/>
        <v>4092</v>
      </c>
      <c r="N52" s="33">
        <f t="shared" ref="N52:P52" si="17">SUM(N45,N50)</f>
        <v>3705</v>
      </c>
      <c r="O52" s="33">
        <f t="shared" si="17"/>
        <v>3496</v>
      </c>
      <c r="P52" s="33">
        <f t="shared" si="17"/>
        <v>3248</v>
      </c>
      <c r="Q52" s="32">
        <f t="shared" si="16"/>
        <v>2971</v>
      </c>
      <c r="R52" s="32">
        <f t="shared" si="16"/>
        <v>2827</v>
      </c>
      <c r="S52" s="32">
        <f t="shared" si="16"/>
        <v>2714</v>
      </c>
      <c r="T52" s="32">
        <f>SUM(T45,T50)</f>
        <v>2619</v>
      </c>
      <c r="U52" s="32">
        <f t="shared" ref="U52:V52" si="18">SUM(U45,U50)</f>
        <v>2540</v>
      </c>
      <c r="V52" s="32">
        <f t="shared" si="18"/>
        <v>2476</v>
      </c>
    </row>
    <row r="53" spans="1:22">
      <c r="A53" s="25">
        <v>10</v>
      </c>
      <c r="B53" s="1" t="s">
        <v>26</v>
      </c>
      <c r="E53" s="4">
        <f>E52-M20</f>
        <v>0</v>
      </c>
      <c r="F53" s="4">
        <f>F52-M21</f>
        <v>0</v>
      </c>
      <c r="G53" s="4">
        <f>G52-M22</f>
        <v>0</v>
      </c>
      <c r="H53" s="4">
        <f>H52-M23</f>
        <v>0</v>
      </c>
      <c r="I53" s="4">
        <f>I52-M24</f>
        <v>0</v>
      </c>
      <c r="J53" s="4">
        <f>J52-M25</f>
        <v>0</v>
      </c>
      <c r="K53" s="4">
        <f>K52-M26</f>
        <v>0</v>
      </c>
      <c r="L53" s="4">
        <f>L52-M27</f>
        <v>0</v>
      </c>
      <c r="M53" s="4">
        <f>M52-M28</f>
        <v>0</v>
      </c>
      <c r="N53" s="1096">
        <f>N52-M29</f>
        <v>0</v>
      </c>
      <c r="O53" s="1096">
        <f>O52-M30</f>
        <v>0</v>
      </c>
      <c r="P53" s="1096">
        <f>P52-M31</f>
        <v>0</v>
      </c>
      <c r="Q53" s="39"/>
      <c r="R53" s="39"/>
      <c r="S53" s="39"/>
      <c r="T53" s="39"/>
    </row>
    <row r="54" spans="1:22">
      <c r="N54" s="35"/>
      <c r="O54" s="39"/>
      <c r="P54" s="39"/>
      <c r="Q54" s="39"/>
      <c r="R54" s="39"/>
      <c r="S54" s="39"/>
      <c r="T54" s="39"/>
    </row>
    <row r="55" spans="1:22">
      <c r="B55" s="24" t="s">
        <v>45</v>
      </c>
      <c r="C55" s="22" t="str">
        <f>'Penitentiary sector'!C55</f>
        <v>TIME TREND</v>
      </c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37"/>
      <c r="O55" s="40"/>
      <c r="P55" s="40"/>
      <c r="Q55" s="40"/>
      <c r="R55" s="40"/>
      <c r="S55" s="40"/>
      <c r="T55" s="40"/>
      <c r="U55" s="40"/>
      <c r="V55" s="40"/>
    </row>
    <row r="56" spans="1:22">
      <c r="N56" s="36"/>
      <c r="O56" s="39"/>
      <c r="P56" s="39"/>
      <c r="Q56" s="39"/>
      <c r="R56" s="39"/>
      <c r="S56" s="39"/>
      <c r="T56" s="39"/>
    </row>
    <row r="57" spans="1:22">
      <c r="B57" s="2" t="s">
        <v>30</v>
      </c>
      <c r="N57" s="36"/>
      <c r="O57" s="39"/>
      <c r="P57" s="39"/>
      <c r="Q57" s="39"/>
      <c r="R57" s="39"/>
      <c r="S57" s="39"/>
      <c r="T57" s="39"/>
    </row>
    <row r="58" spans="1:22">
      <c r="A58" s="25">
        <v>1</v>
      </c>
      <c r="B58" s="1" t="s">
        <v>27</v>
      </c>
      <c r="F58" s="21">
        <f>F45/E45%-100</f>
        <v>-2.9126213592233086</v>
      </c>
      <c r="G58" s="21">
        <f t="shared" ref="G58:M58" si="19">G45/F45%-100</f>
        <v>-5.8717948717948758</v>
      </c>
      <c r="H58" s="21">
        <f t="shared" si="19"/>
        <v>2.7785344592754058</v>
      </c>
      <c r="I58" s="21">
        <f t="shared" si="19"/>
        <v>1.9082957858468177</v>
      </c>
      <c r="J58" s="21">
        <f t="shared" si="19"/>
        <v>-9.2327698309492945</v>
      </c>
      <c r="K58" s="21">
        <f t="shared" si="19"/>
        <v>-1.8338108882521453</v>
      </c>
      <c r="L58" s="21">
        <f t="shared" si="19"/>
        <v>-3.0356100408639719</v>
      </c>
      <c r="M58" s="21">
        <f t="shared" si="19"/>
        <v>-8.6694762191450963</v>
      </c>
      <c r="N58" s="21">
        <f t="shared" ref="N58" si="20">N45/M45%-100</f>
        <v>-9.6572181938035584</v>
      </c>
      <c r="O58" s="21">
        <f t="shared" ref="O58" si="21">O45/N45%-100</f>
        <v>-6.165632980663986</v>
      </c>
      <c r="P58" s="21">
        <f t="shared" ref="P58" si="22">P45/O45%-100</f>
        <v>-5.8709175738724753</v>
      </c>
      <c r="Q58" s="49">
        <v>-8</v>
      </c>
      <c r="R58" s="49">
        <v>-5</v>
      </c>
      <c r="S58" s="49">
        <v>-4</v>
      </c>
      <c r="T58" s="49">
        <v>-3.5</v>
      </c>
      <c r="U58" s="49">
        <v>-3</v>
      </c>
      <c r="V58" s="49">
        <v>-2.5</v>
      </c>
    </row>
    <row r="59" spans="1:22">
      <c r="A59" s="25">
        <v>2</v>
      </c>
      <c r="B59" s="1" t="s">
        <v>28</v>
      </c>
      <c r="F59" s="21"/>
      <c r="G59" s="21"/>
      <c r="H59" s="21">
        <f>AVERAGE(F58:H58)</f>
        <v>-2.0019605905809263</v>
      </c>
      <c r="I59" s="21">
        <f t="shared" ref="I59:T59" si="23">AVERAGE(G58:I58)</f>
        <v>-0.3949882088908841</v>
      </c>
      <c r="J59" s="21">
        <f t="shared" si="23"/>
        <v>-1.5153131952756904</v>
      </c>
      <c r="K59" s="21">
        <f t="shared" si="23"/>
        <v>-3.0527616444515409</v>
      </c>
      <c r="L59" s="21">
        <f t="shared" si="23"/>
        <v>-4.7007302533551369</v>
      </c>
      <c r="M59" s="21">
        <f t="shared" si="23"/>
        <v>-4.5129657160870709</v>
      </c>
      <c r="N59" s="21">
        <f t="shared" ref="N59" si="24">AVERAGE(L58:N58)</f>
        <v>-7.1207681512708758</v>
      </c>
      <c r="O59" s="21">
        <f t="shared" ref="O59" si="25">AVERAGE(M58:O58)</f>
        <v>-8.1641091312042136</v>
      </c>
      <c r="P59" s="21">
        <f t="shared" ref="P59" si="26">AVERAGE(N58:P58)</f>
        <v>-7.2312562494466732</v>
      </c>
      <c r="Q59" s="44">
        <f t="shared" si="23"/>
        <v>-6.6788501848454871</v>
      </c>
      <c r="R59" s="44">
        <f t="shared" si="23"/>
        <v>-6.2903058579574918</v>
      </c>
      <c r="S59" s="44">
        <f t="shared" si="23"/>
        <v>-5.666666666666667</v>
      </c>
      <c r="T59" s="44">
        <f t="shared" si="23"/>
        <v>-4.166666666666667</v>
      </c>
      <c r="U59" s="44">
        <f t="shared" ref="U59" si="27">AVERAGE(S58:U58)</f>
        <v>-3.5</v>
      </c>
      <c r="V59" s="44">
        <f t="shared" ref="V59" si="28">AVERAGE(T58:V58)</f>
        <v>-3</v>
      </c>
    </row>
    <row r="60" spans="1:22">
      <c r="A60" s="25">
        <v>3</v>
      </c>
      <c r="B60" s="1" t="s">
        <v>29</v>
      </c>
      <c r="F60" s="21"/>
      <c r="G60" s="21"/>
      <c r="H60" s="21"/>
      <c r="I60" s="21"/>
      <c r="J60" s="21">
        <f>AVERAGE(F58:J58)</f>
        <v>-2.6660711633690513</v>
      </c>
      <c r="K60" s="21">
        <f t="shared" ref="K60:T60" si="29">AVERAGE(G58:K58)</f>
        <v>-2.4503090691748186</v>
      </c>
      <c r="L60" s="21">
        <f t="shared" si="29"/>
        <v>-1.8830721029886377</v>
      </c>
      <c r="M60" s="21">
        <f t="shared" si="29"/>
        <v>-4.1726742386727382</v>
      </c>
      <c r="N60" s="21">
        <f t="shared" ref="N60" si="30">AVERAGE(J58:N58)</f>
        <v>-6.4857770346028136</v>
      </c>
      <c r="O60" s="21">
        <f t="shared" ref="O60" si="31">AVERAGE(K58:O58)</f>
        <v>-5.8723496645457516</v>
      </c>
      <c r="P60" s="21">
        <f t="shared" ref="P60" si="32">AVERAGE(L58:P58)</f>
        <v>-6.6797710016698177</v>
      </c>
      <c r="Q60" s="44">
        <f t="shared" si="29"/>
        <v>-7.672648993497023</v>
      </c>
      <c r="R60" s="44">
        <f t="shared" si="29"/>
        <v>-6.9387537496680043</v>
      </c>
      <c r="S60" s="44">
        <f t="shared" si="29"/>
        <v>-5.8073101109072924</v>
      </c>
      <c r="T60" s="44">
        <f t="shared" si="29"/>
        <v>-5.2741835147744949</v>
      </c>
      <c r="U60" s="44">
        <f t="shared" ref="U60" si="33">AVERAGE(Q58:U58)</f>
        <v>-4.7</v>
      </c>
      <c r="V60" s="44">
        <f t="shared" ref="V60" si="34">AVERAGE(R58:V58)</f>
        <v>-3.6</v>
      </c>
    </row>
    <row r="61" spans="1:22">
      <c r="F61" s="21"/>
      <c r="G61" s="21"/>
      <c r="H61" s="21"/>
      <c r="I61" s="21"/>
      <c r="J61" s="21"/>
      <c r="K61" s="21"/>
      <c r="L61" s="21"/>
      <c r="M61" s="21"/>
      <c r="N61" s="38"/>
      <c r="O61" s="45"/>
      <c r="P61" s="45"/>
      <c r="Q61" s="45"/>
      <c r="R61" s="45"/>
      <c r="S61" s="45"/>
      <c r="T61" s="45"/>
    </row>
    <row r="62" spans="1:22">
      <c r="B62" s="2" t="s">
        <v>31</v>
      </c>
      <c r="F62" s="21"/>
      <c r="G62" s="21"/>
      <c r="H62" s="21"/>
      <c r="I62" s="21"/>
      <c r="J62" s="21"/>
      <c r="K62" s="21"/>
      <c r="L62" s="21"/>
      <c r="M62" s="21"/>
      <c r="N62" s="38"/>
      <c r="O62" s="45"/>
      <c r="P62" s="45"/>
      <c r="Q62" s="45"/>
      <c r="R62" s="45"/>
      <c r="S62" s="45"/>
      <c r="T62" s="45"/>
    </row>
    <row r="63" spans="1:22">
      <c r="A63" s="25">
        <v>4</v>
      </c>
      <c r="B63" s="1" t="s">
        <v>27</v>
      </c>
      <c r="F63" s="21">
        <f>F50/E50%-100</f>
        <v>-11.824817518248182</v>
      </c>
      <c r="G63" s="21">
        <f t="shared" ref="G63:M63" si="35">G50/F50%-100</f>
        <v>-12.25165562913908</v>
      </c>
      <c r="H63" s="21">
        <f t="shared" si="35"/>
        <v>-8.9308176100628884</v>
      </c>
      <c r="I63" s="21">
        <f t="shared" si="35"/>
        <v>-17.679558011049721</v>
      </c>
      <c r="J63" s="21">
        <f t="shared" si="35"/>
        <v>-13.674496644295303</v>
      </c>
      <c r="K63" s="21">
        <f t="shared" si="35"/>
        <v>-8.8435374149659793</v>
      </c>
      <c r="L63" s="21">
        <f t="shared" si="35"/>
        <v>4.3710021321961534</v>
      </c>
      <c r="M63" s="21">
        <f t="shared" si="35"/>
        <v>8.0694586312563956</v>
      </c>
      <c r="N63" s="21">
        <f t="shared" ref="N63" si="36">N50/M50%-100</f>
        <v>-8.8846880907372423</v>
      </c>
      <c r="O63" s="21">
        <f t="shared" ref="O63" si="37">O50/N50%-100</f>
        <v>-4.1493775933609953</v>
      </c>
      <c r="P63" s="21">
        <f t="shared" ref="P63" si="38">P50/O50%-100</f>
        <v>-10.497835497835496</v>
      </c>
      <c r="Q63" s="49">
        <v>-10</v>
      </c>
      <c r="R63" s="49">
        <v>-4.5</v>
      </c>
      <c r="S63" s="49">
        <v>-4</v>
      </c>
      <c r="T63" s="49">
        <v>-3.5</v>
      </c>
      <c r="U63" s="49">
        <v>-3</v>
      </c>
      <c r="V63" s="49">
        <v>-2.5</v>
      </c>
    </row>
    <row r="64" spans="1:22">
      <c r="A64" s="25">
        <v>5</v>
      </c>
      <c r="B64" s="1" t="s">
        <v>28</v>
      </c>
      <c r="F64" s="21"/>
      <c r="G64" s="21"/>
      <c r="H64" s="21">
        <f>AVERAGE(F63:H63)</f>
        <v>-11.002430252483384</v>
      </c>
      <c r="I64" s="21">
        <f t="shared" ref="I64:T64" si="39">AVERAGE(G63:I63)</f>
        <v>-12.954010416750563</v>
      </c>
      <c r="J64" s="21">
        <f t="shared" si="39"/>
        <v>-13.42829075513597</v>
      </c>
      <c r="K64" s="21">
        <f t="shared" si="39"/>
        <v>-13.399197356770335</v>
      </c>
      <c r="L64" s="21">
        <f t="shared" si="39"/>
        <v>-6.0490106423550429</v>
      </c>
      <c r="M64" s="21">
        <f t="shared" si="39"/>
        <v>1.1989744494955232</v>
      </c>
      <c r="N64" s="21">
        <f t="shared" ref="N64" si="40">AVERAGE(L63:N63)</f>
        <v>1.185257557571769</v>
      </c>
      <c r="O64" s="21">
        <f t="shared" ref="O64" si="41">AVERAGE(M63:O63)</f>
        <v>-1.6548690176139473</v>
      </c>
      <c r="P64" s="21">
        <f t="shared" ref="P64" si="42">AVERAGE(N63:P63)</f>
        <v>-7.8439670606445775</v>
      </c>
      <c r="Q64" s="44">
        <f>AVERAGE(O63:Q63)</f>
        <v>-8.2157376970654976</v>
      </c>
      <c r="R64" s="44">
        <f t="shared" si="39"/>
        <v>-8.3326118326118319</v>
      </c>
      <c r="S64" s="44">
        <f t="shared" si="39"/>
        <v>-6.166666666666667</v>
      </c>
      <c r="T64" s="44">
        <f t="shared" si="39"/>
        <v>-4</v>
      </c>
      <c r="U64" s="44">
        <f t="shared" ref="U64" si="43">AVERAGE(S63:U63)</f>
        <v>-3.5</v>
      </c>
      <c r="V64" s="44">
        <f t="shared" ref="V64" si="44">AVERAGE(T63:V63)</f>
        <v>-3</v>
      </c>
    </row>
    <row r="65" spans="1:22">
      <c r="A65" s="25">
        <v>6</v>
      </c>
      <c r="B65" s="1" t="s">
        <v>29</v>
      </c>
      <c r="F65" s="21"/>
      <c r="G65" s="21"/>
      <c r="H65" s="21"/>
      <c r="I65" s="21"/>
      <c r="J65" s="21">
        <f>AVERAGE(F63:J63)</f>
        <v>-12.872269082559034</v>
      </c>
      <c r="K65" s="21">
        <f t="shared" ref="K65:T65" si="45">AVERAGE(G63:K63)</f>
        <v>-12.276013061902594</v>
      </c>
      <c r="L65" s="21">
        <f t="shared" si="45"/>
        <v>-8.9514815096355473</v>
      </c>
      <c r="M65" s="21">
        <f t="shared" si="45"/>
        <v>-5.5514262613716907</v>
      </c>
      <c r="N65" s="21">
        <f t="shared" ref="N65" si="46">AVERAGE(J63:N63)</f>
        <v>-3.7924522773091951</v>
      </c>
      <c r="O65" s="21">
        <f t="shared" ref="O65" si="47">AVERAGE(K63:O63)</f>
        <v>-1.8874284671223336</v>
      </c>
      <c r="P65" s="21">
        <f t="shared" ref="P65" si="48">AVERAGE(L63:P63)</f>
        <v>-2.2182880836962369</v>
      </c>
      <c r="Q65" s="44">
        <f t="shared" si="45"/>
        <v>-5.0924885101354675</v>
      </c>
      <c r="R65" s="44">
        <f t="shared" si="45"/>
        <v>-7.6063802363867463</v>
      </c>
      <c r="S65" s="44">
        <f t="shared" si="45"/>
        <v>-6.629442618239298</v>
      </c>
      <c r="T65" s="44">
        <f t="shared" si="45"/>
        <v>-6.4995670995670993</v>
      </c>
      <c r="U65" s="44">
        <f t="shared" ref="U65" si="49">AVERAGE(Q63:U63)</f>
        <v>-5</v>
      </c>
      <c r="V65" s="44">
        <f t="shared" ref="V65" si="50">AVERAGE(R63:V63)</f>
        <v>-3.5</v>
      </c>
    </row>
    <row r="66" spans="1:22">
      <c r="F66" s="21"/>
      <c r="G66" s="21"/>
      <c r="H66" s="21"/>
      <c r="I66" s="21"/>
      <c r="J66" s="21"/>
      <c r="K66" s="21"/>
      <c r="L66" s="21"/>
      <c r="M66" s="21"/>
      <c r="N66" s="38"/>
      <c r="O66" s="45"/>
      <c r="P66" s="45"/>
      <c r="Q66" s="45"/>
      <c r="R66" s="45"/>
      <c r="S66" s="45"/>
      <c r="T66" s="45"/>
    </row>
    <row r="67" spans="1:22">
      <c r="B67" s="2" t="s">
        <v>33</v>
      </c>
      <c r="F67" s="21"/>
      <c r="G67" s="21"/>
      <c r="H67" s="21"/>
      <c r="I67" s="21"/>
      <c r="J67" s="21"/>
      <c r="K67" s="21"/>
      <c r="L67" s="21"/>
      <c r="M67" s="21"/>
      <c r="N67" s="38"/>
      <c r="O67" s="45"/>
      <c r="P67" s="45"/>
      <c r="Q67" s="45"/>
      <c r="R67" s="45"/>
      <c r="S67" s="45"/>
      <c r="T67" s="45"/>
    </row>
    <row r="68" spans="1:22">
      <c r="A68" s="25">
        <v>7</v>
      </c>
      <c r="B68" s="1" t="s">
        <v>27</v>
      </c>
      <c r="F68" s="21">
        <f>F52/E52%-100</f>
        <v>-5.9288537549407039</v>
      </c>
      <c r="G68" s="21">
        <f t="shared" ref="G68:T68" si="51">G52/F52%-100</f>
        <v>-7.8956582633053216</v>
      </c>
      <c r="H68" s="21">
        <f t="shared" si="51"/>
        <v>-0.76031172780839995</v>
      </c>
      <c r="I68" s="21">
        <f t="shared" si="51"/>
        <v>-3.5242290748898739</v>
      </c>
      <c r="J68" s="21">
        <f t="shared" si="51"/>
        <v>-10.283899146317253</v>
      </c>
      <c r="K68" s="21">
        <f t="shared" si="51"/>
        <v>-3.4299623810577486</v>
      </c>
      <c r="L68" s="21">
        <f t="shared" si="51"/>
        <v>-1.4436296975252105</v>
      </c>
      <c r="M68" s="21">
        <f t="shared" si="51"/>
        <v>-4.8593350383631702</v>
      </c>
      <c r="N68" s="21">
        <f t="shared" ref="N68" si="52">N52/M52%-100</f>
        <v>-9.4574780058651129</v>
      </c>
      <c r="O68" s="21">
        <f t="shared" ref="O68" si="53">O52/N52%-100</f>
        <v>-5.6410256410256352</v>
      </c>
      <c r="P68" s="21">
        <f t="shared" ref="P68" si="54">P52/O52%-100</f>
        <v>-7.093821510297488</v>
      </c>
      <c r="Q68" s="44">
        <f t="shared" si="51"/>
        <v>-8.5283251231526975</v>
      </c>
      <c r="R68" s="44">
        <f t="shared" si="51"/>
        <v>-4.846852911477626</v>
      </c>
      <c r="S68" s="44">
        <f t="shared" si="51"/>
        <v>-3.9971701450300685</v>
      </c>
      <c r="T68" s="44">
        <f t="shared" si="51"/>
        <v>-3.5003684598378726</v>
      </c>
      <c r="U68" s="44">
        <f t="shared" ref="U68" si="55">U52/T52%-100</f>
        <v>-3.0164184803360143</v>
      </c>
      <c r="V68" s="44">
        <f t="shared" ref="V68" si="56">V52/U52%-100</f>
        <v>-2.5196850393700743</v>
      </c>
    </row>
    <row r="69" spans="1:22">
      <c r="A69" s="25">
        <v>8</v>
      </c>
      <c r="B69" s="1" t="s">
        <v>28</v>
      </c>
      <c r="F69" s="21"/>
      <c r="G69" s="21"/>
      <c r="H69" s="21">
        <f>AVERAGE(F68:H68)</f>
        <v>-4.8616079153514749</v>
      </c>
      <c r="I69" s="21">
        <f t="shared" ref="I69:T69" si="57">AVERAGE(G68:I68)</f>
        <v>-4.0600663553345315</v>
      </c>
      <c r="J69" s="21">
        <f t="shared" si="57"/>
        <v>-4.8561466496718424</v>
      </c>
      <c r="K69" s="21">
        <f t="shared" si="57"/>
        <v>-5.7460302007549586</v>
      </c>
      <c r="L69" s="21">
        <f t="shared" si="57"/>
        <v>-5.0524970749667375</v>
      </c>
      <c r="M69" s="21">
        <f t="shared" si="57"/>
        <v>-3.2443090389820433</v>
      </c>
      <c r="N69" s="21">
        <f t="shared" ref="N69" si="58">AVERAGE(L68:N68)</f>
        <v>-5.2534809139178309</v>
      </c>
      <c r="O69" s="21">
        <f t="shared" ref="O69" si="59">AVERAGE(M68:O68)</f>
        <v>-6.6526128950846397</v>
      </c>
      <c r="P69" s="21">
        <f t="shared" ref="P69" si="60">AVERAGE(N68:P68)</f>
        <v>-7.3974417190627451</v>
      </c>
      <c r="Q69" s="44">
        <f t="shared" si="57"/>
        <v>-7.0877240914919399</v>
      </c>
      <c r="R69" s="44">
        <f t="shared" si="57"/>
        <v>-6.8229998483092702</v>
      </c>
      <c r="S69" s="44">
        <f t="shared" si="57"/>
        <v>-5.7907827265534637</v>
      </c>
      <c r="T69" s="44">
        <f t="shared" si="57"/>
        <v>-4.114797172115189</v>
      </c>
      <c r="U69" s="44">
        <f t="shared" ref="U69" si="61">AVERAGE(S68:U68)</f>
        <v>-3.5046523617346517</v>
      </c>
      <c r="V69" s="44">
        <f t="shared" ref="V69" si="62">AVERAGE(T68:V68)</f>
        <v>-3.0121573265146537</v>
      </c>
    </row>
    <row r="70" spans="1:22">
      <c r="A70" s="25">
        <v>9</v>
      </c>
      <c r="B70" s="1" t="s">
        <v>29</v>
      </c>
      <c r="F70" s="21"/>
      <c r="G70" s="21"/>
      <c r="H70" s="21"/>
      <c r="I70" s="21"/>
      <c r="J70" s="21">
        <f>AVERAGE(F68:J68)</f>
        <v>-5.6785903934523105</v>
      </c>
      <c r="K70" s="21">
        <f t="shared" ref="K70:T70" si="63">AVERAGE(G68:K68)</f>
        <v>-5.1788121186757197</v>
      </c>
      <c r="L70" s="21">
        <f t="shared" si="63"/>
        <v>-3.8884064055196972</v>
      </c>
      <c r="M70" s="21">
        <f t="shared" si="63"/>
        <v>-4.7082110676306517</v>
      </c>
      <c r="N70" s="21">
        <f t="shared" ref="N70" si="64">AVERAGE(J68:N68)</f>
        <v>-5.8948608538256995</v>
      </c>
      <c r="O70" s="21">
        <f t="shared" ref="O70" si="65">AVERAGE(K68:O68)</f>
        <v>-4.9662861527673758</v>
      </c>
      <c r="P70" s="21">
        <f t="shared" ref="P70" si="66">AVERAGE(L68:P68)</f>
        <v>-5.6990579786153237</v>
      </c>
      <c r="Q70" s="44">
        <f t="shared" si="63"/>
        <v>-7.1159970637408207</v>
      </c>
      <c r="R70" s="44">
        <f t="shared" si="63"/>
        <v>-7.1135006383637123</v>
      </c>
      <c r="S70" s="44">
        <f t="shared" si="63"/>
        <v>-6.0214390661967032</v>
      </c>
      <c r="T70" s="44">
        <f t="shared" si="63"/>
        <v>-5.5933076299591509</v>
      </c>
      <c r="U70" s="44">
        <f t="shared" ref="U70" si="67">AVERAGE(Q68:U68)</f>
        <v>-4.7778270239668554</v>
      </c>
      <c r="V70" s="44">
        <f t="shared" ref="V70" si="68">AVERAGE(R68:V68)</f>
        <v>-3.5760990072103311</v>
      </c>
    </row>
    <row r="71" spans="1:22">
      <c r="N71" s="38"/>
      <c r="O71" s="45"/>
      <c r="P71" s="45"/>
      <c r="Q71" s="45"/>
      <c r="R71" s="45"/>
      <c r="S71" s="45"/>
      <c r="T71" s="45"/>
    </row>
    <row r="72" spans="1:22">
      <c r="B72" s="24" t="s">
        <v>47</v>
      </c>
      <c r="C72" s="22" t="str">
        <f>'Penitentiary sector'!C72</f>
        <v>PROPORTION OF RETREATMENT CASES</v>
      </c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43"/>
      <c r="O72" s="46"/>
      <c r="P72" s="46"/>
      <c r="Q72" s="46"/>
      <c r="R72" s="46"/>
      <c r="S72" s="46"/>
      <c r="T72" s="46"/>
      <c r="U72" s="46"/>
      <c r="V72" s="46"/>
    </row>
    <row r="73" spans="1:22">
      <c r="N73" s="38"/>
      <c r="O73" s="45"/>
      <c r="P73" s="45"/>
      <c r="Q73" s="45"/>
      <c r="R73" s="45"/>
      <c r="S73" s="45"/>
      <c r="T73" s="45"/>
    </row>
    <row r="74" spans="1:22">
      <c r="B74" s="2" t="s">
        <v>35</v>
      </c>
      <c r="N74" s="38"/>
      <c r="O74" s="45"/>
      <c r="P74" s="45"/>
      <c r="Q74" s="45"/>
      <c r="R74" s="45"/>
      <c r="S74" s="45"/>
      <c r="T74" s="45"/>
    </row>
    <row r="75" spans="1:22">
      <c r="A75" s="25">
        <v>1</v>
      </c>
      <c r="B75" s="1" t="s">
        <v>34</v>
      </c>
      <c r="E75" s="21">
        <f>E50/E52%</f>
        <v>33.843873517786562</v>
      </c>
      <c r="F75" s="21">
        <f t="shared" ref="F75:V75" si="69">F50/F52%</f>
        <v>31.722689075630253</v>
      </c>
      <c r="G75" s="21">
        <f t="shared" si="69"/>
        <v>30.222391180383958</v>
      </c>
      <c r="H75" s="21">
        <f t="shared" si="69"/>
        <v>27.734150545872438</v>
      </c>
      <c r="I75" s="21">
        <f t="shared" si="69"/>
        <v>23.664879888822714</v>
      </c>
      <c r="J75" s="21">
        <f t="shared" si="69"/>
        <v>22.770524452312461</v>
      </c>
      <c r="K75" s="21">
        <f t="shared" si="69"/>
        <v>21.494042163153072</v>
      </c>
      <c r="L75" s="21">
        <f t="shared" si="69"/>
        <v>22.76214833759591</v>
      </c>
      <c r="M75" s="21">
        <f t="shared" si="69"/>
        <v>25.855327468230694</v>
      </c>
      <c r="N75" s="41">
        <f t="shared" si="69"/>
        <v>26.018893387314442</v>
      </c>
      <c r="O75" s="41">
        <f t="shared" si="69"/>
        <v>26.430205949656749</v>
      </c>
      <c r="P75" s="41">
        <f t="shared" si="69"/>
        <v>25.461822660098523</v>
      </c>
      <c r="Q75" s="44">
        <f t="shared" si="69"/>
        <v>25.042073375967686</v>
      </c>
      <c r="R75" s="44">
        <f t="shared" si="69"/>
        <v>25.15033604527768</v>
      </c>
      <c r="S75" s="44">
        <f t="shared" si="69"/>
        <v>25.165806927044951</v>
      </c>
      <c r="T75" s="44">
        <f t="shared" si="69"/>
        <v>25.162275677739594</v>
      </c>
      <c r="U75" s="44">
        <f t="shared" si="69"/>
        <v>25.15748031496063</v>
      </c>
      <c r="V75" s="44">
        <f t="shared" si="69"/>
        <v>25.161550888529884</v>
      </c>
    </row>
    <row r="76" spans="1:22">
      <c r="A76" s="25">
        <v>2</v>
      </c>
      <c r="B76" s="1" t="s">
        <v>28</v>
      </c>
      <c r="E76" s="21"/>
      <c r="F76" s="21"/>
      <c r="G76" s="21">
        <f>AVERAGE(E75:G75)</f>
        <v>31.929651257933596</v>
      </c>
      <c r="H76" s="21">
        <f>AVERAGE(F75:H75)</f>
        <v>29.893076933962217</v>
      </c>
      <c r="I76" s="21">
        <f t="shared" ref="I76:T76" si="70">AVERAGE(G75:I75)</f>
        <v>27.207140538359706</v>
      </c>
      <c r="J76" s="21">
        <f t="shared" si="70"/>
        <v>24.723184962335868</v>
      </c>
      <c r="K76" s="21">
        <f t="shared" si="70"/>
        <v>22.643148834762751</v>
      </c>
      <c r="L76" s="21">
        <f t="shared" si="70"/>
        <v>22.342238317687148</v>
      </c>
      <c r="M76" s="21">
        <f t="shared" si="70"/>
        <v>23.370505989659893</v>
      </c>
      <c r="N76" s="41">
        <f t="shared" si="70"/>
        <v>24.878789731047011</v>
      </c>
      <c r="O76" s="41">
        <f t="shared" ref="O76" si="71">AVERAGE(M75:O75)</f>
        <v>26.101475601733963</v>
      </c>
      <c r="P76" s="41">
        <f t="shared" ref="P76" si="72">AVERAGE(N75:P75)</f>
        <v>25.970307332356569</v>
      </c>
      <c r="Q76" s="44">
        <f t="shared" si="70"/>
        <v>25.644700661907653</v>
      </c>
      <c r="R76" s="44">
        <f t="shared" si="70"/>
        <v>25.218077360447964</v>
      </c>
      <c r="S76" s="44">
        <f t="shared" si="70"/>
        <v>25.119405449430104</v>
      </c>
      <c r="T76" s="44">
        <f t="shared" si="70"/>
        <v>25.159472883354074</v>
      </c>
      <c r="U76" s="44">
        <f t="shared" ref="U76" si="73">AVERAGE(S75:U75)</f>
        <v>25.161854306581727</v>
      </c>
      <c r="V76" s="44">
        <f t="shared" ref="V76" si="74">AVERAGE(T75:V75)</f>
        <v>25.160435627076705</v>
      </c>
    </row>
    <row r="77" spans="1:22">
      <c r="A77" s="25">
        <v>3</v>
      </c>
      <c r="B77" s="1" t="s">
        <v>29</v>
      </c>
      <c r="E77" s="21"/>
      <c r="F77" s="21"/>
      <c r="G77" s="21"/>
      <c r="H77" s="21"/>
      <c r="I77" s="21">
        <f>AVERAGE(E75:I75)</f>
        <v>29.43759684169919</v>
      </c>
      <c r="J77" s="21">
        <f>AVERAGE(F75:J75)</f>
        <v>27.222927028604364</v>
      </c>
      <c r="K77" s="21">
        <f t="shared" ref="K77:T77" si="75">AVERAGE(G75:K75)</f>
        <v>25.17719764610893</v>
      </c>
      <c r="L77" s="21">
        <f t="shared" si="75"/>
        <v>23.685149077551319</v>
      </c>
      <c r="M77" s="21">
        <f t="shared" si="75"/>
        <v>23.309384462022969</v>
      </c>
      <c r="N77" s="41">
        <f t="shared" si="75"/>
        <v>23.780187161721319</v>
      </c>
      <c r="O77" s="41">
        <f t="shared" ref="O77" si="76">AVERAGE(K75:O75)</f>
        <v>24.512123461190178</v>
      </c>
      <c r="P77" s="41">
        <f t="shared" ref="P77" si="77">AVERAGE(L75:P75)</f>
        <v>25.305679560579261</v>
      </c>
      <c r="Q77" s="44">
        <f t="shared" si="75"/>
        <v>25.761664568253615</v>
      </c>
      <c r="R77" s="44">
        <f t="shared" si="75"/>
        <v>25.620666283663013</v>
      </c>
      <c r="S77" s="44">
        <f t="shared" si="75"/>
        <v>25.450048991609119</v>
      </c>
      <c r="T77" s="44">
        <f t="shared" si="75"/>
        <v>25.196462937225686</v>
      </c>
      <c r="U77" s="44">
        <f t="shared" ref="U77" si="78">AVERAGE(Q75:U75)</f>
        <v>25.135594468198104</v>
      </c>
      <c r="V77" s="44">
        <f t="shared" ref="V77" si="79">AVERAGE(R75:V75)</f>
        <v>25.159489970710545</v>
      </c>
    </row>
    <row r="78" spans="1:22">
      <c r="E78" s="21"/>
      <c r="F78" s="21"/>
      <c r="G78" s="21"/>
      <c r="H78" s="21"/>
      <c r="I78" s="21"/>
      <c r="J78" s="21"/>
      <c r="K78" s="21"/>
      <c r="L78" s="21"/>
      <c r="M78" s="21"/>
      <c r="N78" s="38"/>
      <c r="O78" s="45"/>
      <c r="P78" s="45"/>
      <c r="Q78" s="45"/>
      <c r="R78" s="45"/>
      <c r="S78" s="45"/>
      <c r="T78" s="45"/>
    </row>
    <row r="79" spans="1:22">
      <c r="B79" s="24" t="s">
        <v>49</v>
      </c>
      <c r="C79" s="22" t="str">
        <f>'Penitentiary sector'!C79</f>
        <v>PROPORTION OF EXTRAPULMONARY CASES</v>
      </c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43"/>
      <c r="O79" s="46"/>
      <c r="P79" s="46"/>
      <c r="Q79" s="46"/>
      <c r="R79" s="46"/>
      <c r="S79" s="46"/>
      <c r="T79" s="46"/>
    </row>
    <row r="80" spans="1:22">
      <c r="N80" s="38"/>
      <c r="O80" s="45"/>
      <c r="P80" s="45"/>
      <c r="Q80" s="45"/>
      <c r="R80" s="45"/>
      <c r="S80" s="45"/>
      <c r="T80" s="45"/>
    </row>
    <row r="81" spans="1:22">
      <c r="B81" s="2" t="s">
        <v>36</v>
      </c>
      <c r="E81" s="21"/>
      <c r="F81" s="21"/>
      <c r="G81" s="21"/>
      <c r="H81" s="21"/>
      <c r="I81" s="21"/>
      <c r="J81" s="21"/>
      <c r="K81" s="21"/>
      <c r="L81" s="21"/>
      <c r="M81" s="21"/>
      <c r="N81" s="38"/>
      <c r="O81" s="45"/>
      <c r="P81" s="45"/>
      <c r="Q81" s="45"/>
      <c r="R81" s="45"/>
      <c r="S81" s="45"/>
      <c r="T81" s="45"/>
    </row>
    <row r="82" spans="1:22">
      <c r="A82" s="25">
        <v>1</v>
      </c>
      <c r="B82" s="1" t="s">
        <v>34</v>
      </c>
      <c r="E82" s="21">
        <f>E44/E45%</f>
        <v>30.271346776201145</v>
      </c>
      <c r="F82" s="21">
        <f t="shared" ref="F82:P82" si="80">F44/F45%</f>
        <v>31</v>
      </c>
      <c r="G82" s="21">
        <f t="shared" si="80"/>
        <v>32.062108417324978</v>
      </c>
      <c r="H82" s="21">
        <f t="shared" si="80"/>
        <v>30.691757222369471</v>
      </c>
      <c r="I82" s="21">
        <f t="shared" si="80"/>
        <v>29.518855656697006</v>
      </c>
      <c r="J82" s="21">
        <f t="shared" si="80"/>
        <v>27.621776504297994</v>
      </c>
      <c r="K82" s="21">
        <f t="shared" si="80"/>
        <v>26.357267950963223</v>
      </c>
      <c r="L82" s="21">
        <f t="shared" si="80"/>
        <v>25.496688741721854</v>
      </c>
      <c r="M82" s="21">
        <f t="shared" si="80"/>
        <v>23.104812129202372</v>
      </c>
      <c r="N82" s="41">
        <f t="shared" si="80"/>
        <v>23.641006931776722</v>
      </c>
      <c r="O82" s="41">
        <f t="shared" si="80"/>
        <v>23.561430793157076</v>
      </c>
      <c r="P82" s="41">
        <f t="shared" si="80"/>
        <v>22.965716646014044</v>
      </c>
      <c r="Q82" s="49">
        <v>22.5</v>
      </c>
      <c r="R82" s="49">
        <v>22.3</v>
      </c>
      <c r="S82" s="49">
        <v>22.1</v>
      </c>
      <c r="T82" s="49">
        <v>22</v>
      </c>
      <c r="U82" s="49">
        <v>22</v>
      </c>
      <c r="V82" s="49">
        <v>22</v>
      </c>
    </row>
    <row r="83" spans="1:22">
      <c r="A83" s="25">
        <v>2</v>
      </c>
      <c r="B83" s="1" t="s">
        <v>28</v>
      </c>
      <c r="E83" s="21"/>
      <c r="F83" s="21"/>
      <c r="G83" s="21">
        <f>AVERAGE(E82:G82)</f>
        <v>31.111151731175372</v>
      </c>
      <c r="H83" s="21">
        <f>AVERAGE(F82:H82)</f>
        <v>31.251288546564819</v>
      </c>
      <c r="I83" s="21">
        <f t="shared" ref="I83:T83" si="81">AVERAGE(G82:I82)</f>
        <v>30.757573765463821</v>
      </c>
      <c r="J83" s="21">
        <f t="shared" si="81"/>
        <v>29.277463127788156</v>
      </c>
      <c r="K83" s="21">
        <f t="shared" si="81"/>
        <v>27.83263337065274</v>
      </c>
      <c r="L83" s="21">
        <f t="shared" si="81"/>
        <v>26.491911065661025</v>
      </c>
      <c r="M83" s="21">
        <f t="shared" si="81"/>
        <v>24.986256273962482</v>
      </c>
      <c r="N83" s="41">
        <f t="shared" si="81"/>
        <v>24.080835934233647</v>
      </c>
      <c r="O83" s="41">
        <f t="shared" ref="O83" si="82">AVERAGE(M82:O82)</f>
        <v>23.435749951378725</v>
      </c>
      <c r="P83" s="41">
        <f t="shared" ref="P83" si="83">AVERAGE(N82:P82)</f>
        <v>23.389384790315948</v>
      </c>
      <c r="Q83" s="44">
        <f t="shared" si="81"/>
        <v>23.009049146390371</v>
      </c>
      <c r="R83" s="44">
        <f t="shared" si="81"/>
        <v>22.588572215338015</v>
      </c>
      <c r="S83" s="44">
        <f t="shared" si="81"/>
        <v>22.3</v>
      </c>
      <c r="T83" s="44">
        <f t="shared" si="81"/>
        <v>22.133333333333336</v>
      </c>
      <c r="U83" s="44">
        <f t="shared" ref="U83" si="84">AVERAGE(S82:U82)</f>
        <v>22.033333333333331</v>
      </c>
      <c r="V83" s="44">
        <f t="shared" ref="V83" si="85">AVERAGE(T82:V82)</f>
        <v>22</v>
      </c>
    </row>
    <row r="84" spans="1:22">
      <c r="A84" s="25">
        <v>3</v>
      </c>
      <c r="B84" s="1" t="s">
        <v>29</v>
      </c>
      <c r="E84" s="21"/>
      <c r="F84" s="21"/>
      <c r="G84" s="21"/>
      <c r="H84" s="21"/>
      <c r="I84" s="21">
        <f>AVERAGE(E82:I82)</f>
        <v>30.708813614518522</v>
      </c>
      <c r="J84" s="21">
        <f>AVERAGE(F82:J82)</f>
        <v>30.178899560137893</v>
      </c>
      <c r="K84" s="21">
        <f t="shared" ref="K84:T84" si="86">AVERAGE(G82:K82)</f>
        <v>29.25035315033054</v>
      </c>
      <c r="L84" s="21">
        <f t="shared" si="86"/>
        <v>27.937269215209909</v>
      </c>
      <c r="M84" s="21">
        <f t="shared" si="86"/>
        <v>26.419880196576493</v>
      </c>
      <c r="N84" s="41">
        <f t="shared" si="86"/>
        <v>25.244310451592433</v>
      </c>
      <c r="O84" s="41">
        <f t="shared" ref="O84" si="87">AVERAGE(K82:O82)</f>
        <v>24.432241309364251</v>
      </c>
      <c r="P84" s="41">
        <f t="shared" ref="P84" si="88">AVERAGE(L82:P82)</f>
        <v>23.753931048374412</v>
      </c>
      <c r="Q84" s="44">
        <f t="shared" si="86"/>
        <v>23.154593300030044</v>
      </c>
      <c r="R84" s="44">
        <f t="shared" si="86"/>
        <v>22.99363087418957</v>
      </c>
      <c r="S84" s="44">
        <f t="shared" si="86"/>
        <v>22.68542948783422</v>
      </c>
      <c r="T84" s="44">
        <f t="shared" si="86"/>
        <v>22.373143329202811</v>
      </c>
      <c r="U84" s="44">
        <f t="shared" ref="U84" si="89">AVERAGE(Q82:U82)</f>
        <v>22.18</v>
      </c>
      <c r="V84" s="44">
        <f t="shared" ref="V84" si="90">AVERAGE(R82:V82)</f>
        <v>22.080000000000002</v>
      </c>
    </row>
    <row r="85" spans="1:22">
      <c r="E85" s="21"/>
      <c r="F85" s="21"/>
      <c r="G85" s="21"/>
      <c r="H85" s="21"/>
      <c r="I85" s="21"/>
      <c r="J85" s="21"/>
      <c r="K85" s="21"/>
      <c r="L85" s="21"/>
      <c r="M85" s="21"/>
      <c r="N85" s="38"/>
      <c r="O85" s="45"/>
      <c r="P85" s="45"/>
      <c r="Q85" s="45"/>
      <c r="R85" s="45"/>
      <c r="S85" s="45"/>
      <c r="T85" s="45"/>
    </row>
    <row r="86" spans="1:22">
      <c r="B86" s="2" t="s">
        <v>37</v>
      </c>
      <c r="E86" s="21"/>
      <c r="F86" s="21"/>
      <c r="G86" s="21"/>
      <c r="H86" s="21"/>
      <c r="I86" s="21"/>
      <c r="J86" s="21"/>
      <c r="K86" s="21"/>
      <c r="L86" s="21"/>
      <c r="M86" s="21"/>
      <c r="N86" s="38"/>
      <c r="O86" s="45"/>
      <c r="P86" s="45"/>
      <c r="Q86" s="45"/>
      <c r="R86" s="45"/>
      <c r="S86" s="45"/>
      <c r="T86" s="45"/>
    </row>
    <row r="87" spans="1:22">
      <c r="A87" s="25">
        <v>4</v>
      </c>
      <c r="B87" s="1" t="s">
        <v>34</v>
      </c>
      <c r="E87" s="21">
        <f t="shared" ref="E87:P87" si="91">E49/E50%</f>
        <v>5.8880778588807781</v>
      </c>
      <c r="F87" s="21">
        <f t="shared" si="91"/>
        <v>6.2913907284768209</v>
      </c>
      <c r="G87" s="21">
        <f t="shared" si="91"/>
        <v>7.232704402515723</v>
      </c>
      <c r="H87" s="21">
        <f t="shared" si="91"/>
        <v>8.2872928176795586</v>
      </c>
      <c r="I87" s="21">
        <f t="shared" si="91"/>
        <v>7.3825503355704702</v>
      </c>
      <c r="J87" s="21">
        <f t="shared" si="91"/>
        <v>8.6491739552964049</v>
      </c>
      <c r="K87" s="21">
        <f t="shared" si="91"/>
        <v>9.1684434968017055</v>
      </c>
      <c r="L87" s="21">
        <f t="shared" si="91"/>
        <v>10.725229826353424</v>
      </c>
      <c r="M87" s="21">
        <f t="shared" si="91"/>
        <v>8.3175803402646498</v>
      </c>
      <c r="N87" s="41">
        <f t="shared" si="91"/>
        <v>9.2323651452282149</v>
      </c>
      <c r="O87" s="41">
        <f t="shared" si="91"/>
        <v>7.7922077922077921</v>
      </c>
      <c r="P87" s="41">
        <f t="shared" si="91"/>
        <v>6.892382103990327</v>
      </c>
      <c r="Q87" s="49">
        <v>6</v>
      </c>
      <c r="R87" s="49">
        <v>6</v>
      </c>
      <c r="S87" s="49">
        <v>5.5</v>
      </c>
      <c r="T87" s="49">
        <v>5</v>
      </c>
      <c r="U87" s="49">
        <v>4.5</v>
      </c>
      <c r="V87" s="49">
        <v>4</v>
      </c>
    </row>
    <row r="88" spans="1:22">
      <c r="A88" s="25">
        <v>5</v>
      </c>
      <c r="B88" s="1" t="s">
        <v>28</v>
      </c>
      <c r="E88" s="21"/>
      <c r="F88" s="21"/>
      <c r="G88" s="21">
        <f>AVERAGE(E87:G87)</f>
        <v>6.4707243299577746</v>
      </c>
      <c r="H88" s="21">
        <f>AVERAGE(F87:H87)</f>
        <v>7.2704626495573672</v>
      </c>
      <c r="I88" s="21">
        <f t="shared" ref="I88:T88" si="92">AVERAGE(G87:I87)</f>
        <v>7.6341825185885845</v>
      </c>
      <c r="J88" s="21">
        <f t="shared" si="92"/>
        <v>8.1063390361821437</v>
      </c>
      <c r="K88" s="21">
        <f t="shared" si="92"/>
        <v>8.4000559292228605</v>
      </c>
      <c r="L88" s="21">
        <f t="shared" si="92"/>
        <v>9.5142824261505119</v>
      </c>
      <c r="M88" s="21">
        <f t="shared" si="92"/>
        <v>9.4037512211399257</v>
      </c>
      <c r="N88" s="41">
        <f t="shared" si="92"/>
        <v>9.4250584372820967</v>
      </c>
      <c r="O88" s="41">
        <f t="shared" ref="O88" si="93">AVERAGE(M87:O87)</f>
        <v>8.4473844259002178</v>
      </c>
      <c r="P88" s="41">
        <f t="shared" ref="P88" si="94">AVERAGE(N87:P87)</f>
        <v>7.9723183471421111</v>
      </c>
      <c r="Q88" s="44">
        <f t="shared" si="92"/>
        <v>6.8948632987327061</v>
      </c>
      <c r="R88" s="44">
        <f t="shared" si="92"/>
        <v>6.2974607013301096</v>
      </c>
      <c r="S88" s="44">
        <f t="shared" si="92"/>
        <v>5.833333333333333</v>
      </c>
      <c r="T88" s="44">
        <f t="shared" si="92"/>
        <v>5.5</v>
      </c>
      <c r="U88" s="44">
        <f t="shared" ref="U88" si="95">AVERAGE(S87:U87)</f>
        <v>5</v>
      </c>
      <c r="V88" s="44">
        <f t="shared" ref="V88" si="96">AVERAGE(T87:V87)</f>
        <v>4.5</v>
      </c>
    </row>
    <row r="89" spans="1:22">
      <c r="A89" s="25">
        <v>6</v>
      </c>
      <c r="B89" s="1" t="s">
        <v>29</v>
      </c>
      <c r="E89" s="21"/>
      <c r="F89" s="21"/>
      <c r="G89" s="21"/>
      <c r="H89" s="21"/>
      <c r="I89" s="21">
        <f>AVERAGE(E87:I87)</f>
        <v>7.0164032286246707</v>
      </c>
      <c r="J89" s="21">
        <f>AVERAGE(F87:J87)</f>
        <v>7.5686224479077966</v>
      </c>
      <c r="K89" s="21">
        <f t="shared" ref="K89:T89" si="97">AVERAGE(G87:K87)</f>
        <v>8.1440330015727724</v>
      </c>
      <c r="L89" s="21">
        <f t="shared" si="97"/>
        <v>8.842538086340312</v>
      </c>
      <c r="M89" s="21">
        <f t="shared" si="97"/>
        <v>8.8485955908573306</v>
      </c>
      <c r="N89" s="41">
        <f t="shared" si="97"/>
        <v>9.2185585527888811</v>
      </c>
      <c r="O89" s="41">
        <f t="shared" ref="O89" si="98">AVERAGE(K87:O87)</f>
        <v>9.0471653201711568</v>
      </c>
      <c r="P89" s="41">
        <f t="shared" ref="P89" si="99">AVERAGE(L87:P87)</f>
        <v>8.5919530416088818</v>
      </c>
      <c r="Q89" s="44">
        <f t="shared" si="97"/>
        <v>7.6469070763381968</v>
      </c>
      <c r="R89" s="44">
        <f t="shared" si="97"/>
        <v>7.183391008285267</v>
      </c>
      <c r="S89" s="44">
        <f t="shared" si="97"/>
        <v>6.4369179792396238</v>
      </c>
      <c r="T89" s="44">
        <f t="shared" si="97"/>
        <v>5.8784764207980658</v>
      </c>
      <c r="U89" s="44">
        <f t="shared" ref="U89" si="100">AVERAGE(Q87:U87)</f>
        <v>5.4</v>
      </c>
      <c r="V89" s="44">
        <f t="shared" ref="V89" si="101">AVERAGE(R87:V87)</f>
        <v>5</v>
      </c>
    </row>
    <row r="90" spans="1:22">
      <c r="N90" s="38"/>
      <c r="O90" s="45"/>
      <c r="P90" s="45"/>
      <c r="Q90" s="45"/>
      <c r="R90" s="45"/>
      <c r="S90" s="45"/>
      <c r="T90" s="45"/>
    </row>
    <row r="91" spans="1:22">
      <c r="B91" s="2" t="s">
        <v>38</v>
      </c>
      <c r="N91" s="38"/>
      <c r="O91" s="45"/>
      <c r="P91" s="45"/>
      <c r="Q91" s="45"/>
      <c r="R91" s="45"/>
      <c r="S91" s="45"/>
      <c r="T91" s="45"/>
    </row>
    <row r="92" spans="1:22">
      <c r="A92" s="25">
        <v>7</v>
      </c>
      <c r="B92" s="1" t="s">
        <v>34</v>
      </c>
      <c r="E92" s="21">
        <f t="shared" ref="E92:V92" si="102">(E44+E49)/E52%</f>
        <v>22.019104084321476</v>
      </c>
      <c r="F92" s="21">
        <f t="shared" si="102"/>
        <v>23.161764705882355</v>
      </c>
      <c r="G92" s="21">
        <f t="shared" si="102"/>
        <v>24.558068808211367</v>
      </c>
      <c r="H92" s="21">
        <f t="shared" si="102"/>
        <v>24.478069335376365</v>
      </c>
      <c r="I92" s="21">
        <f t="shared" si="102"/>
        <v>24.280325590629346</v>
      </c>
      <c r="J92" s="21">
        <f t="shared" si="102"/>
        <v>23.30161540163753</v>
      </c>
      <c r="K92" s="21">
        <f t="shared" si="102"/>
        <v>22.66269477543538</v>
      </c>
      <c r="L92" s="21">
        <f t="shared" si="102"/>
        <v>22.134387351778656</v>
      </c>
      <c r="M92" s="21">
        <f t="shared" si="102"/>
        <v>19.281524926686217</v>
      </c>
      <c r="N92" s="41">
        <f t="shared" si="102"/>
        <v>19.89203778677463</v>
      </c>
      <c r="O92" s="41">
        <f t="shared" si="102"/>
        <v>19.393592677345538</v>
      </c>
      <c r="P92" s="41">
        <f t="shared" si="102"/>
        <v>18.873152709359609</v>
      </c>
      <c r="Q92" s="44">
        <f t="shared" si="102"/>
        <v>18.377650622685962</v>
      </c>
      <c r="R92" s="44">
        <f t="shared" si="102"/>
        <v>18.217191368942341</v>
      </c>
      <c r="S92" s="44">
        <f t="shared" si="102"/>
        <v>17.943994104642595</v>
      </c>
      <c r="T92" s="44">
        <f t="shared" si="102"/>
        <v>17.716685757922871</v>
      </c>
      <c r="U92" s="44">
        <f t="shared" si="102"/>
        <v>17.598425196850396</v>
      </c>
      <c r="V92" s="44">
        <f t="shared" si="102"/>
        <v>17.487883683360259</v>
      </c>
    </row>
    <row r="93" spans="1:22">
      <c r="A93" s="25">
        <v>8</v>
      </c>
      <c r="B93" s="1" t="s">
        <v>28</v>
      </c>
      <c r="E93" s="21"/>
      <c r="F93" s="21"/>
      <c r="G93" s="21">
        <f>AVERAGE(E92:G92)</f>
        <v>23.246312532805064</v>
      </c>
      <c r="H93" s="21">
        <f>AVERAGE(F92:H92)</f>
        <v>24.065967616490028</v>
      </c>
      <c r="I93" s="21">
        <f t="shared" ref="I93:T93" si="103">AVERAGE(G92:I92)</f>
        <v>24.438821244739028</v>
      </c>
      <c r="J93" s="21">
        <f t="shared" si="103"/>
        <v>24.020003442547747</v>
      </c>
      <c r="K93" s="21">
        <f t="shared" si="103"/>
        <v>23.414878589234089</v>
      </c>
      <c r="L93" s="21">
        <f t="shared" si="103"/>
        <v>22.699565842950523</v>
      </c>
      <c r="M93" s="21">
        <f t="shared" si="103"/>
        <v>21.359535684633418</v>
      </c>
      <c r="N93" s="41">
        <f t="shared" si="103"/>
        <v>20.435983355079834</v>
      </c>
      <c r="O93" s="41">
        <f t="shared" ref="O93" si="104">AVERAGE(M92:O92)</f>
        <v>19.522385130268795</v>
      </c>
      <c r="P93" s="41">
        <f t="shared" ref="P93" si="105">AVERAGE(N92:P92)</f>
        <v>19.386261057826591</v>
      </c>
      <c r="Q93" s="44">
        <f t="shared" si="103"/>
        <v>18.881465336463702</v>
      </c>
      <c r="R93" s="44">
        <f t="shared" si="103"/>
        <v>18.489331566995972</v>
      </c>
      <c r="S93" s="44">
        <f t="shared" si="103"/>
        <v>18.179612032090301</v>
      </c>
      <c r="T93" s="44">
        <f t="shared" si="103"/>
        <v>17.959290410502604</v>
      </c>
      <c r="U93" s="44">
        <f t="shared" ref="U93" si="106">AVERAGE(S92:U92)</f>
        <v>17.753035019805285</v>
      </c>
      <c r="V93" s="44">
        <f t="shared" ref="V93" si="107">AVERAGE(T92:V92)</f>
        <v>17.600998212711175</v>
      </c>
    </row>
    <row r="94" spans="1:22">
      <c r="A94" s="25">
        <v>9</v>
      </c>
      <c r="B94" s="1" t="s">
        <v>29</v>
      </c>
      <c r="E94" s="21"/>
      <c r="F94" s="21"/>
      <c r="G94" s="21"/>
      <c r="H94" s="21"/>
      <c r="I94" s="21">
        <f>AVERAGE(E92:I92)</f>
        <v>23.699466504884178</v>
      </c>
      <c r="J94" s="21">
        <f>AVERAGE(F92:J92)</f>
        <v>23.955968768347393</v>
      </c>
      <c r="K94" s="21">
        <f t="shared" ref="K94:T94" si="108">AVERAGE(G92:K92)</f>
        <v>23.856154782257999</v>
      </c>
      <c r="L94" s="21">
        <f t="shared" si="108"/>
        <v>23.371418490971458</v>
      </c>
      <c r="M94" s="21">
        <f t="shared" si="108"/>
        <v>22.332109609233427</v>
      </c>
      <c r="N94" s="41">
        <f t="shared" si="108"/>
        <v>21.454452048462485</v>
      </c>
      <c r="O94" s="41">
        <f t="shared" ref="O94" si="109">AVERAGE(K92:O92)</f>
        <v>20.672847503604082</v>
      </c>
      <c r="P94" s="41">
        <f t="shared" ref="P94" si="110">AVERAGE(L92:P92)</f>
        <v>19.914939090388931</v>
      </c>
      <c r="Q94" s="44">
        <f t="shared" si="108"/>
        <v>19.16359174457039</v>
      </c>
      <c r="R94" s="44">
        <f t="shared" si="108"/>
        <v>18.950725033021616</v>
      </c>
      <c r="S94" s="44">
        <f t="shared" si="108"/>
        <v>18.561116296595209</v>
      </c>
      <c r="T94" s="44">
        <f t="shared" si="108"/>
        <v>18.225734912710678</v>
      </c>
      <c r="U94" s="44">
        <f t="shared" ref="U94" si="111">AVERAGE(Q92:U92)</f>
        <v>17.970789410208834</v>
      </c>
      <c r="V94" s="44">
        <f t="shared" ref="V94" si="112">AVERAGE(R92:V92)</f>
        <v>17.792836022343693</v>
      </c>
    </row>
    <row r="95" spans="1:22">
      <c r="N95" s="38"/>
      <c r="O95" s="45"/>
      <c r="P95" s="45"/>
      <c r="Q95" s="45"/>
      <c r="R95" s="45"/>
      <c r="S95" s="45"/>
      <c r="T95" s="45"/>
    </row>
    <row r="96" spans="1:22">
      <c r="B96" s="24" t="s">
        <v>50</v>
      </c>
      <c r="C96" s="22" t="str">
        <f>'Penitentiary sector'!C96</f>
        <v>PROPORTION OF SMEAR-POSITIVE CASES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43"/>
      <c r="O96" s="46"/>
      <c r="P96" s="46"/>
      <c r="Q96" s="46"/>
      <c r="R96" s="46"/>
      <c r="S96" s="46"/>
      <c r="T96" s="46"/>
      <c r="U96" s="46"/>
      <c r="V96" s="46"/>
    </row>
    <row r="97" spans="1:22">
      <c r="N97" s="38"/>
      <c r="O97" s="45"/>
      <c r="P97" s="45"/>
      <c r="Q97" s="45"/>
      <c r="R97" s="45"/>
      <c r="S97" s="45"/>
      <c r="T97" s="45"/>
    </row>
    <row r="98" spans="1:22">
      <c r="B98" s="2" t="s">
        <v>39</v>
      </c>
      <c r="E98" s="21"/>
      <c r="F98" s="21"/>
      <c r="G98" s="21"/>
      <c r="H98" s="21"/>
      <c r="I98" s="21"/>
      <c r="J98" s="21"/>
      <c r="K98" s="21"/>
      <c r="L98" s="21"/>
      <c r="M98" s="21"/>
      <c r="N98" s="38"/>
      <c r="O98" s="45"/>
      <c r="P98" s="45"/>
      <c r="Q98" s="45"/>
      <c r="R98" s="45"/>
      <c r="S98" s="45"/>
      <c r="T98" s="45"/>
    </row>
    <row r="99" spans="1:22">
      <c r="A99" s="25">
        <v>1</v>
      </c>
      <c r="B99" s="1" t="s">
        <v>34</v>
      </c>
      <c r="E99" s="21">
        <f>E42/(E42+E43)%</f>
        <v>47.018921813637981</v>
      </c>
      <c r="F99" s="21">
        <f t="shared" ref="F99:P99" si="113">F42/(F42+F43)%</f>
        <v>56.075808249721291</v>
      </c>
      <c r="G99" s="21">
        <f t="shared" si="113"/>
        <v>63.311948676824372</v>
      </c>
      <c r="H99" s="21">
        <f t="shared" si="113"/>
        <v>61.22370936902486</v>
      </c>
      <c r="I99" s="21">
        <f t="shared" si="113"/>
        <v>62.066420664206639</v>
      </c>
      <c r="J99" s="21">
        <f t="shared" si="113"/>
        <v>63.341250989707042</v>
      </c>
      <c r="K99" s="21">
        <f t="shared" si="113"/>
        <v>61.514070550931429</v>
      </c>
      <c r="L99" s="21">
        <f t="shared" si="113"/>
        <v>58.707070707070706</v>
      </c>
      <c r="M99" s="21">
        <f t="shared" si="113"/>
        <v>55.250750107158169</v>
      </c>
      <c r="N99" s="41">
        <f t="shared" si="113"/>
        <v>53.511705685618729</v>
      </c>
      <c r="O99" s="41">
        <f t="shared" si="113"/>
        <v>44.20142421159715</v>
      </c>
      <c r="P99" s="41">
        <f t="shared" si="113"/>
        <v>43.806970509383383</v>
      </c>
      <c r="Q99" s="49">
        <v>43</v>
      </c>
      <c r="R99" s="49">
        <v>43</v>
      </c>
      <c r="S99" s="49">
        <v>42</v>
      </c>
      <c r="T99" s="49">
        <v>40</v>
      </c>
      <c r="U99" s="49">
        <v>40</v>
      </c>
      <c r="V99" s="49">
        <v>40</v>
      </c>
    </row>
    <row r="100" spans="1:22">
      <c r="A100" s="25">
        <v>2</v>
      </c>
      <c r="B100" s="1" t="s">
        <v>28</v>
      </c>
      <c r="E100" s="21"/>
      <c r="F100" s="21"/>
      <c r="G100" s="21">
        <f>AVERAGE(E99:G99)</f>
        <v>55.468892913394541</v>
      </c>
      <c r="H100" s="21">
        <f>AVERAGE(F99:H99)</f>
        <v>60.20382209852351</v>
      </c>
      <c r="I100" s="21">
        <f t="shared" ref="I100:T100" si="114">AVERAGE(G99:I99)</f>
        <v>62.200692903351957</v>
      </c>
      <c r="J100" s="21">
        <f t="shared" si="114"/>
        <v>62.210460340979516</v>
      </c>
      <c r="K100" s="21">
        <f t="shared" si="114"/>
        <v>62.307247401615037</v>
      </c>
      <c r="L100" s="21">
        <f t="shared" si="114"/>
        <v>61.187464082569726</v>
      </c>
      <c r="M100" s="21">
        <f t="shared" si="114"/>
        <v>58.490630455053434</v>
      </c>
      <c r="N100" s="41">
        <f t="shared" si="114"/>
        <v>55.823175499949201</v>
      </c>
      <c r="O100" s="41">
        <f t="shared" ref="O100" si="115">AVERAGE(M99:O99)</f>
        <v>50.987960001458021</v>
      </c>
      <c r="P100" s="41">
        <f t="shared" ref="P100" si="116">AVERAGE(N99:P99)</f>
        <v>47.173366802199752</v>
      </c>
      <c r="Q100" s="44">
        <f t="shared" si="114"/>
        <v>43.669464906993511</v>
      </c>
      <c r="R100" s="44">
        <f t="shared" si="114"/>
        <v>43.268990169794456</v>
      </c>
      <c r="S100" s="44">
        <f t="shared" si="114"/>
        <v>42.666666666666664</v>
      </c>
      <c r="T100" s="44">
        <f t="shared" si="114"/>
        <v>41.666666666666664</v>
      </c>
      <c r="U100" s="44">
        <f t="shared" ref="U100" si="117">AVERAGE(S99:U99)</f>
        <v>40.666666666666664</v>
      </c>
      <c r="V100" s="44">
        <f t="shared" ref="V100" si="118">AVERAGE(T99:V99)</f>
        <v>40</v>
      </c>
    </row>
    <row r="101" spans="1:22">
      <c r="A101" s="25">
        <v>3</v>
      </c>
      <c r="B101" s="1" t="s">
        <v>29</v>
      </c>
      <c r="E101" s="21"/>
      <c r="F101" s="21"/>
      <c r="G101" s="21"/>
      <c r="H101" s="21"/>
      <c r="I101" s="21">
        <f>AVERAGE(E99:I99)</f>
        <v>57.93936175468302</v>
      </c>
      <c r="J101" s="21">
        <f>AVERAGE(F99:J99)</f>
        <v>61.203827589896846</v>
      </c>
      <c r="K101" s="21">
        <f t="shared" ref="K101:T101" si="119">AVERAGE(G99:K99)</f>
        <v>62.291480050138873</v>
      </c>
      <c r="L101" s="21">
        <f t="shared" si="119"/>
        <v>61.370504456188129</v>
      </c>
      <c r="M101" s="21">
        <f t="shared" si="119"/>
        <v>60.175912603814801</v>
      </c>
      <c r="N101" s="41">
        <f t="shared" si="119"/>
        <v>58.464969608097213</v>
      </c>
      <c r="O101" s="41">
        <f t="shared" ref="O101" si="120">AVERAGE(K99:O99)</f>
        <v>54.637004252475229</v>
      </c>
      <c r="P101" s="41">
        <f t="shared" ref="P101" si="121">AVERAGE(L99:P99)</f>
        <v>51.095584244165629</v>
      </c>
      <c r="Q101" s="44">
        <f t="shared" si="119"/>
        <v>47.95417010275149</v>
      </c>
      <c r="R101" s="44">
        <f t="shared" si="119"/>
        <v>45.504020081319851</v>
      </c>
      <c r="S101" s="44">
        <f t="shared" si="119"/>
        <v>43.201678944196104</v>
      </c>
      <c r="T101" s="44">
        <f t="shared" si="119"/>
        <v>42.361394101876677</v>
      </c>
      <c r="U101" s="44">
        <f t="shared" ref="U101" si="122">AVERAGE(Q99:U99)</f>
        <v>41.6</v>
      </c>
      <c r="V101" s="44">
        <f t="shared" ref="V101" si="123">AVERAGE(R99:V99)</f>
        <v>41</v>
      </c>
    </row>
    <row r="102" spans="1:22">
      <c r="N102" s="38"/>
      <c r="O102" s="45"/>
      <c r="P102" s="45"/>
      <c r="Q102" s="45"/>
      <c r="R102" s="45"/>
      <c r="S102" s="45"/>
      <c r="T102" s="45"/>
    </row>
    <row r="103" spans="1:22">
      <c r="B103" s="2" t="s">
        <v>61</v>
      </c>
      <c r="E103" s="21"/>
      <c r="F103" s="21"/>
      <c r="G103" s="21"/>
      <c r="H103" s="21"/>
      <c r="I103" s="21"/>
      <c r="J103" s="21"/>
      <c r="K103" s="21"/>
      <c r="L103" s="21"/>
      <c r="M103" s="21"/>
      <c r="N103" s="38"/>
      <c r="O103" s="45"/>
      <c r="P103" s="45"/>
      <c r="Q103" s="45"/>
      <c r="R103" s="45"/>
      <c r="S103" s="45"/>
      <c r="T103" s="45"/>
    </row>
    <row r="104" spans="1:22">
      <c r="A104" s="25">
        <v>4</v>
      </c>
      <c r="B104" s="1" t="s">
        <v>34</v>
      </c>
      <c r="E104" s="21">
        <f>E47/(E47+E48)%</f>
        <v>50.93071354705274</v>
      </c>
      <c r="F104" s="21">
        <f t="shared" ref="F104:P104" si="124">F47/(F47+F48)%</f>
        <v>58.480565371024731</v>
      </c>
      <c r="G104" s="21">
        <f t="shared" si="124"/>
        <v>63.932203389830505</v>
      </c>
      <c r="H104" s="21">
        <f t="shared" si="124"/>
        <v>61.21987951807229</v>
      </c>
      <c r="I104" s="21">
        <f t="shared" si="124"/>
        <v>56.250000000000007</v>
      </c>
      <c r="J104" s="21">
        <f t="shared" si="124"/>
        <v>54.148936170212764</v>
      </c>
      <c r="K104" s="21">
        <f t="shared" si="124"/>
        <v>58.920187793427232</v>
      </c>
      <c r="L104" s="21">
        <f t="shared" si="124"/>
        <v>57.89473684210526</v>
      </c>
      <c r="M104" s="21">
        <f t="shared" si="124"/>
        <v>54.432989690721655</v>
      </c>
      <c r="N104" s="41">
        <f t="shared" si="124"/>
        <v>51.428571428571431</v>
      </c>
      <c r="O104" s="41">
        <f t="shared" si="124"/>
        <v>44.248826291079816</v>
      </c>
      <c r="P104" s="41">
        <f t="shared" si="124"/>
        <v>44.935064935064936</v>
      </c>
      <c r="Q104" s="49">
        <v>44</v>
      </c>
      <c r="R104" s="49">
        <v>44</v>
      </c>
      <c r="S104" s="49">
        <v>44</v>
      </c>
      <c r="T104" s="49">
        <v>44</v>
      </c>
      <c r="U104" s="49">
        <v>44</v>
      </c>
      <c r="V104" s="49">
        <v>44</v>
      </c>
    </row>
    <row r="105" spans="1:22">
      <c r="A105" s="25">
        <v>5</v>
      </c>
      <c r="B105" s="1" t="s">
        <v>28</v>
      </c>
      <c r="E105" s="21"/>
      <c r="F105" s="21"/>
      <c r="G105" s="21">
        <f>AVERAGE(E104:G104)</f>
        <v>57.781160769302659</v>
      </c>
      <c r="H105" s="21">
        <f>AVERAGE(F104:H104)</f>
        <v>61.210882759642516</v>
      </c>
      <c r="I105" s="21">
        <f t="shared" ref="I105:T105" si="125">AVERAGE(G104:I104)</f>
        <v>60.467360969300934</v>
      </c>
      <c r="J105" s="21">
        <f t="shared" si="125"/>
        <v>57.206271896095018</v>
      </c>
      <c r="K105" s="21">
        <f t="shared" si="125"/>
        <v>56.439707987880006</v>
      </c>
      <c r="L105" s="21">
        <f t="shared" si="125"/>
        <v>56.987953601915081</v>
      </c>
      <c r="M105" s="21">
        <f t="shared" si="125"/>
        <v>57.082638108751382</v>
      </c>
      <c r="N105" s="41">
        <f t="shared" si="125"/>
        <v>54.585432653799444</v>
      </c>
      <c r="O105" s="41">
        <f t="shared" ref="O105" si="126">AVERAGE(M104:O104)</f>
        <v>50.036795803457636</v>
      </c>
      <c r="P105" s="41">
        <f t="shared" ref="P105" si="127">AVERAGE(N104:P104)</f>
        <v>46.870820884905392</v>
      </c>
      <c r="Q105" s="44">
        <f t="shared" si="125"/>
        <v>44.39463040871491</v>
      </c>
      <c r="R105" s="44">
        <f t="shared" si="125"/>
        <v>44.311688311688307</v>
      </c>
      <c r="S105" s="44">
        <f t="shared" si="125"/>
        <v>44</v>
      </c>
      <c r="T105" s="44">
        <f t="shared" si="125"/>
        <v>44</v>
      </c>
      <c r="U105" s="44">
        <f t="shared" ref="U105" si="128">AVERAGE(S104:U104)</f>
        <v>44</v>
      </c>
      <c r="V105" s="44">
        <f t="shared" ref="V105" si="129">AVERAGE(T104:V104)</f>
        <v>44</v>
      </c>
    </row>
    <row r="106" spans="1:22">
      <c r="A106" s="25">
        <v>6</v>
      </c>
      <c r="B106" s="1" t="s">
        <v>29</v>
      </c>
      <c r="E106" s="21"/>
      <c r="F106" s="21"/>
      <c r="G106" s="21"/>
      <c r="H106" s="21"/>
      <c r="I106" s="21">
        <f>AVERAGE(E104:I104)</f>
        <v>58.162672365196059</v>
      </c>
      <c r="J106" s="21">
        <f>AVERAGE(F104:J104)</f>
        <v>58.806316889828068</v>
      </c>
      <c r="K106" s="21">
        <f t="shared" ref="K106:T106" si="130">AVERAGE(G104:K104)</f>
        <v>58.894241374308557</v>
      </c>
      <c r="L106" s="21">
        <f t="shared" si="130"/>
        <v>57.686748064763513</v>
      </c>
      <c r="M106" s="21">
        <f t="shared" si="130"/>
        <v>56.329370099293385</v>
      </c>
      <c r="N106" s="41">
        <f t="shared" si="130"/>
        <v>55.365084385007663</v>
      </c>
      <c r="O106" s="41">
        <f t="shared" ref="O106" si="131">AVERAGE(K104:O104)</f>
        <v>53.385062409181081</v>
      </c>
      <c r="P106" s="41">
        <f t="shared" ref="P106" si="132">AVERAGE(L104:P104)</f>
        <v>50.588037837508615</v>
      </c>
      <c r="Q106" s="44">
        <f t="shared" si="130"/>
        <v>47.809090469087565</v>
      </c>
      <c r="R106" s="44">
        <f t="shared" si="130"/>
        <v>45.722492530943235</v>
      </c>
      <c r="S106" s="44">
        <f t="shared" si="130"/>
        <v>44.236778245228948</v>
      </c>
      <c r="T106" s="44">
        <f t="shared" si="130"/>
        <v>44.187012987012984</v>
      </c>
      <c r="U106" s="44">
        <f t="shared" ref="U106" si="133">AVERAGE(Q104:U104)</f>
        <v>44</v>
      </c>
      <c r="V106" s="44">
        <f t="shared" ref="V106" si="134">AVERAGE(R104:V104)</f>
        <v>44</v>
      </c>
    </row>
    <row r="107" spans="1:22">
      <c r="N107" s="38"/>
      <c r="O107" s="45"/>
      <c r="P107" s="45"/>
      <c r="Q107" s="45"/>
      <c r="R107" s="45"/>
      <c r="S107" s="45"/>
      <c r="T107" s="45"/>
    </row>
    <row r="108" spans="1:22">
      <c r="B108" s="2" t="s">
        <v>40</v>
      </c>
      <c r="E108" s="21"/>
      <c r="F108" s="21"/>
      <c r="G108" s="21"/>
      <c r="H108" s="21"/>
      <c r="I108" s="21"/>
      <c r="J108" s="21"/>
      <c r="K108" s="21"/>
      <c r="L108" s="21"/>
      <c r="M108" s="21"/>
      <c r="N108" s="38"/>
      <c r="O108" s="45"/>
      <c r="P108" s="45"/>
      <c r="Q108" s="45"/>
      <c r="R108" s="45"/>
      <c r="S108" s="45"/>
      <c r="T108" s="45"/>
    </row>
    <row r="109" spans="1:22">
      <c r="A109" s="25">
        <v>7</v>
      </c>
      <c r="B109" s="1" t="s">
        <v>34</v>
      </c>
      <c r="E109" s="21">
        <f>(E42+E47)/(E42+E43+E47+E48)%</f>
        <v>48.616684266103483</v>
      </c>
      <c r="F109" s="21">
        <f t="shared" ref="F109:V109" si="135">(F42+F47)/(F42+F43+F47+F48)%</f>
        <v>57.00615174299385</v>
      </c>
      <c r="G109" s="21">
        <f t="shared" si="135"/>
        <v>63.542454018644499</v>
      </c>
      <c r="H109" s="21">
        <f t="shared" si="135"/>
        <v>61.222419477555164</v>
      </c>
      <c r="I109" s="21">
        <f t="shared" si="135"/>
        <v>60.38280020975354</v>
      </c>
      <c r="J109" s="21">
        <f t="shared" si="135"/>
        <v>60.848240046162729</v>
      </c>
      <c r="K109" s="21">
        <f t="shared" si="135"/>
        <v>60.859259259259261</v>
      </c>
      <c r="L109" s="21">
        <f t="shared" si="135"/>
        <v>58.495073156166015</v>
      </c>
      <c r="M109" s="21">
        <f t="shared" si="135"/>
        <v>55.010596427490157</v>
      </c>
      <c r="N109" s="41">
        <f t="shared" si="135"/>
        <v>52.897574123989216</v>
      </c>
      <c r="O109" s="41">
        <f t="shared" si="135"/>
        <v>44.215755855216464</v>
      </c>
      <c r="P109" s="41">
        <f t="shared" si="135"/>
        <v>44.136622390891837</v>
      </c>
      <c r="Q109" s="44">
        <f t="shared" si="135"/>
        <v>43.298969072164951</v>
      </c>
      <c r="R109" s="44">
        <f t="shared" si="135"/>
        <v>43.29584775086505</v>
      </c>
      <c r="S109" s="44">
        <f t="shared" si="135"/>
        <v>42.568477772788505</v>
      </c>
      <c r="T109" s="44">
        <f t="shared" si="135"/>
        <v>41.16009280742459</v>
      </c>
      <c r="U109" s="44">
        <f t="shared" si="135"/>
        <v>41.137123745819402</v>
      </c>
      <c r="V109" s="44">
        <f t="shared" si="135"/>
        <v>41.164953499755264</v>
      </c>
    </row>
    <row r="110" spans="1:22">
      <c r="A110" s="25">
        <v>8</v>
      </c>
      <c r="B110" s="1" t="s">
        <v>28</v>
      </c>
      <c r="E110" s="21"/>
      <c r="F110" s="21"/>
      <c r="G110" s="21">
        <f>AVERAGE(E109:G109)</f>
        <v>56.38843000924728</v>
      </c>
      <c r="H110" s="21">
        <f>AVERAGE(F109:H109)</f>
        <v>60.590341746397847</v>
      </c>
      <c r="I110" s="21">
        <f t="shared" ref="I110:T110" si="136">AVERAGE(G109:I109)</f>
        <v>61.715891235317734</v>
      </c>
      <c r="J110" s="21">
        <f t="shared" si="136"/>
        <v>60.817819911157152</v>
      </c>
      <c r="K110" s="21">
        <f t="shared" si="136"/>
        <v>60.696766505058513</v>
      </c>
      <c r="L110" s="21">
        <f t="shared" si="136"/>
        <v>60.067524153862671</v>
      </c>
      <c r="M110" s="21">
        <f t="shared" si="136"/>
        <v>58.121642947638485</v>
      </c>
      <c r="N110" s="41">
        <f t="shared" si="136"/>
        <v>55.467747902548467</v>
      </c>
      <c r="O110" s="41">
        <f t="shared" ref="O110" si="137">AVERAGE(M109:O109)</f>
        <v>50.70797546889861</v>
      </c>
      <c r="P110" s="41">
        <f t="shared" ref="P110" si="138">AVERAGE(N109:P109)</f>
        <v>47.08331745669917</v>
      </c>
      <c r="Q110" s="44">
        <f t="shared" si="136"/>
        <v>43.883782439424415</v>
      </c>
      <c r="R110" s="44">
        <f t="shared" si="136"/>
        <v>43.577146404640615</v>
      </c>
      <c r="S110" s="44">
        <f t="shared" si="136"/>
        <v>43.054431531939507</v>
      </c>
      <c r="T110" s="44">
        <f t="shared" si="136"/>
        <v>42.341472777026048</v>
      </c>
      <c r="U110" s="44">
        <f t="shared" ref="U110" si="139">AVERAGE(S109:U109)</f>
        <v>41.621898108677499</v>
      </c>
      <c r="V110" s="44">
        <f t="shared" ref="V110" si="140">AVERAGE(T109:V109)</f>
        <v>41.154056684333085</v>
      </c>
    </row>
    <row r="111" spans="1:22">
      <c r="A111" s="25">
        <v>9</v>
      </c>
      <c r="B111" s="1" t="s">
        <v>29</v>
      </c>
      <c r="E111" s="21"/>
      <c r="F111" s="21"/>
      <c r="G111" s="21"/>
      <c r="H111" s="21"/>
      <c r="I111" s="21">
        <f>AVERAGE(E109:I109)</f>
        <v>58.154101943010104</v>
      </c>
      <c r="J111" s="21">
        <f>AVERAGE(F109:J109)</f>
        <v>60.600413099021964</v>
      </c>
      <c r="K111" s="21">
        <f t="shared" ref="K111:T111" si="141">AVERAGE(G109:K109)</f>
        <v>61.371034602275039</v>
      </c>
      <c r="L111" s="21">
        <f t="shared" si="141"/>
        <v>60.36155842977935</v>
      </c>
      <c r="M111" s="21">
        <f t="shared" si="141"/>
        <v>59.119193819766338</v>
      </c>
      <c r="N111" s="41">
        <f t="shared" si="141"/>
        <v>57.622148602613471</v>
      </c>
      <c r="O111" s="41">
        <f t="shared" ref="O111" si="142">AVERAGE(K109:O109)</f>
        <v>54.295651764424221</v>
      </c>
      <c r="P111" s="41">
        <f t="shared" ref="P111" si="143">AVERAGE(L109:P109)</f>
        <v>50.951124390750735</v>
      </c>
      <c r="Q111" s="44">
        <f t="shared" si="141"/>
        <v>47.911903573950518</v>
      </c>
      <c r="R111" s="44">
        <f t="shared" si="141"/>
        <v>45.568953838625497</v>
      </c>
      <c r="S111" s="44">
        <f t="shared" si="141"/>
        <v>43.503134568385363</v>
      </c>
      <c r="T111" s="44">
        <f t="shared" si="141"/>
        <v>42.892001958826981</v>
      </c>
      <c r="U111" s="44">
        <f t="shared" ref="U111" si="144">AVERAGE(Q109:U109)</f>
        <v>42.2921022298125</v>
      </c>
      <c r="V111" s="44">
        <f t="shared" ref="V111" si="145">AVERAGE(R109:V109)</f>
        <v>41.865299115330558</v>
      </c>
    </row>
  </sheetData>
  <mergeCells count="5">
    <mergeCell ref="C5:E5"/>
    <mergeCell ref="B9:B10"/>
    <mergeCell ref="C9:G9"/>
    <mergeCell ref="H9:L9"/>
    <mergeCell ref="M9:M1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11"/>
  <sheetViews>
    <sheetView topLeftCell="A77" zoomScale="80" zoomScaleNormal="80" workbookViewId="0">
      <selection activeCell="W63" sqref="W63"/>
    </sheetView>
  </sheetViews>
  <sheetFormatPr defaultColWidth="8.85546875" defaultRowHeight="15"/>
  <cols>
    <col min="1" max="1" width="4.7109375" style="25" customWidth="1"/>
    <col min="2" max="2" width="14.28515625" style="1" customWidth="1"/>
    <col min="3" max="12" width="8.85546875" style="1"/>
    <col min="13" max="13" width="11" style="1" customWidth="1"/>
    <col min="14" max="16384" width="8.85546875" style="1"/>
  </cols>
  <sheetData>
    <row r="2" spans="1:20">
      <c r="B2" s="2" t="s">
        <v>15</v>
      </c>
    </row>
    <row r="3" spans="1:20">
      <c r="B3" s="2" t="s">
        <v>52</v>
      </c>
    </row>
    <row r="4" spans="1:20">
      <c r="B4" s="2"/>
    </row>
    <row r="5" spans="1:20" ht="15.75">
      <c r="B5" s="2"/>
      <c r="C5" s="1816" t="s">
        <v>51</v>
      </c>
      <c r="D5" s="1816"/>
      <c r="E5" s="1816"/>
    </row>
    <row r="7" spans="1:20">
      <c r="B7" s="24" t="s">
        <v>41</v>
      </c>
      <c r="C7" s="22" t="s">
        <v>1763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0" ht="15.75" thickBot="1"/>
    <row r="9" spans="1:20" ht="18.95" customHeight="1">
      <c r="B9" s="1817" t="s">
        <v>0</v>
      </c>
      <c r="C9" s="1819" t="s">
        <v>6</v>
      </c>
      <c r="D9" s="1820"/>
      <c r="E9" s="1820"/>
      <c r="F9" s="1820"/>
      <c r="G9" s="1821"/>
      <c r="H9" s="1819" t="s">
        <v>14</v>
      </c>
      <c r="I9" s="1820"/>
      <c r="J9" s="1820"/>
      <c r="K9" s="1820"/>
      <c r="L9" s="1821"/>
      <c r="M9" s="1822" t="s">
        <v>13</v>
      </c>
    </row>
    <row r="10" spans="1:20" ht="28.15" customHeight="1" thickBot="1">
      <c r="B10" s="1818"/>
      <c r="C10" s="15" t="s">
        <v>10</v>
      </c>
      <c r="D10" s="16" t="s">
        <v>11</v>
      </c>
      <c r="E10" s="17" t="s">
        <v>12</v>
      </c>
      <c r="F10" s="16" t="s">
        <v>9</v>
      </c>
      <c r="G10" s="18" t="s">
        <v>4</v>
      </c>
      <c r="H10" s="15" t="s">
        <v>10</v>
      </c>
      <c r="I10" s="16" t="s">
        <v>11</v>
      </c>
      <c r="J10" s="17" t="s">
        <v>12</v>
      </c>
      <c r="K10" s="16" t="s">
        <v>9</v>
      </c>
      <c r="L10" s="18" t="s">
        <v>4</v>
      </c>
      <c r="M10" s="1823"/>
    </row>
    <row r="11" spans="1:20" hidden="1">
      <c r="A11" s="25">
        <v>1</v>
      </c>
      <c r="B11" s="10">
        <v>1996</v>
      </c>
      <c r="C11" s="11"/>
      <c r="D11" s="12"/>
      <c r="E11" s="12"/>
      <c r="F11" s="12"/>
      <c r="G11" s="13"/>
      <c r="H11" s="11"/>
      <c r="I11" s="12"/>
      <c r="J11" s="12"/>
      <c r="K11" s="12"/>
      <c r="L11" s="13"/>
      <c r="M11" s="14"/>
      <c r="N11" s="4"/>
      <c r="O11" s="4"/>
    </row>
    <row r="12" spans="1:20" hidden="1">
      <c r="A12" s="25">
        <v>2</v>
      </c>
      <c r="B12" s="7">
        <v>1997</v>
      </c>
      <c r="C12" s="8"/>
      <c r="D12" s="3"/>
      <c r="E12" s="3"/>
      <c r="F12" s="3"/>
      <c r="G12" s="6"/>
      <c r="H12" s="8"/>
      <c r="I12" s="3"/>
      <c r="J12" s="3"/>
      <c r="K12" s="3"/>
      <c r="L12" s="6"/>
      <c r="M12" s="9"/>
      <c r="N12" s="4"/>
      <c r="O12" s="4"/>
    </row>
    <row r="13" spans="1:20" hidden="1">
      <c r="A13" s="25">
        <v>3</v>
      </c>
      <c r="B13" s="7">
        <v>1998</v>
      </c>
      <c r="C13" s="8"/>
      <c r="D13" s="3"/>
      <c r="E13" s="3"/>
      <c r="F13" s="3"/>
      <c r="G13" s="6"/>
      <c r="H13" s="8"/>
      <c r="I13" s="3"/>
      <c r="J13" s="3"/>
      <c r="K13" s="3"/>
      <c r="L13" s="6"/>
      <c r="M13" s="9"/>
      <c r="N13" s="4"/>
      <c r="O13" s="4"/>
    </row>
    <row r="14" spans="1:20" hidden="1">
      <c r="A14" s="25">
        <v>4</v>
      </c>
      <c r="B14" s="7">
        <v>1999</v>
      </c>
      <c r="C14" s="8">
        <f>'TB data from NTP'!F40</f>
        <v>154</v>
      </c>
      <c r="D14" s="27">
        <f>'TB data from NTP'!G40</f>
        <v>22</v>
      </c>
      <c r="E14" s="27">
        <f>'TB data from NTP'!H40</f>
        <v>0</v>
      </c>
      <c r="F14" s="27">
        <f>'TB data from NTP'!K40</f>
        <v>0</v>
      </c>
      <c r="G14" s="28">
        <f t="shared" ref="G14:G28" si="0">SUM(C14:F14)</f>
        <v>176</v>
      </c>
      <c r="H14" s="29">
        <f>'TB data from NTP'!B40-'TB data from NTP'!F40</f>
        <v>186</v>
      </c>
      <c r="I14" s="27">
        <f>'TB data from NTP'!C40-'TB data from NTP'!G40</f>
        <v>60</v>
      </c>
      <c r="J14" s="27">
        <f>'TB data from NTP'!D40-'TB data from NTP'!H40</f>
        <v>0</v>
      </c>
      <c r="K14" s="27">
        <f>'TB data from NTP'!J40-'TB data from NTP'!K40</f>
        <v>0</v>
      </c>
      <c r="L14" s="6">
        <f t="shared" ref="L14:L37" si="1">SUM(H14:K14)</f>
        <v>246</v>
      </c>
      <c r="M14" s="9">
        <f t="shared" ref="M14:M37" si="2">SUM(G14,L14)</f>
        <v>422</v>
      </c>
      <c r="N14" s="4"/>
      <c r="O14" s="4"/>
    </row>
    <row r="15" spans="1:20" hidden="1">
      <c r="A15" s="25">
        <v>5</v>
      </c>
      <c r="B15" s="7">
        <v>2000</v>
      </c>
      <c r="C15" s="8">
        <f>'TB data from NTP'!F41</f>
        <v>206</v>
      </c>
      <c r="D15" s="27">
        <f>'TB data from NTP'!G41</f>
        <v>49</v>
      </c>
      <c r="E15" s="27">
        <f>'TB data from NTP'!H41</f>
        <v>0</v>
      </c>
      <c r="F15" s="27">
        <f>'TB data from NTP'!K41</f>
        <v>0</v>
      </c>
      <c r="G15" s="28">
        <f t="shared" si="0"/>
        <v>255</v>
      </c>
      <c r="H15" s="29">
        <f>'TB data from NTP'!B41-'TB data from NTP'!F41</f>
        <v>174</v>
      </c>
      <c r="I15" s="27">
        <f>'TB data from NTP'!C41-'TB data from NTP'!G41</f>
        <v>98</v>
      </c>
      <c r="J15" s="27">
        <f>'TB data from NTP'!D41-'TB data from NTP'!H41</f>
        <v>0</v>
      </c>
      <c r="K15" s="27">
        <f>'TB data from NTP'!J41-'TB data from NTP'!K41</f>
        <v>0</v>
      </c>
      <c r="L15" s="6">
        <f t="shared" si="1"/>
        <v>272</v>
      </c>
      <c r="M15" s="9">
        <f t="shared" si="2"/>
        <v>527</v>
      </c>
      <c r="N15" s="4"/>
      <c r="O15" s="4"/>
    </row>
    <row r="16" spans="1:20" hidden="1">
      <c r="A16" s="25">
        <v>6</v>
      </c>
      <c r="B16" s="7">
        <v>2001</v>
      </c>
      <c r="C16" s="8">
        <f>'TB data from NTP'!F42</f>
        <v>224</v>
      </c>
      <c r="D16" s="27">
        <f>'TB data from NTP'!G42</f>
        <v>24</v>
      </c>
      <c r="E16" s="27">
        <f>'TB data from NTP'!H42</f>
        <v>0</v>
      </c>
      <c r="F16" s="27">
        <f>'TB data from NTP'!K42</f>
        <v>2</v>
      </c>
      <c r="G16" s="28">
        <f t="shared" si="0"/>
        <v>250</v>
      </c>
      <c r="H16" s="29">
        <f>'TB data from NTP'!B42-'TB data from NTP'!F42</f>
        <v>135</v>
      </c>
      <c r="I16" s="27">
        <f>'TB data from NTP'!C42-'TB data from NTP'!G42</f>
        <v>93</v>
      </c>
      <c r="J16" s="27">
        <f>'TB data from NTP'!D42-'TB data from NTP'!H42</f>
        <v>0</v>
      </c>
      <c r="K16" s="27">
        <f>'TB data from NTP'!J42-'TB data from NTP'!K42</f>
        <v>1</v>
      </c>
      <c r="L16" s="6">
        <f t="shared" si="1"/>
        <v>229</v>
      </c>
      <c r="M16" s="9">
        <f t="shared" si="2"/>
        <v>479</v>
      </c>
      <c r="N16" s="4"/>
      <c r="O16" s="4"/>
    </row>
    <row r="17" spans="1:15" hidden="1">
      <c r="A17" s="25">
        <v>7</v>
      </c>
      <c r="B17" s="7">
        <v>2002</v>
      </c>
      <c r="C17" s="8">
        <f>'TB data from NTP'!F43</f>
        <v>165</v>
      </c>
      <c r="D17" s="27">
        <f>'TB data from NTP'!G43</f>
        <v>39</v>
      </c>
      <c r="E17" s="27">
        <f>'TB data from NTP'!H43</f>
        <v>0</v>
      </c>
      <c r="F17" s="27">
        <f>'TB data from NTP'!K43</f>
        <v>10</v>
      </c>
      <c r="G17" s="28">
        <f t="shared" si="0"/>
        <v>214</v>
      </c>
      <c r="H17" s="29">
        <f>'TB data from NTP'!B43-'TB data from NTP'!F43</f>
        <v>124</v>
      </c>
      <c r="I17" s="27">
        <f>'TB data from NTP'!C43-'TB data from NTP'!G43</f>
        <v>100</v>
      </c>
      <c r="J17" s="27">
        <f>'TB data from NTP'!D43-'TB data from NTP'!H43</f>
        <v>0</v>
      </c>
      <c r="K17" s="27">
        <f>'TB data from NTP'!J43-'TB data from NTP'!K43</f>
        <v>3</v>
      </c>
      <c r="L17" s="6">
        <f t="shared" si="1"/>
        <v>227</v>
      </c>
      <c r="M17" s="9">
        <f t="shared" si="2"/>
        <v>441</v>
      </c>
      <c r="N17" s="4"/>
      <c r="O17" s="4"/>
    </row>
    <row r="18" spans="1:15" hidden="1">
      <c r="A18" s="25">
        <v>8</v>
      </c>
      <c r="B18" s="7">
        <v>2003</v>
      </c>
      <c r="C18" s="8">
        <f>'TB data from NTP'!F44</f>
        <v>84</v>
      </c>
      <c r="D18" s="27">
        <f>'TB data from NTP'!G44</f>
        <v>43</v>
      </c>
      <c r="E18" s="27">
        <f>'TB data from NTP'!H44</f>
        <v>0</v>
      </c>
      <c r="F18" s="27">
        <f>'TB data from NTP'!K44</f>
        <v>19</v>
      </c>
      <c r="G18" s="28">
        <f t="shared" si="0"/>
        <v>146</v>
      </c>
      <c r="H18" s="29">
        <f>'TB data from NTP'!B44-'TB data from NTP'!F44</f>
        <v>123</v>
      </c>
      <c r="I18" s="27">
        <f>'TB data from NTP'!C44-'TB data from NTP'!G44</f>
        <v>108</v>
      </c>
      <c r="J18" s="27">
        <f>'TB data from NTP'!D44-'TB data from NTP'!H44</f>
        <v>0</v>
      </c>
      <c r="K18" s="27">
        <f>'TB data from NTP'!J44-'TB data from NTP'!K44</f>
        <v>11</v>
      </c>
      <c r="L18" s="6">
        <f t="shared" si="1"/>
        <v>242</v>
      </c>
      <c r="M18" s="9">
        <f t="shared" si="2"/>
        <v>388</v>
      </c>
      <c r="N18" s="4"/>
      <c r="O18" s="4"/>
    </row>
    <row r="19" spans="1:15" hidden="1">
      <c r="A19" s="25">
        <v>9</v>
      </c>
      <c r="B19" s="7">
        <v>2004</v>
      </c>
      <c r="C19" s="8">
        <f>'TB data from NTP'!F45</f>
        <v>103</v>
      </c>
      <c r="D19" s="27">
        <f>'TB data from NTP'!G45</f>
        <v>19</v>
      </c>
      <c r="E19" s="27">
        <f>'TB data from NTP'!H45</f>
        <v>0</v>
      </c>
      <c r="F19" s="27">
        <f>'TB data from NTP'!K45</f>
        <v>18</v>
      </c>
      <c r="G19" s="28">
        <f t="shared" si="0"/>
        <v>140</v>
      </c>
      <c r="H19" s="29">
        <f>'TB data from NTP'!B45-'TB data from NTP'!F45</f>
        <v>108</v>
      </c>
      <c r="I19" s="27">
        <f>'TB data from NTP'!C45-'TB data from NTP'!G45</f>
        <v>65</v>
      </c>
      <c r="J19" s="27">
        <f>'TB data from NTP'!D45-'TB data from NTP'!H45</f>
        <v>0</v>
      </c>
      <c r="K19" s="27">
        <f>'TB data from NTP'!J45-'TB data from NTP'!K45</f>
        <v>7</v>
      </c>
      <c r="L19" s="6">
        <f t="shared" si="1"/>
        <v>180</v>
      </c>
      <c r="M19" s="9">
        <f t="shared" si="2"/>
        <v>320</v>
      </c>
      <c r="N19" s="4"/>
      <c r="O19" s="4"/>
    </row>
    <row r="20" spans="1:15" hidden="1">
      <c r="A20" s="25">
        <v>10</v>
      </c>
      <c r="B20" s="7">
        <v>2005</v>
      </c>
      <c r="C20" s="8">
        <f>'TB data from NTP'!F46</f>
        <v>172</v>
      </c>
      <c r="D20" s="27">
        <f>'TB data from NTP'!G46</f>
        <v>15</v>
      </c>
      <c r="E20" s="27">
        <f>'TB data from NTP'!H46</f>
        <v>0</v>
      </c>
      <c r="F20" s="27">
        <f>'TB data from NTP'!K46</f>
        <v>28</v>
      </c>
      <c r="G20" s="28">
        <f t="shared" si="0"/>
        <v>215</v>
      </c>
      <c r="H20" s="29">
        <f>'TB data from NTP'!B46-'TB data from NTP'!F46</f>
        <v>115</v>
      </c>
      <c r="I20" s="27">
        <f>'TB data from NTP'!C46-'TB data from NTP'!G46</f>
        <v>23</v>
      </c>
      <c r="J20" s="27">
        <f>'TB data from NTP'!D46-'TB data from NTP'!H46</f>
        <v>0</v>
      </c>
      <c r="K20" s="27">
        <f>'TB data from NTP'!J46-'TB data from NTP'!K46</f>
        <v>4</v>
      </c>
      <c r="L20" s="6">
        <f t="shared" si="1"/>
        <v>142</v>
      </c>
      <c r="M20" s="9">
        <f t="shared" si="2"/>
        <v>357</v>
      </c>
      <c r="N20" s="4"/>
      <c r="O20" s="4"/>
    </row>
    <row r="21" spans="1:15" hidden="1">
      <c r="A21" s="25">
        <v>11</v>
      </c>
      <c r="B21" s="7">
        <v>2006</v>
      </c>
      <c r="C21" s="8">
        <f>'TB data from NTP'!F47</f>
        <v>306</v>
      </c>
      <c r="D21" s="27">
        <f>'TB data from NTP'!G47</f>
        <v>35</v>
      </c>
      <c r="E21" s="27">
        <f>'TB data from NTP'!H47</f>
        <v>0</v>
      </c>
      <c r="F21" s="27">
        <f>'TB data from NTP'!K47</f>
        <v>43</v>
      </c>
      <c r="G21" s="28">
        <f t="shared" si="0"/>
        <v>384</v>
      </c>
      <c r="H21" s="29">
        <f>'TB data from NTP'!B47-'TB data from NTP'!F47</f>
        <v>178</v>
      </c>
      <c r="I21" s="27">
        <f>'TB data from NTP'!C47-'TB data from NTP'!G47</f>
        <v>28</v>
      </c>
      <c r="J21" s="27">
        <f>'TB data from NTP'!D47-'TB data from NTP'!H47</f>
        <v>1</v>
      </c>
      <c r="K21" s="27">
        <f>'TB data from NTP'!J47-'TB data from NTP'!K47</f>
        <v>8</v>
      </c>
      <c r="L21" s="6">
        <f t="shared" si="1"/>
        <v>215</v>
      </c>
      <c r="M21" s="9">
        <f t="shared" si="2"/>
        <v>599</v>
      </c>
      <c r="N21" s="4"/>
      <c r="O21" s="4"/>
    </row>
    <row r="22" spans="1:15" hidden="1">
      <c r="A22" s="25">
        <v>12</v>
      </c>
      <c r="B22" s="7">
        <v>2007</v>
      </c>
      <c r="C22" s="8">
        <f>'TB data from NTP'!F48</f>
        <v>283</v>
      </c>
      <c r="D22" s="27">
        <f>'TB data from NTP'!G48</f>
        <v>46</v>
      </c>
      <c r="E22" s="27">
        <f>'TB data from NTP'!H48</f>
        <v>3</v>
      </c>
      <c r="F22" s="5">
        <f>'TB data from NTP'!K48+1</f>
        <v>60</v>
      </c>
      <c r="G22" s="28">
        <f t="shared" si="0"/>
        <v>392</v>
      </c>
      <c r="H22" s="29">
        <f>'TB data from NTP'!B48-'TB data from NTP'!F48</f>
        <v>193</v>
      </c>
      <c r="I22" s="27">
        <f>'TB data from NTP'!C48-'TB data from NTP'!G48</f>
        <v>51</v>
      </c>
      <c r="J22" s="27">
        <f>'TB data from NTP'!D48-'TB data from NTP'!H48</f>
        <v>1</v>
      </c>
      <c r="K22" s="27">
        <f>'TB data from NTP'!J48-'TB data from NTP'!K48</f>
        <v>13</v>
      </c>
      <c r="L22" s="6">
        <f t="shared" si="1"/>
        <v>258</v>
      </c>
      <c r="M22" s="9">
        <f t="shared" si="2"/>
        <v>650</v>
      </c>
      <c r="N22" s="4"/>
      <c r="O22" s="4"/>
    </row>
    <row r="23" spans="1:15" hidden="1">
      <c r="A23" s="25">
        <v>13</v>
      </c>
      <c r="B23" s="7">
        <v>2008</v>
      </c>
      <c r="C23" s="8">
        <f>'TB data from NTP'!F49</f>
        <v>267</v>
      </c>
      <c r="D23" s="27">
        <f>'TB data from NTP'!G49</f>
        <v>46</v>
      </c>
      <c r="E23" s="27">
        <f>'TB data from NTP'!H49</f>
        <v>3</v>
      </c>
      <c r="F23" s="27">
        <f>'TB data from NTP'!K49</f>
        <v>59</v>
      </c>
      <c r="G23" s="28">
        <f t="shared" si="0"/>
        <v>375</v>
      </c>
      <c r="H23" s="29">
        <f>'TB data from NTP'!B49-'TB data from NTP'!F49</f>
        <v>169</v>
      </c>
      <c r="I23" s="27">
        <f>'TB data from NTP'!C49-'TB data from NTP'!G49</f>
        <v>54</v>
      </c>
      <c r="J23" s="27">
        <f>'TB data from NTP'!D49-'TB data from NTP'!H49</f>
        <v>0</v>
      </c>
      <c r="K23" s="27">
        <f>'TB data from NTP'!J49-'TB data from NTP'!K49</f>
        <v>17</v>
      </c>
      <c r="L23" s="6">
        <f t="shared" si="1"/>
        <v>240</v>
      </c>
      <c r="M23" s="9">
        <f t="shared" si="2"/>
        <v>615</v>
      </c>
      <c r="N23" s="4"/>
      <c r="O23" s="4"/>
    </row>
    <row r="24" spans="1:15" hidden="1">
      <c r="A24" s="25">
        <v>14</v>
      </c>
      <c r="B24" s="7">
        <v>2009</v>
      </c>
      <c r="C24" s="8">
        <f>'TB data from NTP'!F50</f>
        <v>374</v>
      </c>
      <c r="D24" s="27">
        <f>'TB data from NTP'!G50</f>
        <v>90</v>
      </c>
      <c r="E24" s="27">
        <f>'TB data from NTP'!H50</f>
        <v>1</v>
      </c>
      <c r="F24" s="27">
        <f>'TB data from NTP'!K50</f>
        <v>148</v>
      </c>
      <c r="G24" s="28">
        <f t="shared" si="0"/>
        <v>613</v>
      </c>
      <c r="H24" s="29">
        <f>'TB data from NTP'!B50-'TB data from NTP'!F50</f>
        <v>227</v>
      </c>
      <c r="I24" s="27">
        <f>'TB data from NTP'!C50-'TB data from NTP'!G50</f>
        <v>85</v>
      </c>
      <c r="J24" s="27">
        <f>'TB data from NTP'!D50-'TB data from NTP'!H50</f>
        <v>1</v>
      </c>
      <c r="K24" s="27">
        <f>'TB data from NTP'!J50-'TB data from NTP'!K50</f>
        <v>19</v>
      </c>
      <c r="L24" s="6">
        <f t="shared" si="1"/>
        <v>332</v>
      </c>
      <c r="M24" s="9">
        <f t="shared" si="2"/>
        <v>945</v>
      </c>
      <c r="N24" s="4"/>
      <c r="O24" s="4"/>
    </row>
    <row r="25" spans="1:15" hidden="1">
      <c r="A25" s="25">
        <v>15</v>
      </c>
      <c r="B25" s="7">
        <v>2010</v>
      </c>
      <c r="C25" s="8">
        <f>'TB data from NTP'!F51</f>
        <v>541</v>
      </c>
      <c r="D25" s="27">
        <f>'TB data from NTP'!G51</f>
        <v>158</v>
      </c>
      <c r="E25" s="27">
        <f>'TB data from NTP'!H51</f>
        <v>5</v>
      </c>
      <c r="F25" s="27">
        <f>'TB data from NTP'!K51</f>
        <v>191</v>
      </c>
      <c r="G25" s="28">
        <f t="shared" si="0"/>
        <v>895</v>
      </c>
      <c r="H25" s="29">
        <f>'TB data from NTP'!B51-'TB data from NTP'!F51</f>
        <v>254</v>
      </c>
      <c r="I25" s="27">
        <f>'TB data from NTP'!C51-'TB data from NTP'!G51</f>
        <v>100</v>
      </c>
      <c r="J25" s="27">
        <f>'TB data from NTP'!D51-'TB data from NTP'!H51</f>
        <v>2</v>
      </c>
      <c r="K25" s="27">
        <f>'TB data from NTP'!J51-'TB data from NTP'!K51</f>
        <v>28</v>
      </c>
      <c r="L25" s="6">
        <f t="shared" si="1"/>
        <v>384</v>
      </c>
      <c r="M25" s="9">
        <f t="shared" si="2"/>
        <v>1279</v>
      </c>
      <c r="N25" s="4"/>
      <c r="O25" s="4"/>
    </row>
    <row r="26" spans="1:15" hidden="1">
      <c r="A26" s="25">
        <v>16</v>
      </c>
      <c r="B26" s="7">
        <v>2011</v>
      </c>
      <c r="C26" s="8">
        <f>'TB data from NTP'!F52</f>
        <v>477</v>
      </c>
      <c r="D26" s="27">
        <f>'TB data from NTP'!G52</f>
        <v>169</v>
      </c>
      <c r="E26" s="27">
        <f>'TB data from NTP'!H52</f>
        <v>1</v>
      </c>
      <c r="F26" s="27">
        <f>'TB data from NTP'!K52</f>
        <v>153</v>
      </c>
      <c r="G26" s="28">
        <f t="shared" si="0"/>
        <v>800</v>
      </c>
      <c r="H26" s="29">
        <f>'TB data from NTP'!B52-'TB data from NTP'!F52</f>
        <v>263</v>
      </c>
      <c r="I26" s="27">
        <f>'TB data from NTP'!C52-'TB data from NTP'!G52</f>
        <v>87</v>
      </c>
      <c r="J26" s="27">
        <f>'TB data from NTP'!D52-'TB data from NTP'!H52</f>
        <v>0</v>
      </c>
      <c r="K26" s="27">
        <f>'TB data from NTP'!J52-'TB data from NTP'!K52</f>
        <v>22</v>
      </c>
      <c r="L26" s="6">
        <f t="shared" si="1"/>
        <v>372</v>
      </c>
      <c r="M26" s="9">
        <f t="shared" si="2"/>
        <v>1172</v>
      </c>
      <c r="N26" s="4"/>
      <c r="O26" s="4"/>
    </row>
    <row r="27" spans="1:15" hidden="1">
      <c r="A27" s="25">
        <v>17</v>
      </c>
      <c r="B27" s="7">
        <v>2012</v>
      </c>
      <c r="C27" s="8">
        <f>'TB data from NTP'!F53</f>
        <v>196</v>
      </c>
      <c r="D27" s="27">
        <f>'TB data from NTP'!G53</f>
        <v>164</v>
      </c>
      <c r="E27" s="27">
        <f>'TB data from NTP'!H53</f>
        <v>0</v>
      </c>
      <c r="F27" s="27">
        <f>'TB data from NTP'!K53</f>
        <v>97</v>
      </c>
      <c r="G27" s="28">
        <f t="shared" si="0"/>
        <v>457</v>
      </c>
      <c r="H27" s="29">
        <f>'TB data from NTP'!B53-'TB data from NTP'!F53</f>
        <v>125</v>
      </c>
      <c r="I27" s="27">
        <f>'TB data from NTP'!C53-'TB data from NTP'!G53</f>
        <v>73</v>
      </c>
      <c r="J27" s="27">
        <f>'TB data from NTP'!D53-'TB data from NTP'!H53</f>
        <v>0</v>
      </c>
      <c r="K27" s="27">
        <f>'TB data from NTP'!J53-'TB data from NTP'!K53</f>
        <v>19</v>
      </c>
      <c r="L27" s="6">
        <f t="shared" si="1"/>
        <v>217</v>
      </c>
      <c r="M27" s="9">
        <f t="shared" si="2"/>
        <v>674</v>
      </c>
      <c r="N27" s="4"/>
      <c r="O27" s="4"/>
    </row>
    <row r="28" spans="1:15" hidden="1">
      <c r="A28" s="25">
        <v>18</v>
      </c>
      <c r="B28" s="7">
        <v>2013</v>
      </c>
      <c r="C28" s="8">
        <f>'TB data from NTP'!F54</f>
        <v>45</v>
      </c>
      <c r="D28" s="27">
        <f>'TB data from NTP'!G54</f>
        <v>34</v>
      </c>
      <c r="E28" s="27">
        <f>'TB data from NTP'!H54</f>
        <v>0</v>
      </c>
      <c r="F28" s="27">
        <f>'TB data from NTP'!K54</f>
        <v>20</v>
      </c>
      <c r="G28" s="28">
        <f t="shared" si="0"/>
        <v>99</v>
      </c>
      <c r="H28" s="29">
        <f>'TB data from NTP'!B54-'TB data from NTP'!F54</f>
        <v>51</v>
      </c>
      <c r="I28" s="27">
        <f>'TB data from NTP'!C54-'TB data from NTP'!G54</f>
        <v>71</v>
      </c>
      <c r="J28" s="27">
        <f>'TB data from NTP'!D54-'TB data from NTP'!H54</f>
        <v>0</v>
      </c>
      <c r="K28" s="27">
        <f>'TB data from NTP'!J54-'TB data from NTP'!K54</f>
        <v>7</v>
      </c>
      <c r="L28" s="6">
        <f t="shared" si="1"/>
        <v>129</v>
      </c>
      <c r="M28" s="9">
        <f t="shared" si="2"/>
        <v>228</v>
      </c>
      <c r="N28" s="4"/>
      <c r="O28" s="4"/>
    </row>
    <row r="29" spans="1:15" hidden="1">
      <c r="A29" s="25">
        <v>19</v>
      </c>
      <c r="B29" s="97">
        <v>2014</v>
      </c>
      <c r="C29" s="98">
        <f>'TB data from NTP'!F55</f>
        <v>22</v>
      </c>
      <c r="D29" s="99">
        <f>'TB data from NTP'!G55</f>
        <v>31</v>
      </c>
      <c r="E29" s="99">
        <f>'TB data from NTP'!H55</f>
        <v>0</v>
      </c>
      <c r="F29" s="99">
        <f>'TB data from NTP'!K55</f>
        <v>13</v>
      </c>
      <c r="G29" s="100">
        <f t="shared" ref="G29:G37" si="3">SUM(C29:F29)</f>
        <v>66</v>
      </c>
      <c r="H29" s="98">
        <f>'TB data from NTP'!B55-'TB data from NTP'!F55</f>
        <v>24</v>
      </c>
      <c r="I29" s="99">
        <f>'TB data from NTP'!C55-'TB data from NTP'!G55</f>
        <v>47</v>
      </c>
      <c r="J29" s="99">
        <f>'TB data from NTP'!D55-'TB data from NTP'!H55</f>
        <v>2</v>
      </c>
      <c r="K29" s="99">
        <f>'TB data from NTP'!J55-'TB data from NTP'!K55</f>
        <v>6</v>
      </c>
      <c r="L29" s="100">
        <f t="shared" si="1"/>
        <v>79</v>
      </c>
      <c r="M29" s="101">
        <f t="shared" si="2"/>
        <v>145</v>
      </c>
      <c r="O29" s="4"/>
    </row>
    <row r="30" spans="1:15">
      <c r="A30" s="25">
        <v>20</v>
      </c>
      <c r="B30" s="97">
        <v>2015</v>
      </c>
      <c r="C30" s="98">
        <f>'TB data from NTP'!F56</f>
        <v>21</v>
      </c>
      <c r="D30" s="99">
        <f>'TB data from NTP'!G56</f>
        <v>19</v>
      </c>
      <c r="E30" s="99">
        <f>'TB data from NTP'!H56</f>
        <v>0</v>
      </c>
      <c r="F30" s="99">
        <f>'TB data from NTP'!K56</f>
        <v>10</v>
      </c>
      <c r="G30" s="100">
        <f t="shared" si="3"/>
        <v>50</v>
      </c>
      <c r="H30" s="98">
        <f>'TB data from NTP'!B56-'TB data from NTP'!F56</f>
        <v>31</v>
      </c>
      <c r="I30" s="99">
        <f>'TB data from NTP'!C56-'TB data from NTP'!G56</f>
        <v>28</v>
      </c>
      <c r="J30" s="99">
        <f>'TB data from NTP'!D56-'TB data from NTP'!H56</f>
        <v>1</v>
      </c>
      <c r="K30" s="99">
        <f>'TB data from NTP'!J56-'TB data from NTP'!K56</f>
        <v>5</v>
      </c>
      <c r="L30" s="100">
        <f t="shared" si="1"/>
        <v>65</v>
      </c>
      <c r="M30" s="101">
        <f t="shared" si="2"/>
        <v>115</v>
      </c>
    </row>
    <row r="31" spans="1:15">
      <c r="A31" s="25">
        <v>21</v>
      </c>
      <c r="B31" s="97">
        <v>2016</v>
      </c>
      <c r="C31" s="98">
        <f>'TB data from NTP'!F57</f>
        <v>19</v>
      </c>
      <c r="D31" s="99">
        <f>'TB data from NTP'!G57</f>
        <v>19</v>
      </c>
      <c r="E31" s="99">
        <f>'TB data from NTP'!H57</f>
        <v>0</v>
      </c>
      <c r="F31" s="99">
        <f>'TB data from NTP'!K57</f>
        <v>6</v>
      </c>
      <c r="G31" s="100">
        <f t="shared" si="3"/>
        <v>44</v>
      </c>
      <c r="H31" s="98">
        <f>'TB data from NTP'!B57-'TB data from NTP'!F57</f>
        <v>19</v>
      </c>
      <c r="I31" s="99">
        <f>'TB data from NTP'!C57-'TB data from NTP'!G57</f>
        <v>20</v>
      </c>
      <c r="J31" s="99">
        <f>'TB data from NTP'!D57-'TB data from NTP'!H57</f>
        <v>0</v>
      </c>
      <c r="K31" s="99">
        <f>'TB data from NTP'!J57-'TB data from NTP'!K57</f>
        <v>1</v>
      </c>
      <c r="L31" s="100">
        <f t="shared" si="1"/>
        <v>40</v>
      </c>
      <c r="M31" s="101">
        <f t="shared" si="2"/>
        <v>84</v>
      </c>
    </row>
    <row r="32" spans="1:15">
      <c r="A32" s="25">
        <v>22</v>
      </c>
      <c r="B32" s="102">
        <v>2017</v>
      </c>
      <c r="C32" s="103">
        <f>Q42</f>
        <v>18</v>
      </c>
      <c r="D32" s="104">
        <f>Q43</f>
        <v>16</v>
      </c>
      <c r="E32" s="104"/>
      <c r="F32" s="104">
        <f>Q44</f>
        <v>8</v>
      </c>
      <c r="G32" s="105">
        <f t="shared" si="3"/>
        <v>42</v>
      </c>
      <c r="H32" s="103">
        <f>Q47</f>
        <v>17</v>
      </c>
      <c r="I32" s="104">
        <f>Q48</f>
        <v>16</v>
      </c>
      <c r="J32" s="104"/>
      <c r="K32" s="104">
        <f>Q49</f>
        <v>3</v>
      </c>
      <c r="L32" s="105">
        <f t="shared" si="1"/>
        <v>36</v>
      </c>
      <c r="M32" s="106">
        <f t="shared" si="2"/>
        <v>78</v>
      </c>
    </row>
    <row r="33" spans="1:23">
      <c r="A33" s="25">
        <v>23</v>
      </c>
      <c r="B33" s="102">
        <v>2018</v>
      </c>
      <c r="C33" s="103">
        <f>R42</f>
        <v>18</v>
      </c>
      <c r="D33" s="104">
        <f>R43</f>
        <v>14</v>
      </c>
      <c r="E33" s="104"/>
      <c r="F33" s="104">
        <f>R44</f>
        <v>8</v>
      </c>
      <c r="G33" s="105">
        <f t="shared" si="3"/>
        <v>40</v>
      </c>
      <c r="H33" s="103">
        <f>R47</f>
        <v>17</v>
      </c>
      <c r="I33" s="104">
        <f>R48</f>
        <v>15</v>
      </c>
      <c r="J33" s="104"/>
      <c r="K33" s="104">
        <f>R49</f>
        <v>2</v>
      </c>
      <c r="L33" s="105">
        <f t="shared" si="1"/>
        <v>34</v>
      </c>
      <c r="M33" s="106">
        <f t="shared" si="2"/>
        <v>74</v>
      </c>
    </row>
    <row r="34" spans="1:23">
      <c r="A34" s="25">
        <v>24</v>
      </c>
      <c r="B34" s="102">
        <v>2019</v>
      </c>
      <c r="C34" s="103">
        <f>S42</f>
        <v>17</v>
      </c>
      <c r="D34" s="104">
        <f>S43</f>
        <v>13</v>
      </c>
      <c r="E34" s="104"/>
      <c r="F34" s="104">
        <f>S44</f>
        <v>8</v>
      </c>
      <c r="G34" s="105">
        <f t="shared" si="3"/>
        <v>38</v>
      </c>
      <c r="H34" s="103">
        <f>S47</f>
        <v>17</v>
      </c>
      <c r="I34" s="104">
        <f>S48</f>
        <v>13</v>
      </c>
      <c r="J34" s="104"/>
      <c r="K34" s="104">
        <f>S49</f>
        <v>2</v>
      </c>
      <c r="L34" s="105">
        <f t="shared" si="1"/>
        <v>32</v>
      </c>
      <c r="M34" s="106">
        <f t="shared" si="2"/>
        <v>70</v>
      </c>
    </row>
    <row r="35" spans="1:23">
      <c r="A35" s="25">
        <v>25</v>
      </c>
      <c r="B35" s="1051">
        <v>2020</v>
      </c>
      <c r="C35" s="103">
        <f>T42</f>
        <v>17</v>
      </c>
      <c r="D35" s="104">
        <f>T43</f>
        <v>12</v>
      </c>
      <c r="E35" s="1052"/>
      <c r="F35" s="104">
        <f>T44</f>
        <v>7</v>
      </c>
      <c r="G35" s="105">
        <f t="shared" si="3"/>
        <v>36</v>
      </c>
      <c r="H35" s="103">
        <f>T47</f>
        <v>17</v>
      </c>
      <c r="I35" s="104">
        <f>T48</f>
        <v>11</v>
      </c>
      <c r="J35" s="1052"/>
      <c r="K35" s="104">
        <f>T49</f>
        <v>2</v>
      </c>
      <c r="L35" s="105">
        <f t="shared" si="1"/>
        <v>30</v>
      </c>
      <c r="M35" s="106">
        <f t="shared" si="2"/>
        <v>66</v>
      </c>
    </row>
    <row r="36" spans="1:23">
      <c r="A36" s="25">
        <v>26</v>
      </c>
      <c r="B36" s="1053">
        <v>2021</v>
      </c>
      <c r="C36" s="103">
        <f>U42</f>
        <v>16</v>
      </c>
      <c r="D36" s="104">
        <f>U43</f>
        <v>11</v>
      </c>
      <c r="E36" s="1054"/>
      <c r="F36" s="104">
        <f>U44</f>
        <v>7</v>
      </c>
      <c r="G36" s="105">
        <f t="shared" si="3"/>
        <v>34</v>
      </c>
      <c r="H36" s="103">
        <f>U47</f>
        <v>16</v>
      </c>
      <c r="I36" s="104">
        <f>U48</f>
        <v>11</v>
      </c>
      <c r="J36" s="1054"/>
      <c r="K36" s="104">
        <f>U49</f>
        <v>2</v>
      </c>
      <c r="L36" s="105">
        <f t="shared" si="1"/>
        <v>29</v>
      </c>
      <c r="M36" s="106">
        <f t="shared" si="2"/>
        <v>63</v>
      </c>
    </row>
    <row r="37" spans="1:23">
      <c r="A37" s="25">
        <v>27</v>
      </c>
      <c r="B37" s="1053">
        <v>2022</v>
      </c>
      <c r="C37" s="103">
        <f>V42</f>
        <v>16</v>
      </c>
      <c r="D37" s="104">
        <f>V43</f>
        <v>10</v>
      </c>
      <c r="E37" s="1054"/>
      <c r="F37" s="104">
        <f>V44</f>
        <v>6</v>
      </c>
      <c r="G37" s="105">
        <f t="shared" si="3"/>
        <v>32</v>
      </c>
      <c r="H37" s="103">
        <f>V47</f>
        <v>16</v>
      </c>
      <c r="I37" s="104">
        <f>V48</f>
        <v>10</v>
      </c>
      <c r="J37" s="1054"/>
      <c r="K37" s="104">
        <f>V49</f>
        <v>2</v>
      </c>
      <c r="L37" s="105">
        <f t="shared" si="1"/>
        <v>28</v>
      </c>
      <c r="M37" s="106">
        <f t="shared" si="2"/>
        <v>60</v>
      </c>
    </row>
    <row r="39" spans="1:23">
      <c r="B39" s="24" t="s">
        <v>43</v>
      </c>
      <c r="C39" s="22" t="s">
        <v>1762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</row>
    <row r="41" spans="1:23">
      <c r="E41" s="20">
        <v>2005</v>
      </c>
      <c r="F41" s="20">
        <v>2006</v>
      </c>
      <c r="G41" s="20">
        <v>2007</v>
      </c>
      <c r="H41" s="20">
        <v>2008</v>
      </c>
      <c r="I41" s="20">
        <v>2009</v>
      </c>
      <c r="J41" s="20">
        <v>2010</v>
      </c>
      <c r="K41" s="20">
        <v>2011</v>
      </c>
      <c r="L41" s="20">
        <v>2012</v>
      </c>
      <c r="M41" s="20">
        <v>2013</v>
      </c>
      <c r="N41" s="20">
        <v>2014</v>
      </c>
      <c r="O41" s="20">
        <v>2015</v>
      </c>
      <c r="P41" s="20">
        <v>2016</v>
      </c>
      <c r="Q41" s="20">
        <v>2017</v>
      </c>
      <c r="R41" s="20">
        <v>2018</v>
      </c>
      <c r="S41" s="20">
        <v>2019</v>
      </c>
      <c r="T41" s="20">
        <v>2020</v>
      </c>
      <c r="U41" s="1">
        <v>2021</v>
      </c>
      <c r="V41" s="1">
        <v>2022</v>
      </c>
    </row>
    <row r="42" spans="1:23">
      <c r="A42" s="25">
        <v>1</v>
      </c>
      <c r="B42" s="1" t="s">
        <v>19</v>
      </c>
      <c r="E42" s="4">
        <f>C20</f>
        <v>172</v>
      </c>
      <c r="F42" s="4">
        <f>C21</f>
        <v>306</v>
      </c>
      <c r="G42" s="4">
        <f>C22</f>
        <v>283</v>
      </c>
      <c r="H42" s="4">
        <f>C23</f>
        <v>267</v>
      </c>
      <c r="I42" s="4">
        <f>C24</f>
        <v>374</v>
      </c>
      <c r="J42" s="4">
        <f>C25</f>
        <v>541</v>
      </c>
      <c r="K42" s="4">
        <f>C26</f>
        <v>477</v>
      </c>
      <c r="L42" s="4">
        <f>C27</f>
        <v>196</v>
      </c>
      <c r="M42" s="4">
        <f>C28</f>
        <v>45</v>
      </c>
      <c r="N42" s="1092">
        <f>C29</f>
        <v>22</v>
      </c>
      <c r="O42" s="1092">
        <f>C30</f>
        <v>21</v>
      </c>
      <c r="P42" s="1092">
        <f>C31</f>
        <v>19</v>
      </c>
      <c r="Q42" s="47">
        <f t="shared" ref="Q42:T42" si="4">ROUND((Q45-Q44)*Q99/100,0)</f>
        <v>18</v>
      </c>
      <c r="R42" s="47">
        <f t="shared" si="4"/>
        <v>18</v>
      </c>
      <c r="S42" s="47">
        <f t="shared" si="4"/>
        <v>17</v>
      </c>
      <c r="T42" s="47">
        <f t="shared" si="4"/>
        <v>17</v>
      </c>
      <c r="U42" s="47">
        <f t="shared" ref="U42:V42" si="5">ROUND((U45-U44)*U99/100,0)</f>
        <v>16</v>
      </c>
      <c r="V42" s="47">
        <f t="shared" si="5"/>
        <v>16</v>
      </c>
    </row>
    <row r="43" spans="1:23">
      <c r="A43" s="25">
        <v>2</v>
      </c>
      <c r="B43" s="1" t="s">
        <v>24</v>
      </c>
      <c r="E43" s="4">
        <f>D20+E20</f>
        <v>15</v>
      </c>
      <c r="F43" s="4">
        <f>D21+E21</f>
        <v>35</v>
      </c>
      <c r="G43" s="4">
        <f>D22+E22</f>
        <v>49</v>
      </c>
      <c r="H43" s="4">
        <f>D23+E23</f>
        <v>49</v>
      </c>
      <c r="I43" s="4">
        <f>D24+E24</f>
        <v>91</v>
      </c>
      <c r="J43" s="4">
        <f>D25+E25</f>
        <v>163</v>
      </c>
      <c r="K43" s="4">
        <f>D26+E26</f>
        <v>170</v>
      </c>
      <c r="L43" s="4">
        <f>D27+E27</f>
        <v>164</v>
      </c>
      <c r="M43" s="4">
        <f>D28+E28</f>
        <v>34</v>
      </c>
      <c r="N43" s="1092">
        <f>D29+E29</f>
        <v>31</v>
      </c>
      <c r="O43" s="1092">
        <f>D30+E30</f>
        <v>19</v>
      </c>
      <c r="P43" s="1092">
        <f>D31+E31</f>
        <v>19</v>
      </c>
      <c r="Q43" s="47">
        <f t="shared" ref="Q43:T43" si="6">Q45-(Q42+Q44)</f>
        <v>16</v>
      </c>
      <c r="R43" s="47">
        <f t="shared" si="6"/>
        <v>14</v>
      </c>
      <c r="S43" s="47">
        <f t="shared" si="6"/>
        <v>13</v>
      </c>
      <c r="T43" s="47">
        <f t="shared" si="6"/>
        <v>12</v>
      </c>
      <c r="U43" s="47">
        <f t="shared" ref="U43:V43" si="7">U45-(U42+U44)</f>
        <v>11</v>
      </c>
      <c r="V43" s="47">
        <f t="shared" si="7"/>
        <v>10</v>
      </c>
    </row>
    <row r="44" spans="1:23">
      <c r="A44" s="25">
        <v>3</v>
      </c>
      <c r="B44" s="1" t="s">
        <v>20</v>
      </c>
      <c r="E44" s="4">
        <f>F20</f>
        <v>28</v>
      </c>
      <c r="F44" s="4">
        <f>F21</f>
        <v>43</v>
      </c>
      <c r="G44" s="4">
        <f>F22</f>
        <v>60</v>
      </c>
      <c r="H44" s="4">
        <f>F23</f>
        <v>59</v>
      </c>
      <c r="I44" s="4">
        <f>F24</f>
        <v>148</v>
      </c>
      <c r="J44" s="4">
        <f>F25</f>
        <v>191</v>
      </c>
      <c r="K44" s="4">
        <f>F26</f>
        <v>153</v>
      </c>
      <c r="L44" s="4">
        <f>F27</f>
        <v>97</v>
      </c>
      <c r="M44" s="4">
        <f>F28</f>
        <v>20</v>
      </c>
      <c r="N44" s="1092">
        <f>F29</f>
        <v>13</v>
      </c>
      <c r="O44" s="1092">
        <f>F30</f>
        <v>10</v>
      </c>
      <c r="P44" s="1092">
        <f>F31</f>
        <v>6</v>
      </c>
      <c r="Q44" s="47">
        <f t="shared" ref="Q44:T44" si="8">ROUND(Q45*Q82/100,0)</f>
        <v>8</v>
      </c>
      <c r="R44" s="47">
        <f t="shared" si="8"/>
        <v>8</v>
      </c>
      <c r="S44" s="47">
        <f t="shared" si="8"/>
        <v>8</v>
      </c>
      <c r="T44" s="47">
        <f t="shared" si="8"/>
        <v>7</v>
      </c>
      <c r="U44" s="47">
        <f t="shared" ref="U44:V44" si="9">ROUND(U45*U82/100,0)</f>
        <v>7</v>
      </c>
      <c r="V44" s="47">
        <f t="shared" si="9"/>
        <v>6</v>
      </c>
    </row>
    <row r="45" spans="1:23">
      <c r="A45" s="25">
        <v>4</v>
      </c>
      <c r="B45" s="2" t="s">
        <v>16</v>
      </c>
      <c r="C45" s="2"/>
      <c r="D45" s="2"/>
      <c r="E45" s="19">
        <f>SUM(E42:E44)</f>
        <v>215</v>
      </c>
      <c r="F45" s="19">
        <f t="shared" ref="F45:P45" si="10">SUM(F42:F44)</f>
        <v>384</v>
      </c>
      <c r="G45" s="19">
        <f t="shared" si="10"/>
        <v>392</v>
      </c>
      <c r="H45" s="19">
        <f t="shared" si="10"/>
        <v>375</v>
      </c>
      <c r="I45" s="19">
        <f t="shared" si="10"/>
        <v>613</v>
      </c>
      <c r="J45" s="19">
        <f t="shared" si="10"/>
        <v>895</v>
      </c>
      <c r="K45" s="19">
        <f t="shared" si="10"/>
        <v>800</v>
      </c>
      <c r="L45" s="19">
        <f t="shared" si="10"/>
        <v>457</v>
      </c>
      <c r="M45" s="19">
        <f t="shared" si="10"/>
        <v>99</v>
      </c>
      <c r="N45" s="1093">
        <f t="shared" si="10"/>
        <v>66</v>
      </c>
      <c r="O45" s="1093">
        <f t="shared" si="10"/>
        <v>50</v>
      </c>
      <c r="P45" s="1093">
        <f t="shared" si="10"/>
        <v>44</v>
      </c>
      <c r="Q45" s="32">
        <f t="shared" ref="Q45:T45" si="11">ROUND(P45+(P45*Q58/100),0)</f>
        <v>42</v>
      </c>
      <c r="R45" s="32">
        <f t="shared" si="11"/>
        <v>40</v>
      </c>
      <c r="S45" s="32">
        <f t="shared" si="11"/>
        <v>38</v>
      </c>
      <c r="T45" s="32">
        <f t="shared" si="11"/>
        <v>36</v>
      </c>
      <c r="U45" s="32">
        <f t="shared" ref="U45" si="12">ROUND(T45+(T45*U58/100),0)</f>
        <v>34</v>
      </c>
      <c r="V45" s="32">
        <f t="shared" ref="V45" si="13">ROUND(U45+(U45*V58/100),0)</f>
        <v>32</v>
      </c>
    </row>
    <row r="46" spans="1:23" ht="21.75" customHeight="1">
      <c r="N46" s="42"/>
      <c r="O46" s="48"/>
      <c r="P46" s="48"/>
      <c r="Q46" s="48"/>
      <c r="R46" s="48"/>
      <c r="S46" s="48"/>
      <c r="T46" s="48"/>
      <c r="U46" s="48"/>
      <c r="V46" s="48"/>
    </row>
    <row r="47" spans="1:23">
      <c r="A47" s="25">
        <v>5</v>
      </c>
      <c r="B47" s="1" t="s">
        <v>21</v>
      </c>
      <c r="E47" s="4">
        <f>H20</f>
        <v>115</v>
      </c>
      <c r="F47" s="4">
        <f>H21</f>
        <v>178</v>
      </c>
      <c r="G47" s="4">
        <f>H22</f>
        <v>193</v>
      </c>
      <c r="H47" s="4">
        <f>H23</f>
        <v>169</v>
      </c>
      <c r="I47" s="4">
        <f>H24</f>
        <v>227</v>
      </c>
      <c r="J47" s="4">
        <f>H25</f>
        <v>254</v>
      </c>
      <c r="K47" s="4">
        <f>H26</f>
        <v>263</v>
      </c>
      <c r="L47" s="4">
        <f>H27</f>
        <v>125</v>
      </c>
      <c r="M47" s="4">
        <f>H28</f>
        <v>51</v>
      </c>
      <c r="N47" s="1092">
        <f>H29</f>
        <v>24</v>
      </c>
      <c r="O47" s="1092">
        <f>H30</f>
        <v>31</v>
      </c>
      <c r="P47" s="1092">
        <f>H31</f>
        <v>19</v>
      </c>
      <c r="Q47" s="47">
        <f t="shared" ref="Q47:T47" si="14">ROUND((Q50-Q49)*Q104/100,0)</f>
        <v>17</v>
      </c>
      <c r="R47" s="47">
        <f t="shared" si="14"/>
        <v>17</v>
      </c>
      <c r="S47" s="47">
        <f t="shared" si="14"/>
        <v>17</v>
      </c>
      <c r="T47" s="47">
        <f t="shared" si="14"/>
        <v>17</v>
      </c>
      <c r="U47" s="47">
        <f t="shared" ref="U47:V47" si="15">ROUND((U50-U49)*U104/100,0)</f>
        <v>16</v>
      </c>
      <c r="V47" s="47">
        <f t="shared" si="15"/>
        <v>16</v>
      </c>
      <c r="W47" s="47"/>
    </row>
    <row r="48" spans="1:23">
      <c r="A48" s="25">
        <v>6</v>
      </c>
      <c r="B48" s="1" t="s">
        <v>25</v>
      </c>
      <c r="E48" s="4">
        <f>I20+J20</f>
        <v>23</v>
      </c>
      <c r="F48" s="4">
        <f>I21+J21</f>
        <v>29</v>
      </c>
      <c r="G48" s="4">
        <f>I22+J22</f>
        <v>52</v>
      </c>
      <c r="H48" s="4">
        <f>I23+J23</f>
        <v>54</v>
      </c>
      <c r="I48" s="4">
        <f>I24+J24</f>
        <v>86</v>
      </c>
      <c r="J48" s="4">
        <f>I25+J25</f>
        <v>102</v>
      </c>
      <c r="K48" s="4">
        <f>I26+J26</f>
        <v>87</v>
      </c>
      <c r="L48" s="4">
        <f>I27+J27</f>
        <v>73</v>
      </c>
      <c r="M48" s="4">
        <f>I28+J28</f>
        <v>71</v>
      </c>
      <c r="N48" s="1092">
        <f>I29+J29</f>
        <v>49</v>
      </c>
      <c r="O48" s="1092">
        <f>I30+J30</f>
        <v>29</v>
      </c>
      <c r="P48" s="1092">
        <f>I31+J31</f>
        <v>20</v>
      </c>
      <c r="Q48" s="47">
        <f t="shared" ref="Q48" si="16">Q50-(Q47+Q49)</f>
        <v>16</v>
      </c>
      <c r="R48" s="47">
        <f t="shared" ref="R48" si="17">R50-(R47+R49)</f>
        <v>15</v>
      </c>
      <c r="S48" s="47">
        <f t="shared" ref="S48" si="18">S50-(S47+S49)</f>
        <v>13</v>
      </c>
      <c r="T48" s="47">
        <f t="shared" ref="T48:V48" si="19">T50-(T47+T49)</f>
        <v>11</v>
      </c>
      <c r="U48" s="47">
        <f t="shared" si="19"/>
        <v>11</v>
      </c>
      <c r="V48" s="47">
        <f t="shared" si="19"/>
        <v>10</v>
      </c>
    </row>
    <row r="49" spans="1:23">
      <c r="A49" s="25">
        <v>7</v>
      </c>
      <c r="B49" s="1" t="s">
        <v>22</v>
      </c>
      <c r="E49" s="4">
        <f>K20</f>
        <v>4</v>
      </c>
      <c r="F49" s="4">
        <f>K21</f>
        <v>8</v>
      </c>
      <c r="G49" s="4">
        <f>K22</f>
        <v>13</v>
      </c>
      <c r="H49" s="4">
        <f>K23</f>
        <v>17</v>
      </c>
      <c r="I49" s="4">
        <f>K24</f>
        <v>19</v>
      </c>
      <c r="J49" s="4">
        <f>K25</f>
        <v>28</v>
      </c>
      <c r="K49" s="4">
        <f>K26</f>
        <v>22</v>
      </c>
      <c r="L49" s="4">
        <f>K27</f>
        <v>19</v>
      </c>
      <c r="M49" s="4">
        <f>K28</f>
        <v>7</v>
      </c>
      <c r="N49" s="1092">
        <f>K29</f>
        <v>6</v>
      </c>
      <c r="O49" s="1092">
        <f>K30</f>
        <v>5</v>
      </c>
      <c r="P49" s="1092">
        <f>K31</f>
        <v>1</v>
      </c>
      <c r="Q49" s="47">
        <f t="shared" ref="Q49" si="20">ROUND(Q50*Q87/100,0)</f>
        <v>3</v>
      </c>
      <c r="R49" s="47">
        <f t="shared" ref="R49" si="21">ROUND(R50*R87/100,0)</f>
        <v>2</v>
      </c>
      <c r="S49" s="47">
        <f t="shared" ref="S49" si="22">ROUND(S50*S87/100,0)</f>
        <v>2</v>
      </c>
      <c r="T49" s="47">
        <f t="shared" ref="T49:V49" si="23">ROUND(T50*T87/100,0)</f>
        <v>2</v>
      </c>
      <c r="U49" s="47">
        <f t="shared" si="23"/>
        <v>2</v>
      </c>
      <c r="V49" s="47">
        <f t="shared" si="23"/>
        <v>2</v>
      </c>
    </row>
    <row r="50" spans="1:23">
      <c r="A50" s="25">
        <v>8</v>
      </c>
      <c r="B50" s="2" t="s">
        <v>23</v>
      </c>
      <c r="C50" s="2"/>
      <c r="D50" s="2"/>
      <c r="E50" s="19">
        <f>SUM(E47:E49)</f>
        <v>142</v>
      </c>
      <c r="F50" s="19">
        <f t="shared" ref="F50:P50" si="24">SUM(F47:F49)</f>
        <v>215</v>
      </c>
      <c r="G50" s="19">
        <f t="shared" si="24"/>
        <v>258</v>
      </c>
      <c r="H50" s="19">
        <f t="shared" si="24"/>
        <v>240</v>
      </c>
      <c r="I50" s="19">
        <f t="shared" si="24"/>
        <v>332</v>
      </c>
      <c r="J50" s="19">
        <f t="shared" si="24"/>
        <v>384</v>
      </c>
      <c r="K50" s="19">
        <f t="shared" si="24"/>
        <v>372</v>
      </c>
      <c r="L50" s="19">
        <f t="shared" si="24"/>
        <v>217</v>
      </c>
      <c r="M50" s="19">
        <f t="shared" si="24"/>
        <v>129</v>
      </c>
      <c r="N50" s="1093">
        <f t="shared" si="24"/>
        <v>79</v>
      </c>
      <c r="O50" s="1093">
        <f t="shared" si="24"/>
        <v>65</v>
      </c>
      <c r="P50" s="1093">
        <f t="shared" si="24"/>
        <v>40</v>
      </c>
      <c r="Q50" s="32">
        <f t="shared" ref="Q50:T50" si="25">ROUND(P50+(P50*Q63/100),0)</f>
        <v>36</v>
      </c>
      <c r="R50" s="32">
        <f t="shared" si="25"/>
        <v>34</v>
      </c>
      <c r="S50" s="32">
        <f t="shared" si="25"/>
        <v>32</v>
      </c>
      <c r="T50" s="32">
        <f t="shared" si="25"/>
        <v>30</v>
      </c>
      <c r="U50" s="32">
        <f t="shared" ref="U50" si="26">ROUND(T50+(T50*U63/100),0)</f>
        <v>29</v>
      </c>
      <c r="V50" s="32">
        <f t="shared" ref="V50" si="27">ROUND(U50+(U50*V63/100),0)</f>
        <v>28</v>
      </c>
    </row>
    <row r="51" spans="1:23" ht="7.5" customHeight="1">
      <c r="N51" s="42"/>
      <c r="O51" s="48"/>
      <c r="P51" s="48"/>
      <c r="Q51" s="48"/>
      <c r="R51" s="48"/>
      <c r="S51" s="48"/>
      <c r="T51" s="48"/>
      <c r="U51" s="48"/>
      <c r="V51" s="48"/>
    </row>
    <row r="52" spans="1:23">
      <c r="A52" s="25">
        <v>9</v>
      </c>
      <c r="B52" s="2" t="s">
        <v>13</v>
      </c>
      <c r="C52" s="2"/>
      <c r="D52" s="2"/>
      <c r="E52" s="19">
        <f>SUM(E45,E50)</f>
        <v>357</v>
      </c>
      <c r="F52" s="19">
        <f t="shared" ref="F52:T52" si="28">SUM(F45,F50)</f>
        <v>599</v>
      </c>
      <c r="G52" s="19">
        <f t="shared" si="28"/>
        <v>650</v>
      </c>
      <c r="H52" s="19">
        <f t="shared" si="28"/>
        <v>615</v>
      </c>
      <c r="I52" s="19">
        <f t="shared" si="28"/>
        <v>945</v>
      </c>
      <c r="J52" s="19">
        <f t="shared" si="28"/>
        <v>1279</v>
      </c>
      <c r="K52" s="19">
        <f t="shared" si="28"/>
        <v>1172</v>
      </c>
      <c r="L52" s="19">
        <f t="shared" si="28"/>
        <v>674</v>
      </c>
      <c r="M52" s="19">
        <f t="shared" si="28"/>
        <v>228</v>
      </c>
      <c r="N52" s="33">
        <f t="shared" ref="N52:P52" si="29">SUM(N45,N50)</f>
        <v>145</v>
      </c>
      <c r="O52" s="33">
        <f t="shared" si="29"/>
        <v>115</v>
      </c>
      <c r="P52" s="33">
        <f t="shared" si="29"/>
        <v>84</v>
      </c>
      <c r="Q52" s="32">
        <f t="shared" si="28"/>
        <v>78</v>
      </c>
      <c r="R52" s="32">
        <f t="shared" si="28"/>
        <v>74</v>
      </c>
      <c r="S52" s="32">
        <f t="shared" si="28"/>
        <v>70</v>
      </c>
      <c r="T52" s="32">
        <f t="shared" si="28"/>
        <v>66</v>
      </c>
      <c r="U52" s="32">
        <f t="shared" ref="U52:V52" si="30">SUM(U45,U50)</f>
        <v>63</v>
      </c>
      <c r="V52" s="32">
        <f t="shared" si="30"/>
        <v>60</v>
      </c>
    </row>
    <row r="53" spans="1:23">
      <c r="A53" s="25">
        <v>10</v>
      </c>
      <c r="B53" s="1" t="s">
        <v>26</v>
      </c>
      <c r="E53" s="4">
        <f>E52-M20</f>
        <v>0</v>
      </c>
      <c r="F53" s="4">
        <f>F52-M21</f>
        <v>0</v>
      </c>
      <c r="G53" s="4">
        <f>G52-M22</f>
        <v>0</v>
      </c>
      <c r="H53" s="4">
        <f>H52-M23</f>
        <v>0</v>
      </c>
      <c r="I53" s="4">
        <f>I52-M24</f>
        <v>0</v>
      </c>
      <c r="J53" s="4">
        <f>J52-M25</f>
        <v>0</v>
      </c>
      <c r="K53" s="4">
        <f>K52-M26</f>
        <v>0</v>
      </c>
      <c r="L53" s="4">
        <f>L52-M27</f>
        <v>0</v>
      </c>
      <c r="M53" s="4">
        <f>M52-M28</f>
        <v>0</v>
      </c>
      <c r="N53" s="35">
        <f>N52-M29</f>
        <v>0</v>
      </c>
      <c r="O53" s="35">
        <f>O52-M30</f>
        <v>0</v>
      </c>
      <c r="P53" s="35">
        <f>P52-M31</f>
        <v>0</v>
      </c>
      <c r="Q53" s="39"/>
      <c r="R53" s="39"/>
      <c r="S53" s="39"/>
      <c r="T53" s="39"/>
    </row>
    <row r="54" spans="1:23">
      <c r="N54" s="36"/>
      <c r="O54" s="39"/>
      <c r="P54" s="39"/>
      <c r="Q54" s="39"/>
      <c r="R54" s="39"/>
      <c r="S54" s="39"/>
      <c r="T54" s="39"/>
    </row>
    <row r="55" spans="1:23">
      <c r="B55" s="24" t="s">
        <v>45</v>
      </c>
      <c r="C55" s="22" t="s">
        <v>42</v>
      </c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37"/>
      <c r="O55" s="40"/>
      <c r="P55" s="40"/>
      <c r="Q55" s="40"/>
      <c r="R55" s="40"/>
      <c r="S55" s="40"/>
      <c r="T55" s="40"/>
      <c r="U55" s="40"/>
      <c r="V55" s="40"/>
    </row>
    <row r="56" spans="1:23">
      <c r="N56" s="36"/>
      <c r="O56" s="39"/>
      <c r="P56" s="39"/>
      <c r="Q56" s="39"/>
      <c r="R56" s="39"/>
      <c r="S56" s="39"/>
      <c r="T56" s="39"/>
    </row>
    <row r="57" spans="1:23">
      <c r="B57" s="2" t="s">
        <v>30</v>
      </c>
      <c r="N57" s="36"/>
      <c r="O57" s="39"/>
      <c r="P57" s="39"/>
      <c r="Q57" s="39"/>
      <c r="R57" s="39" t="s">
        <v>762</v>
      </c>
      <c r="S57" s="39"/>
      <c r="T57" s="39"/>
    </row>
    <row r="58" spans="1:23">
      <c r="A58" s="25">
        <v>1</v>
      </c>
      <c r="B58" s="1" t="s">
        <v>27</v>
      </c>
      <c r="F58" s="21">
        <f>F45/E45%-100</f>
        <v>78.604651162790702</v>
      </c>
      <c r="G58" s="21">
        <f t="shared" ref="G58:N58" si="31">G45/F45%-100</f>
        <v>2.0833333333333428</v>
      </c>
      <c r="H58" s="21">
        <f t="shared" si="31"/>
        <v>-4.3367346938775455</v>
      </c>
      <c r="I58" s="21">
        <f t="shared" si="31"/>
        <v>63.466666666666669</v>
      </c>
      <c r="J58" s="21">
        <f t="shared" si="31"/>
        <v>46.003262642740623</v>
      </c>
      <c r="K58" s="21">
        <f t="shared" si="31"/>
        <v>-10.614525139664792</v>
      </c>
      <c r="L58" s="21">
        <f t="shared" si="31"/>
        <v>-42.875</v>
      </c>
      <c r="M58" s="21">
        <f t="shared" si="31"/>
        <v>-78.336980306345737</v>
      </c>
      <c r="N58" s="41">
        <f t="shared" si="31"/>
        <v>-33.333333333333329</v>
      </c>
      <c r="O58" s="41">
        <f t="shared" ref="O58" si="32">O45/N45%-100</f>
        <v>-24.242424242424249</v>
      </c>
      <c r="P58" s="41">
        <f t="shared" ref="P58" si="33">P45/O45%-100</f>
        <v>-12</v>
      </c>
      <c r="Q58" s="49">
        <v>-5</v>
      </c>
      <c r="R58" s="49">
        <v>-5</v>
      </c>
      <c r="S58" s="49">
        <v>-5</v>
      </c>
      <c r="T58" s="49">
        <v>-5</v>
      </c>
      <c r="U58" s="49">
        <v>-5</v>
      </c>
      <c r="V58" s="49">
        <v>-5</v>
      </c>
    </row>
    <row r="59" spans="1:23">
      <c r="A59" s="25">
        <v>2</v>
      </c>
      <c r="B59" s="1" t="s">
        <v>28</v>
      </c>
      <c r="F59" s="21"/>
      <c r="G59" s="21"/>
      <c r="H59" s="21">
        <f>AVERAGE(F58:H58)</f>
        <v>25.450416600748834</v>
      </c>
      <c r="I59" s="21">
        <f t="shared" ref="I59:N59" si="34">AVERAGE(G58:I58)</f>
        <v>20.40442176870749</v>
      </c>
      <c r="J59" s="21">
        <f t="shared" si="34"/>
        <v>35.044398205176584</v>
      </c>
      <c r="K59" s="21">
        <f t="shared" si="34"/>
        <v>32.951801389914166</v>
      </c>
      <c r="L59" s="21">
        <f t="shared" si="34"/>
        <v>-2.4954208323080564</v>
      </c>
      <c r="M59" s="21">
        <f t="shared" si="34"/>
        <v>-43.942168482003503</v>
      </c>
      <c r="N59" s="41">
        <f t="shared" si="34"/>
        <v>-51.515104546559691</v>
      </c>
      <c r="O59" s="41">
        <f t="shared" ref="O59" si="35">AVERAGE(M58:O58)</f>
        <v>-45.30424596070111</v>
      </c>
      <c r="P59" s="41">
        <f t="shared" ref="P59" si="36">AVERAGE(N58:P58)</f>
        <v>-23.191919191919194</v>
      </c>
      <c r="Q59" s="44">
        <f t="shared" ref="Q59" si="37">AVERAGE(O58:Q58)</f>
        <v>-13.747474747474749</v>
      </c>
      <c r="R59" s="44">
        <f t="shared" ref="R59" si="38">AVERAGE(P58:R58)</f>
        <v>-7.333333333333333</v>
      </c>
      <c r="S59" s="44">
        <f t="shared" ref="S59" si="39">AVERAGE(Q58:S58)</f>
        <v>-5</v>
      </c>
      <c r="T59" s="44">
        <f t="shared" ref="T59" si="40">AVERAGE(R58:T58)</f>
        <v>-5</v>
      </c>
      <c r="U59" s="44">
        <f t="shared" ref="U59" si="41">AVERAGE(S58:U58)</f>
        <v>-5</v>
      </c>
      <c r="V59" s="44">
        <f t="shared" ref="V59" si="42">AVERAGE(T58:V58)</f>
        <v>-5</v>
      </c>
    </row>
    <row r="60" spans="1:23">
      <c r="A60" s="25">
        <v>3</v>
      </c>
      <c r="B60" s="1" t="s">
        <v>29</v>
      </c>
      <c r="F60" s="21"/>
      <c r="G60" s="21"/>
      <c r="H60" s="21"/>
      <c r="I60" s="21"/>
      <c r="J60" s="21">
        <f>AVERAGE(F58:J58)</f>
        <v>37.164235822330753</v>
      </c>
      <c r="K60" s="21">
        <f t="shared" ref="K60:N60" si="43">AVERAGE(G58:K58)</f>
        <v>19.320400561839659</v>
      </c>
      <c r="L60" s="21">
        <f t="shared" si="43"/>
        <v>10.328733895172991</v>
      </c>
      <c r="M60" s="21">
        <f t="shared" si="43"/>
        <v>-4.4713152273206473</v>
      </c>
      <c r="N60" s="41">
        <f t="shared" si="43"/>
        <v>-23.831315227320648</v>
      </c>
      <c r="O60" s="41">
        <f t="shared" ref="O60" si="44">AVERAGE(K58:O58)</f>
        <v>-37.880452604353614</v>
      </c>
      <c r="P60" s="41">
        <f t="shared" ref="P60" si="45">AVERAGE(L58:P58)</f>
        <v>-38.157547576420669</v>
      </c>
      <c r="Q60" s="44">
        <f t="shared" ref="Q60" si="46">AVERAGE(M58:Q58)</f>
        <v>-30.582547576420666</v>
      </c>
      <c r="R60" s="44">
        <f t="shared" ref="R60" si="47">AVERAGE(N58:R58)</f>
        <v>-15.915151515151516</v>
      </c>
      <c r="S60" s="44">
        <f t="shared" ref="S60" si="48">AVERAGE(O58:S58)</f>
        <v>-10.24848484848485</v>
      </c>
      <c r="T60" s="44">
        <f t="shared" ref="T60" si="49">AVERAGE(P58:T58)</f>
        <v>-6.4</v>
      </c>
      <c r="U60" s="44">
        <f t="shared" ref="U60" si="50">AVERAGE(Q58:U58)</f>
        <v>-5</v>
      </c>
      <c r="V60" s="44">
        <f t="shared" ref="V60" si="51">AVERAGE(R58:V58)</f>
        <v>-5</v>
      </c>
    </row>
    <row r="61" spans="1:23">
      <c r="F61" s="21"/>
      <c r="G61" s="21"/>
      <c r="H61" s="21"/>
      <c r="I61" s="21"/>
      <c r="J61" s="21"/>
      <c r="K61" s="21"/>
      <c r="L61" s="21"/>
      <c r="M61" s="21"/>
      <c r="N61" s="38"/>
      <c r="O61" s="45"/>
      <c r="P61" s="45"/>
      <c r="Q61" s="45"/>
      <c r="R61" s="45"/>
      <c r="S61" s="45"/>
      <c r="T61" s="45"/>
    </row>
    <row r="62" spans="1:23">
      <c r="B62" s="2" t="s">
        <v>31</v>
      </c>
      <c r="F62" s="21"/>
      <c r="G62" s="21"/>
      <c r="H62" s="21"/>
      <c r="I62" s="21"/>
      <c r="J62" s="21"/>
      <c r="K62" s="21"/>
      <c r="L62" s="21"/>
      <c r="M62" s="21"/>
      <c r="N62" s="38"/>
      <c r="O62" s="45"/>
      <c r="P62" s="45"/>
      <c r="Q62" s="45"/>
      <c r="R62" s="45"/>
      <c r="S62" s="45"/>
      <c r="T62" s="45"/>
    </row>
    <row r="63" spans="1:23">
      <c r="A63" s="25">
        <v>4</v>
      </c>
      <c r="B63" s="1" t="s">
        <v>27</v>
      </c>
      <c r="F63" s="21">
        <f>F50/E50%-100</f>
        <v>51.408450704225373</v>
      </c>
      <c r="G63" s="21">
        <f t="shared" ref="G63:N63" si="52">G50/F50%-100</f>
        <v>20</v>
      </c>
      <c r="H63" s="21">
        <f t="shared" si="52"/>
        <v>-6.9767441860465169</v>
      </c>
      <c r="I63" s="21">
        <f t="shared" si="52"/>
        <v>38.333333333333343</v>
      </c>
      <c r="J63" s="21">
        <f t="shared" si="52"/>
        <v>15.662650602409641</v>
      </c>
      <c r="K63" s="21">
        <f t="shared" si="52"/>
        <v>-3.125</v>
      </c>
      <c r="L63" s="21">
        <f t="shared" si="52"/>
        <v>-41.666666666666671</v>
      </c>
      <c r="M63" s="21">
        <f t="shared" si="52"/>
        <v>-40.552995391705068</v>
      </c>
      <c r="N63" s="41">
        <f t="shared" si="52"/>
        <v>-38.759689922480625</v>
      </c>
      <c r="O63" s="41">
        <f t="shared" ref="O63" si="53">O50/N50%-100</f>
        <v>-17.721518987341781</v>
      </c>
      <c r="P63" s="41">
        <f t="shared" ref="P63" si="54">P50/O50%-100</f>
        <v>-38.461538461538467</v>
      </c>
      <c r="Q63" s="49">
        <v>-10</v>
      </c>
      <c r="R63" s="49">
        <v>-5</v>
      </c>
      <c r="S63" s="49">
        <v>-5</v>
      </c>
      <c r="T63" s="49">
        <v>-5</v>
      </c>
      <c r="U63" s="49">
        <v>-5</v>
      </c>
      <c r="V63" s="49">
        <v>-5</v>
      </c>
      <c r="W63" s="1094"/>
    </row>
    <row r="64" spans="1:23">
      <c r="A64" s="25">
        <v>5</v>
      </c>
      <c r="B64" s="1" t="s">
        <v>28</v>
      </c>
      <c r="F64" s="21"/>
      <c r="G64" s="21"/>
      <c r="H64" s="21">
        <f>AVERAGE(F63:H63)</f>
        <v>21.477235506059618</v>
      </c>
      <c r="I64" s="21">
        <f t="shared" ref="I64:N64" si="55">AVERAGE(G63:I63)</f>
        <v>17.118863049095609</v>
      </c>
      <c r="J64" s="21">
        <f t="shared" si="55"/>
        <v>15.67307991656549</v>
      </c>
      <c r="K64" s="21">
        <f t="shared" si="55"/>
        <v>16.956994645247661</v>
      </c>
      <c r="L64" s="21">
        <f t="shared" si="55"/>
        <v>-9.70967202141901</v>
      </c>
      <c r="M64" s="21">
        <f t="shared" si="55"/>
        <v>-28.448220686123914</v>
      </c>
      <c r="N64" s="41">
        <f t="shared" si="55"/>
        <v>-40.326450660284117</v>
      </c>
      <c r="O64" s="41">
        <f t="shared" ref="O64" si="56">AVERAGE(M63:O63)</f>
        <v>-32.344734767175829</v>
      </c>
      <c r="P64" s="41">
        <f t="shared" ref="P64" si="57">AVERAGE(N63:P63)</f>
        <v>-31.64758245712029</v>
      </c>
      <c r="Q64" s="44">
        <f t="shared" ref="Q64" si="58">AVERAGE(O63:Q63)</f>
        <v>-22.061019149626748</v>
      </c>
      <c r="R64" s="44">
        <f t="shared" ref="R64" si="59">AVERAGE(P63:R63)</f>
        <v>-17.820512820512821</v>
      </c>
      <c r="S64" s="44">
        <f t="shared" ref="S64" si="60">AVERAGE(Q63:S63)</f>
        <v>-6.666666666666667</v>
      </c>
      <c r="T64" s="44">
        <f t="shared" ref="T64" si="61">AVERAGE(R63:T63)</f>
        <v>-5</v>
      </c>
      <c r="U64" s="44">
        <f t="shared" ref="U64" si="62">AVERAGE(S63:U63)</f>
        <v>-5</v>
      </c>
      <c r="V64" s="44">
        <f t="shared" ref="V64" si="63">AVERAGE(T63:V63)</f>
        <v>-5</v>
      </c>
    </row>
    <row r="65" spans="1:22">
      <c r="A65" s="25">
        <v>6</v>
      </c>
      <c r="B65" s="1" t="s">
        <v>29</v>
      </c>
      <c r="F65" s="21"/>
      <c r="G65" s="21"/>
      <c r="H65" s="21"/>
      <c r="I65" s="21"/>
      <c r="J65" s="21">
        <f>AVERAGE(F63:J63)</f>
        <v>23.68553809078437</v>
      </c>
      <c r="K65" s="21">
        <f t="shared" ref="K65:N65" si="64">AVERAGE(G63:K63)</f>
        <v>12.778847949939294</v>
      </c>
      <c r="L65" s="21">
        <f t="shared" si="64"/>
        <v>0.4455146166059592</v>
      </c>
      <c r="M65" s="21">
        <f t="shared" si="64"/>
        <v>-6.2697356245257509</v>
      </c>
      <c r="N65" s="41">
        <f t="shared" si="64"/>
        <v>-21.688340275688546</v>
      </c>
      <c r="O65" s="41">
        <f t="shared" ref="O65" si="65">AVERAGE(K63:O63)</f>
        <v>-28.365174193638826</v>
      </c>
      <c r="P65" s="41">
        <f t="shared" ref="P65" si="66">AVERAGE(L63:P63)</f>
        <v>-35.432481885946515</v>
      </c>
      <c r="Q65" s="44">
        <f t="shared" ref="Q65" si="67">AVERAGE(M63:Q63)</f>
        <v>-29.09914855261319</v>
      </c>
      <c r="R65" s="44">
        <f t="shared" ref="R65" si="68">AVERAGE(N63:R63)</f>
        <v>-21.988549474272173</v>
      </c>
      <c r="S65" s="44">
        <f t="shared" ref="S65" si="69">AVERAGE(O63:S63)</f>
        <v>-15.236611489776049</v>
      </c>
      <c r="T65" s="44">
        <f t="shared" ref="T65" si="70">AVERAGE(P63:T63)</f>
        <v>-12.692307692307693</v>
      </c>
      <c r="U65" s="44">
        <f t="shared" ref="U65" si="71">AVERAGE(Q63:U63)</f>
        <v>-6</v>
      </c>
      <c r="V65" s="44">
        <f t="shared" ref="V65" si="72">AVERAGE(R63:V63)</f>
        <v>-5</v>
      </c>
    </row>
    <row r="66" spans="1:22">
      <c r="F66" s="21"/>
      <c r="G66" s="21"/>
      <c r="H66" s="21"/>
      <c r="I66" s="21"/>
      <c r="J66" s="21"/>
      <c r="K66" s="21"/>
      <c r="L66" s="21"/>
      <c r="M66" s="21"/>
      <c r="N66" s="38"/>
      <c r="O66" s="45"/>
      <c r="P66" s="45"/>
      <c r="Q66" s="45"/>
      <c r="R66" s="45"/>
      <c r="S66" s="45"/>
      <c r="T66" s="45"/>
    </row>
    <row r="67" spans="1:22">
      <c r="B67" s="2" t="s">
        <v>33</v>
      </c>
      <c r="F67" s="21"/>
      <c r="G67" s="21"/>
      <c r="H67" s="21"/>
      <c r="I67" s="21"/>
      <c r="J67" s="21"/>
      <c r="K67" s="21"/>
      <c r="L67" s="21"/>
      <c r="M67" s="21"/>
      <c r="N67" s="38"/>
      <c r="O67" s="45"/>
      <c r="P67" s="45"/>
      <c r="Q67" s="45"/>
      <c r="R67" s="45"/>
      <c r="S67" s="45"/>
      <c r="T67" s="45"/>
    </row>
    <row r="68" spans="1:22">
      <c r="A68" s="25">
        <v>7</v>
      </c>
      <c r="B68" s="1" t="s">
        <v>27</v>
      </c>
      <c r="F68" s="21">
        <f>F52/E52%-100</f>
        <v>67.78711484593839</v>
      </c>
      <c r="G68" s="21">
        <f t="shared" ref="G68:N68" si="73">G52/F52%-100</f>
        <v>8.5141903171953146</v>
      </c>
      <c r="H68" s="21">
        <f t="shared" si="73"/>
        <v>-5.3846153846153868</v>
      </c>
      <c r="I68" s="21">
        <f t="shared" si="73"/>
        <v>53.658536585365852</v>
      </c>
      <c r="J68" s="21">
        <f t="shared" si="73"/>
        <v>35.343915343915342</v>
      </c>
      <c r="K68" s="21">
        <f t="shared" si="73"/>
        <v>-8.3659108678655087</v>
      </c>
      <c r="L68" s="21">
        <f t="shared" si="73"/>
        <v>-42.491467576791813</v>
      </c>
      <c r="M68" s="21">
        <f t="shared" si="73"/>
        <v>-66.17210682492582</v>
      </c>
      <c r="N68" s="41">
        <f t="shared" si="73"/>
        <v>-36.403508771929822</v>
      </c>
      <c r="O68" s="41">
        <f t="shared" ref="O68" si="74">O52/N52%-100</f>
        <v>-20.689655172413794</v>
      </c>
      <c r="P68" s="41">
        <f t="shared" ref="P68" si="75">P52/O52%-100</f>
        <v>-26.956521739130423</v>
      </c>
      <c r="Q68" s="44">
        <f t="shared" ref="Q68" si="76">Q52/P52%-100</f>
        <v>-7.1428571428571388</v>
      </c>
      <c r="R68" s="44">
        <f t="shared" ref="R68" si="77">R52/Q52%-100</f>
        <v>-5.1282051282051384</v>
      </c>
      <c r="S68" s="44">
        <f t="shared" ref="S68" si="78">S52/R52%-100</f>
        <v>-5.4054054054054035</v>
      </c>
      <c r="T68" s="44">
        <f t="shared" ref="T68" si="79">T52/S52%-100</f>
        <v>-5.7142857142857082</v>
      </c>
      <c r="U68" s="44">
        <f t="shared" ref="U68" si="80">U52/T52%-100</f>
        <v>-4.5454545454545467</v>
      </c>
      <c r="V68" s="44">
        <f t="shared" ref="V68" si="81">V52/U52%-100</f>
        <v>-4.7619047619047592</v>
      </c>
    </row>
    <row r="69" spans="1:22">
      <c r="A69" s="25">
        <v>8</v>
      </c>
      <c r="B69" s="1" t="s">
        <v>28</v>
      </c>
      <c r="F69" s="21"/>
      <c r="G69" s="21"/>
      <c r="H69" s="21">
        <f>AVERAGE(F68:H68)</f>
        <v>23.638896592839441</v>
      </c>
      <c r="I69" s="21">
        <f t="shared" ref="I69:N69" si="82">AVERAGE(G68:I68)</f>
        <v>18.929370505981925</v>
      </c>
      <c r="J69" s="21">
        <f t="shared" si="82"/>
        <v>27.872612181555269</v>
      </c>
      <c r="K69" s="21">
        <f t="shared" si="82"/>
        <v>26.878847020471895</v>
      </c>
      <c r="L69" s="21">
        <f t="shared" si="82"/>
        <v>-5.171154366913993</v>
      </c>
      <c r="M69" s="21">
        <f t="shared" si="82"/>
        <v>-39.009828423194385</v>
      </c>
      <c r="N69" s="41">
        <f t="shared" si="82"/>
        <v>-48.35569439121582</v>
      </c>
      <c r="O69" s="41">
        <f t="shared" ref="O69" si="83">AVERAGE(M68:O68)</f>
        <v>-41.088423589756481</v>
      </c>
      <c r="P69" s="41">
        <f t="shared" ref="P69" si="84">AVERAGE(N68:P68)</f>
        <v>-28.016561894491346</v>
      </c>
      <c r="Q69" s="44">
        <f t="shared" ref="Q69" si="85">AVERAGE(O68:Q68)</f>
        <v>-18.263011351467117</v>
      </c>
      <c r="R69" s="44">
        <f t="shared" ref="R69" si="86">AVERAGE(P68:R68)</f>
        <v>-13.075861336730901</v>
      </c>
      <c r="S69" s="44">
        <f t="shared" ref="S69" si="87">AVERAGE(Q68:S68)</f>
        <v>-5.8921558921558939</v>
      </c>
      <c r="T69" s="44">
        <f t="shared" ref="T69" si="88">AVERAGE(R68:T68)</f>
        <v>-5.4159654159654167</v>
      </c>
      <c r="U69" s="44">
        <f t="shared" ref="U69" si="89">AVERAGE(S68:U68)</f>
        <v>-5.2217152217152192</v>
      </c>
      <c r="V69" s="44">
        <f t="shared" ref="V69" si="90">AVERAGE(T68:V68)</f>
        <v>-5.007215007215005</v>
      </c>
    </row>
    <row r="70" spans="1:22">
      <c r="A70" s="25">
        <v>9</v>
      </c>
      <c r="B70" s="1" t="s">
        <v>29</v>
      </c>
      <c r="F70" s="21"/>
      <c r="G70" s="21"/>
      <c r="H70" s="21"/>
      <c r="I70" s="21"/>
      <c r="J70" s="21">
        <f>AVERAGE(F68:J68)</f>
        <v>31.983828341559899</v>
      </c>
      <c r="K70" s="21">
        <f t="shared" ref="K70:N70" si="91">AVERAGE(G68:K68)</f>
        <v>16.753223198799123</v>
      </c>
      <c r="L70" s="21">
        <f t="shared" si="91"/>
        <v>6.552091620001697</v>
      </c>
      <c r="M70" s="21">
        <f t="shared" si="91"/>
        <v>-5.6054066680603896</v>
      </c>
      <c r="N70" s="41">
        <f t="shared" si="91"/>
        <v>-23.617815739519525</v>
      </c>
      <c r="O70" s="41">
        <f t="shared" ref="O70" si="92">AVERAGE(K68:O68)</f>
        <v>-34.824529842785353</v>
      </c>
      <c r="P70" s="41">
        <f t="shared" ref="P70" si="93">AVERAGE(L68:P68)</f>
        <v>-38.542652017038336</v>
      </c>
      <c r="Q70" s="44">
        <f t="shared" ref="Q70" si="94">AVERAGE(M68:Q68)</f>
        <v>-31.4729299302514</v>
      </c>
      <c r="R70" s="44">
        <f t="shared" ref="R70" si="95">AVERAGE(N68:R68)</f>
        <v>-19.264149590907262</v>
      </c>
      <c r="S70" s="44">
        <f t="shared" ref="S70" si="96">AVERAGE(O68:S68)</f>
        <v>-13.064528917602379</v>
      </c>
      <c r="T70" s="44">
        <f t="shared" ref="T70" si="97">AVERAGE(P68:T68)</f>
        <v>-10.069455025976762</v>
      </c>
      <c r="U70" s="44">
        <f t="shared" ref="U70" si="98">AVERAGE(Q68:U68)</f>
        <v>-5.5872415872415875</v>
      </c>
      <c r="V70" s="44">
        <f t="shared" ref="V70" si="99">AVERAGE(R68:V68)</f>
        <v>-5.1110511110511112</v>
      </c>
    </row>
    <row r="71" spans="1:22">
      <c r="N71" s="38"/>
      <c r="O71" s="45"/>
      <c r="P71" s="45"/>
      <c r="Q71" s="45"/>
      <c r="R71" s="45"/>
      <c r="S71" s="45"/>
      <c r="T71" s="45"/>
    </row>
    <row r="72" spans="1:22">
      <c r="B72" s="24" t="s">
        <v>47</v>
      </c>
      <c r="C72" s="22" t="s">
        <v>44</v>
      </c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43"/>
      <c r="O72" s="46"/>
      <c r="P72" s="46"/>
      <c r="Q72" s="46"/>
      <c r="R72" s="46"/>
      <c r="S72" s="46"/>
      <c r="T72" s="46"/>
      <c r="U72" s="46"/>
      <c r="V72" s="46"/>
    </row>
    <row r="73" spans="1:22">
      <c r="N73" s="38"/>
      <c r="O73" s="45"/>
      <c r="P73" s="45"/>
      <c r="Q73" s="45"/>
      <c r="R73" s="45"/>
      <c r="S73" s="45"/>
      <c r="T73" s="45"/>
    </row>
    <row r="74" spans="1:22">
      <c r="B74" s="2" t="s">
        <v>35</v>
      </c>
      <c r="N74" s="38"/>
      <c r="O74" s="45"/>
      <c r="P74" s="45"/>
      <c r="Q74" s="45"/>
      <c r="R74" s="45"/>
      <c r="S74" s="45"/>
      <c r="T74" s="45"/>
    </row>
    <row r="75" spans="1:22">
      <c r="A75" s="25">
        <v>1</v>
      </c>
      <c r="B75" s="1" t="s">
        <v>34</v>
      </c>
      <c r="E75" s="21">
        <f>E50/E52%</f>
        <v>39.775910364145659</v>
      </c>
      <c r="F75" s="21">
        <f t="shared" ref="F75:V75" si="100">F50/F52%</f>
        <v>35.893155258764608</v>
      </c>
      <c r="G75" s="21">
        <f t="shared" si="100"/>
        <v>39.692307692307693</v>
      </c>
      <c r="H75" s="21">
        <f t="shared" si="100"/>
        <v>39.024390243902438</v>
      </c>
      <c r="I75" s="21">
        <f t="shared" si="100"/>
        <v>35.132275132275133</v>
      </c>
      <c r="J75" s="21">
        <f t="shared" si="100"/>
        <v>30.023455824863177</v>
      </c>
      <c r="K75" s="21">
        <f t="shared" si="100"/>
        <v>31.740614334470987</v>
      </c>
      <c r="L75" s="21">
        <f t="shared" si="100"/>
        <v>32.195845697329375</v>
      </c>
      <c r="M75" s="21">
        <f t="shared" si="100"/>
        <v>56.578947368421055</v>
      </c>
      <c r="N75" s="41">
        <f t="shared" ref="N75:P75" si="101">N50/N52%</f>
        <v>54.482758620689658</v>
      </c>
      <c r="O75" s="41">
        <f t="shared" si="101"/>
        <v>56.521739130434788</v>
      </c>
      <c r="P75" s="41">
        <f t="shared" si="101"/>
        <v>47.61904761904762</v>
      </c>
      <c r="Q75" s="44">
        <f t="shared" si="100"/>
        <v>46.153846153846153</v>
      </c>
      <c r="R75" s="44">
        <f t="shared" si="100"/>
        <v>45.945945945945944</v>
      </c>
      <c r="S75" s="44">
        <f t="shared" si="100"/>
        <v>45.714285714285715</v>
      </c>
      <c r="T75" s="44">
        <f t="shared" si="100"/>
        <v>45.454545454545453</v>
      </c>
      <c r="U75" s="44">
        <f t="shared" si="100"/>
        <v>46.031746031746032</v>
      </c>
      <c r="V75" s="44">
        <f t="shared" si="100"/>
        <v>46.666666666666671</v>
      </c>
    </row>
    <row r="76" spans="1:22">
      <c r="A76" s="25">
        <v>2</v>
      </c>
      <c r="B76" s="1" t="s">
        <v>28</v>
      </c>
      <c r="E76" s="21"/>
      <c r="F76" s="21"/>
      <c r="G76" s="21">
        <f>AVERAGE(E75:G75)</f>
        <v>38.453791105072654</v>
      </c>
      <c r="H76" s="21">
        <f>AVERAGE(F75:H75)</f>
        <v>38.203284398324911</v>
      </c>
      <c r="I76" s="21">
        <f t="shared" ref="I76:N76" si="102">AVERAGE(G75:I75)</f>
        <v>37.949657689495091</v>
      </c>
      <c r="J76" s="21">
        <f t="shared" si="102"/>
        <v>34.726707067013585</v>
      </c>
      <c r="K76" s="21">
        <f t="shared" si="102"/>
        <v>32.298781763869762</v>
      </c>
      <c r="L76" s="21">
        <f t="shared" si="102"/>
        <v>31.319971952221181</v>
      </c>
      <c r="M76" s="21">
        <f t="shared" si="102"/>
        <v>40.171802466740473</v>
      </c>
      <c r="N76" s="41">
        <f t="shared" si="102"/>
        <v>47.75251722881336</v>
      </c>
      <c r="O76" s="41">
        <f t="shared" ref="O76" si="103">AVERAGE(M75:O75)</f>
        <v>55.861148373181834</v>
      </c>
      <c r="P76" s="41">
        <f t="shared" ref="P76" si="104">AVERAGE(N75:P75)</f>
        <v>52.874515123390687</v>
      </c>
      <c r="Q76" s="44">
        <f t="shared" ref="Q76" si="105">AVERAGE(O75:Q75)</f>
        <v>50.09821096777619</v>
      </c>
      <c r="R76" s="44">
        <f t="shared" ref="R76" si="106">AVERAGE(P75:R75)</f>
        <v>46.57294657294657</v>
      </c>
      <c r="S76" s="44">
        <f t="shared" ref="S76" si="107">AVERAGE(Q75:S75)</f>
        <v>45.938025938025937</v>
      </c>
      <c r="T76" s="44">
        <f t="shared" ref="T76" si="108">AVERAGE(R75:T75)</f>
        <v>45.704925704925699</v>
      </c>
      <c r="U76" s="44">
        <f t="shared" ref="U76" si="109">AVERAGE(S75:U75)</f>
        <v>45.733525733525731</v>
      </c>
      <c r="V76" s="44">
        <f t="shared" ref="V76" si="110">AVERAGE(T75:V75)</f>
        <v>46.050986050986047</v>
      </c>
    </row>
    <row r="77" spans="1:22">
      <c r="A77" s="25">
        <v>3</v>
      </c>
      <c r="B77" s="1" t="s">
        <v>29</v>
      </c>
      <c r="E77" s="21"/>
      <c r="F77" s="21"/>
      <c r="G77" s="21"/>
      <c r="H77" s="21"/>
      <c r="I77" s="21">
        <f>AVERAGE(E75:I75)</f>
        <v>37.903607738279106</v>
      </c>
      <c r="J77" s="21">
        <f>AVERAGE(F75:J75)</f>
        <v>35.953116830422609</v>
      </c>
      <c r="K77" s="21">
        <f t="shared" ref="K77:N77" si="111">AVERAGE(G75:K75)</f>
        <v>35.122608645563886</v>
      </c>
      <c r="L77" s="21">
        <f t="shared" si="111"/>
        <v>33.623316246568223</v>
      </c>
      <c r="M77" s="21">
        <f t="shared" si="111"/>
        <v>37.134227671471947</v>
      </c>
      <c r="N77" s="41">
        <f t="shared" si="111"/>
        <v>41.004324369154844</v>
      </c>
      <c r="O77" s="41">
        <f t="shared" ref="O77" si="112">AVERAGE(K75:O75)</f>
        <v>46.303981030269171</v>
      </c>
      <c r="P77" s="41">
        <f t="shared" ref="P77" si="113">AVERAGE(L75:P75)</f>
        <v>49.479667687184495</v>
      </c>
      <c r="Q77" s="44">
        <f t="shared" ref="Q77" si="114">AVERAGE(M75:Q75)</f>
        <v>52.271267778487854</v>
      </c>
      <c r="R77" s="44">
        <f t="shared" ref="R77" si="115">AVERAGE(N75:R75)</f>
        <v>50.144667493992827</v>
      </c>
      <c r="S77" s="44">
        <f t="shared" ref="S77" si="116">AVERAGE(O75:S75)</f>
        <v>48.390972912712044</v>
      </c>
      <c r="T77" s="44">
        <f t="shared" ref="T77" si="117">AVERAGE(P75:T75)</f>
        <v>46.177534177534177</v>
      </c>
      <c r="U77" s="44">
        <f t="shared" ref="U77" si="118">AVERAGE(Q75:U75)</f>
        <v>45.860073860073861</v>
      </c>
      <c r="V77" s="44">
        <f t="shared" ref="V77" si="119">AVERAGE(R75:V75)</f>
        <v>45.962637962637963</v>
      </c>
    </row>
    <row r="78" spans="1:22">
      <c r="E78" s="21"/>
      <c r="F78" s="21"/>
      <c r="G78" s="21"/>
      <c r="H78" s="21"/>
      <c r="I78" s="21"/>
      <c r="J78" s="21"/>
      <c r="K78" s="21"/>
      <c r="L78" s="21"/>
      <c r="M78" s="21"/>
      <c r="N78" s="38"/>
      <c r="O78" s="45"/>
      <c r="P78" s="45"/>
      <c r="Q78" s="45"/>
      <c r="R78" s="45"/>
      <c r="S78" s="45"/>
      <c r="T78" s="45"/>
    </row>
    <row r="79" spans="1:22">
      <c r="B79" s="24" t="s">
        <v>49</v>
      </c>
      <c r="C79" s="22" t="s">
        <v>46</v>
      </c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43"/>
      <c r="O79" s="46"/>
      <c r="P79" s="46"/>
      <c r="Q79" s="46"/>
      <c r="R79" s="46"/>
      <c r="S79" s="46"/>
      <c r="T79" s="46"/>
      <c r="U79" s="46"/>
      <c r="V79" s="46"/>
    </row>
    <row r="80" spans="1:22">
      <c r="N80" s="38"/>
      <c r="O80" s="45"/>
      <c r="P80" s="45"/>
      <c r="Q80" s="45"/>
      <c r="R80" s="45"/>
      <c r="S80" s="45"/>
      <c r="T80" s="45"/>
    </row>
    <row r="81" spans="1:23">
      <c r="B81" s="2" t="s">
        <v>36</v>
      </c>
      <c r="E81" s="21"/>
      <c r="F81" s="21"/>
      <c r="G81" s="21"/>
      <c r="H81" s="21"/>
      <c r="I81" s="21"/>
      <c r="J81" s="21"/>
      <c r="K81" s="21"/>
      <c r="L81" s="21"/>
      <c r="M81" s="21"/>
      <c r="N81" s="38"/>
      <c r="O81" s="45"/>
      <c r="P81" s="45"/>
      <c r="Q81" s="45"/>
      <c r="R81" s="45"/>
      <c r="S81" s="45"/>
      <c r="T81" s="45"/>
    </row>
    <row r="82" spans="1:23">
      <c r="A82" s="25">
        <v>1</v>
      </c>
      <c r="B82" s="1" t="s">
        <v>34</v>
      </c>
      <c r="E82" s="21">
        <f>E44/E45%</f>
        <v>13.023255813953488</v>
      </c>
      <c r="F82" s="21">
        <f t="shared" ref="F82:P82" si="120">F44/F45%</f>
        <v>11.197916666666668</v>
      </c>
      <c r="G82" s="21">
        <f t="shared" si="120"/>
        <v>15.306122448979592</v>
      </c>
      <c r="H82" s="21">
        <f t="shared" si="120"/>
        <v>15.733333333333333</v>
      </c>
      <c r="I82" s="21">
        <f t="shared" si="120"/>
        <v>24.143556280587276</v>
      </c>
      <c r="J82" s="21">
        <f t="shared" si="120"/>
        <v>21.340782122905029</v>
      </c>
      <c r="K82" s="21">
        <f t="shared" si="120"/>
        <v>19.125</v>
      </c>
      <c r="L82" s="21">
        <f t="shared" si="120"/>
        <v>21.225382932166301</v>
      </c>
      <c r="M82" s="21">
        <f t="shared" si="120"/>
        <v>20.202020202020201</v>
      </c>
      <c r="N82" s="41">
        <f t="shared" si="120"/>
        <v>19.696969696969695</v>
      </c>
      <c r="O82" s="41">
        <f t="shared" si="120"/>
        <v>20</v>
      </c>
      <c r="P82" s="41">
        <f t="shared" si="120"/>
        <v>13.636363636363637</v>
      </c>
      <c r="Q82" s="49">
        <v>20</v>
      </c>
      <c r="R82" s="49">
        <v>20</v>
      </c>
      <c r="S82" s="49">
        <v>20</v>
      </c>
      <c r="T82" s="49">
        <v>20</v>
      </c>
      <c r="U82" s="49">
        <v>20</v>
      </c>
      <c r="V82" s="49">
        <v>20</v>
      </c>
    </row>
    <row r="83" spans="1:23">
      <c r="A83" s="25">
        <v>2</v>
      </c>
      <c r="B83" s="1" t="s">
        <v>28</v>
      </c>
      <c r="E83" s="21"/>
      <c r="F83" s="21"/>
      <c r="G83" s="21">
        <f>AVERAGE(E82:G82)</f>
        <v>13.17576497653325</v>
      </c>
      <c r="H83" s="21">
        <f>AVERAGE(F82:H82)</f>
        <v>14.079124149659863</v>
      </c>
      <c r="I83" s="21">
        <f t="shared" ref="I83:N83" si="121">AVERAGE(G82:I82)</f>
        <v>18.394337354300067</v>
      </c>
      <c r="J83" s="21">
        <f t="shared" si="121"/>
        <v>20.405890578941879</v>
      </c>
      <c r="K83" s="21">
        <f t="shared" si="121"/>
        <v>21.536446134497435</v>
      </c>
      <c r="L83" s="21">
        <f t="shared" si="121"/>
        <v>20.563721685023776</v>
      </c>
      <c r="M83" s="21">
        <f t="shared" si="121"/>
        <v>20.184134378062165</v>
      </c>
      <c r="N83" s="41">
        <f t="shared" si="121"/>
        <v>20.374790943718732</v>
      </c>
      <c r="O83" s="41">
        <f t="shared" ref="O83" si="122">AVERAGE(M82:O82)</f>
        <v>19.966329966329965</v>
      </c>
      <c r="P83" s="41">
        <f t="shared" ref="P83" si="123">AVERAGE(N82:P82)</f>
        <v>17.777777777777775</v>
      </c>
      <c r="Q83" s="44">
        <f t="shared" ref="Q83" si="124">AVERAGE(O82:Q82)</f>
        <v>17.878787878787879</v>
      </c>
      <c r="R83" s="44">
        <f t="shared" ref="R83" si="125">AVERAGE(P82:R82)</f>
        <v>17.878787878787879</v>
      </c>
      <c r="S83" s="44">
        <f t="shared" ref="S83" si="126">AVERAGE(Q82:S82)</f>
        <v>20</v>
      </c>
      <c r="T83" s="44">
        <f t="shared" ref="T83" si="127">AVERAGE(R82:T82)</f>
        <v>20</v>
      </c>
      <c r="U83" s="44">
        <f t="shared" ref="U83" si="128">AVERAGE(S82:U82)</f>
        <v>20</v>
      </c>
      <c r="V83" s="44">
        <f t="shared" ref="V83" si="129">AVERAGE(T82:V82)</f>
        <v>20</v>
      </c>
      <c r="W83" s="44"/>
    </row>
    <row r="84" spans="1:23">
      <c r="A84" s="25">
        <v>3</v>
      </c>
      <c r="B84" s="1" t="s">
        <v>29</v>
      </c>
      <c r="E84" s="21"/>
      <c r="F84" s="21"/>
      <c r="G84" s="21"/>
      <c r="H84" s="21"/>
      <c r="I84" s="21">
        <f>AVERAGE(E82:I82)</f>
        <v>15.880836908704072</v>
      </c>
      <c r="J84" s="21">
        <f>AVERAGE(F82:J82)</f>
        <v>17.544342170494382</v>
      </c>
      <c r="K84" s="21">
        <f t="shared" ref="K84:N84" si="130">AVERAGE(G82:K82)</f>
        <v>19.129758837161045</v>
      </c>
      <c r="L84" s="21">
        <f t="shared" si="130"/>
        <v>20.313610933798387</v>
      </c>
      <c r="M84" s="21">
        <f t="shared" si="130"/>
        <v>21.20734830753576</v>
      </c>
      <c r="N84" s="41">
        <f t="shared" si="130"/>
        <v>20.31803099081224</v>
      </c>
      <c r="O84" s="41">
        <f t="shared" ref="O84" si="131">AVERAGE(K82:O82)</f>
        <v>20.049874566231239</v>
      </c>
      <c r="P84" s="41">
        <f t="shared" ref="P84" si="132">AVERAGE(L82:P82)</f>
        <v>18.952147293503966</v>
      </c>
      <c r="Q84" s="44">
        <f t="shared" ref="Q84" si="133">AVERAGE(M82:Q82)</f>
        <v>18.707070707070706</v>
      </c>
      <c r="R84" s="44">
        <f t="shared" ref="R84" si="134">AVERAGE(N82:R82)</f>
        <v>18.666666666666664</v>
      </c>
      <c r="S84" s="44">
        <f t="shared" ref="S84" si="135">AVERAGE(O82:S82)</f>
        <v>18.727272727272727</v>
      </c>
      <c r="T84" s="44">
        <f t="shared" ref="T84" si="136">AVERAGE(P82:T82)</f>
        <v>18.727272727272727</v>
      </c>
      <c r="U84" s="44">
        <f t="shared" ref="U84" si="137">AVERAGE(Q82:U82)</f>
        <v>20</v>
      </c>
      <c r="V84" s="44">
        <f t="shared" ref="V84" si="138">AVERAGE(R82:V82)</f>
        <v>20</v>
      </c>
    </row>
    <row r="85" spans="1:23">
      <c r="E85" s="21"/>
      <c r="F85" s="21"/>
      <c r="G85" s="21"/>
      <c r="H85" s="21"/>
      <c r="I85" s="21"/>
      <c r="J85" s="21"/>
      <c r="K85" s="21"/>
      <c r="L85" s="21"/>
      <c r="M85" s="21"/>
      <c r="N85" s="38"/>
      <c r="O85" s="45"/>
      <c r="P85" s="45"/>
      <c r="Q85" s="45"/>
      <c r="R85" s="45"/>
      <c r="S85" s="45"/>
      <c r="T85" s="45"/>
    </row>
    <row r="86" spans="1:23">
      <c r="B86" s="2" t="s">
        <v>37</v>
      </c>
      <c r="E86" s="21"/>
      <c r="F86" s="21"/>
      <c r="G86" s="21"/>
      <c r="H86" s="21"/>
      <c r="I86" s="21"/>
      <c r="J86" s="21"/>
      <c r="K86" s="21"/>
      <c r="L86" s="21"/>
      <c r="M86" s="21"/>
      <c r="N86" s="38"/>
      <c r="O86" s="45"/>
      <c r="P86" s="45"/>
      <c r="Q86" s="45"/>
      <c r="R86" s="45"/>
      <c r="S86" s="45"/>
      <c r="T86" s="45"/>
    </row>
    <row r="87" spans="1:23">
      <c r="A87" s="25">
        <v>4</v>
      </c>
      <c r="B87" s="1" t="s">
        <v>34</v>
      </c>
      <c r="E87" s="21">
        <f t="shared" ref="E87:P87" si="139">E49/E50%</f>
        <v>2.8169014084507045</v>
      </c>
      <c r="F87" s="21">
        <f t="shared" si="139"/>
        <v>3.7209302325581395</v>
      </c>
      <c r="G87" s="21">
        <f t="shared" si="139"/>
        <v>5.0387596899224807</v>
      </c>
      <c r="H87" s="21">
        <f t="shared" si="139"/>
        <v>7.0833333333333339</v>
      </c>
      <c r="I87" s="21">
        <f t="shared" si="139"/>
        <v>5.7228915662650603</v>
      </c>
      <c r="J87" s="21">
        <f t="shared" si="139"/>
        <v>7.291666666666667</v>
      </c>
      <c r="K87" s="21">
        <f t="shared" si="139"/>
        <v>5.913978494623656</v>
      </c>
      <c r="L87" s="21">
        <f t="shared" si="139"/>
        <v>8.7557603686635943</v>
      </c>
      <c r="M87" s="21">
        <f t="shared" si="139"/>
        <v>5.4263565891472867</v>
      </c>
      <c r="N87" s="41">
        <f t="shared" si="139"/>
        <v>7.5949367088607591</v>
      </c>
      <c r="O87" s="41">
        <f t="shared" si="139"/>
        <v>7.6923076923076916</v>
      </c>
      <c r="P87" s="41">
        <f t="shared" si="139"/>
        <v>2.5</v>
      </c>
      <c r="Q87" s="49">
        <v>7</v>
      </c>
      <c r="R87" s="49">
        <v>7</v>
      </c>
      <c r="S87" s="49">
        <v>7</v>
      </c>
      <c r="T87" s="49">
        <v>7</v>
      </c>
      <c r="U87" s="49">
        <v>7</v>
      </c>
      <c r="V87" s="49">
        <v>7</v>
      </c>
    </row>
    <row r="88" spans="1:23">
      <c r="A88" s="25">
        <v>5</v>
      </c>
      <c r="B88" s="1" t="s">
        <v>28</v>
      </c>
      <c r="E88" s="21"/>
      <c r="F88" s="21"/>
      <c r="G88" s="21">
        <f>AVERAGE(E87:G87)</f>
        <v>3.8588637769771084</v>
      </c>
      <c r="H88" s="21">
        <f>AVERAGE(F87:H87)</f>
        <v>5.2810077519379846</v>
      </c>
      <c r="I88" s="21">
        <f t="shared" ref="I88:N88" si="140">AVERAGE(G87:I87)</f>
        <v>5.9483281965069592</v>
      </c>
      <c r="J88" s="21">
        <f t="shared" si="140"/>
        <v>6.699297188755021</v>
      </c>
      <c r="K88" s="21">
        <f t="shared" si="140"/>
        <v>6.3095122425184611</v>
      </c>
      <c r="L88" s="21">
        <f t="shared" si="140"/>
        <v>7.3204685099846394</v>
      </c>
      <c r="M88" s="21">
        <f t="shared" si="140"/>
        <v>6.6986984841448454</v>
      </c>
      <c r="N88" s="41">
        <f t="shared" si="140"/>
        <v>7.259017888890547</v>
      </c>
      <c r="O88" s="41">
        <f t="shared" ref="O88" si="141">AVERAGE(M87:O87)</f>
        <v>6.9045336634385803</v>
      </c>
      <c r="P88" s="41">
        <f t="shared" ref="P88" si="142">AVERAGE(N87:P87)</f>
        <v>5.9290814670561502</v>
      </c>
      <c r="Q88" s="44">
        <f t="shared" ref="Q88" si="143">AVERAGE(O87:Q87)</f>
        <v>5.7307692307692308</v>
      </c>
      <c r="R88" s="44">
        <f t="shared" ref="R88" si="144">AVERAGE(P87:R87)</f>
        <v>5.5</v>
      </c>
      <c r="S88" s="44">
        <f t="shared" ref="S88" si="145">AVERAGE(Q87:S87)</f>
        <v>7</v>
      </c>
      <c r="T88" s="44">
        <f t="shared" ref="T88" si="146">AVERAGE(R87:T87)</f>
        <v>7</v>
      </c>
      <c r="U88" s="44">
        <f t="shared" ref="U88" si="147">AVERAGE(S87:U87)</f>
        <v>7</v>
      </c>
      <c r="V88" s="44">
        <f t="shared" ref="V88" si="148">AVERAGE(T87:V87)</f>
        <v>7</v>
      </c>
    </row>
    <row r="89" spans="1:23">
      <c r="A89" s="25">
        <v>6</v>
      </c>
      <c r="B89" s="1" t="s">
        <v>29</v>
      </c>
      <c r="E89" s="21"/>
      <c r="F89" s="21"/>
      <c r="G89" s="21"/>
      <c r="H89" s="21"/>
      <c r="I89" s="21">
        <f>AVERAGE(E87:I87)</f>
        <v>4.8765632461059436</v>
      </c>
      <c r="J89" s="21">
        <f>AVERAGE(F87:J87)</f>
        <v>5.7715162977491365</v>
      </c>
      <c r="K89" s="21">
        <f t="shared" ref="K89:N89" si="149">AVERAGE(G87:K87)</f>
        <v>6.2101259501622401</v>
      </c>
      <c r="L89" s="21">
        <f t="shared" si="149"/>
        <v>6.9535260859104628</v>
      </c>
      <c r="M89" s="21">
        <f t="shared" si="149"/>
        <v>6.6221307370732534</v>
      </c>
      <c r="N89" s="41">
        <f t="shared" si="149"/>
        <v>6.9965397655923924</v>
      </c>
      <c r="O89" s="41">
        <f t="shared" ref="O89" si="150">AVERAGE(K87:O87)</f>
        <v>7.0766679707205977</v>
      </c>
      <c r="P89" s="41">
        <f t="shared" ref="P89" si="151">AVERAGE(L87:P87)</f>
        <v>6.3938722717958667</v>
      </c>
      <c r="Q89" s="44">
        <f t="shared" ref="Q89" si="152">AVERAGE(M87:Q87)</f>
        <v>6.0427201980631482</v>
      </c>
      <c r="R89" s="44">
        <f t="shared" ref="R89" si="153">AVERAGE(N87:R87)</f>
        <v>6.3574488802336901</v>
      </c>
      <c r="S89" s="44">
        <f t="shared" ref="S89" si="154">AVERAGE(O87:S87)</f>
        <v>6.2384615384615385</v>
      </c>
      <c r="T89" s="44">
        <f t="shared" ref="T89" si="155">AVERAGE(P87:T87)</f>
        <v>6.1</v>
      </c>
      <c r="U89" s="44">
        <f t="shared" ref="U89" si="156">AVERAGE(Q87:U87)</f>
        <v>7</v>
      </c>
      <c r="V89" s="44">
        <f t="shared" ref="V89" si="157">AVERAGE(R87:V87)</f>
        <v>7</v>
      </c>
    </row>
    <row r="90" spans="1:23">
      <c r="N90" s="38"/>
      <c r="O90" s="45"/>
      <c r="P90" s="45"/>
      <c r="Q90" s="45"/>
      <c r="R90" s="45"/>
      <c r="S90" s="45"/>
      <c r="T90" s="45"/>
    </row>
    <row r="91" spans="1:23">
      <c r="B91" s="2" t="s">
        <v>38</v>
      </c>
      <c r="N91" s="38"/>
      <c r="O91" s="45"/>
      <c r="P91" s="45"/>
      <c r="Q91" s="45"/>
      <c r="R91" s="45"/>
      <c r="S91" s="45"/>
      <c r="T91" s="45"/>
    </row>
    <row r="92" spans="1:23">
      <c r="A92" s="25">
        <v>7</v>
      </c>
      <c r="B92" s="1" t="s">
        <v>34</v>
      </c>
      <c r="E92" s="21">
        <f t="shared" ref="E92:M92" si="158">(E44+E49)/E52%</f>
        <v>8.9635854341736696</v>
      </c>
      <c r="F92" s="21">
        <f t="shared" si="158"/>
        <v>8.5141903171953253</v>
      </c>
      <c r="G92" s="21">
        <f t="shared" si="158"/>
        <v>11.23076923076923</v>
      </c>
      <c r="H92" s="21">
        <f t="shared" si="158"/>
        <v>12.357723577235772</v>
      </c>
      <c r="I92" s="21">
        <f t="shared" si="158"/>
        <v>17.671957671957674</v>
      </c>
      <c r="J92" s="21">
        <f t="shared" si="158"/>
        <v>17.122752150117279</v>
      </c>
      <c r="K92" s="21">
        <f t="shared" si="158"/>
        <v>14.931740614334471</v>
      </c>
      <c r="L92" s="21">
        <f t="shared" si="158"/>
        <v>17.210682492581601</v>
      </c>
      <c r="M92" s="21">
        <f t="shared" si="158"/>
        <v>11.842105263157896</v>
      </c>
      <c r="N92" s="41">
        <f t="shared" ref="N92:P92" si="159">(N44+N49)/N52%</f>
        <v>13.103448275862069</v>
      </c>
      <c r="O92" s="41">
        <f t="shared" si="159"/>
        <v>13.043478260869566</v>
      </c>
      <c r="P92" s="41">
        <f t="shared" si="159"/>
        <v>8.3333333333333339</v>
      </c>
      <c r="Q92" s="44">
        <f t="shared" ref="Q92:V92" si="160">(Q44+Q49)/Q52%</f>
        <v>14.102564102564102</v>
      </c>
      <c r="R92" s="44">
        <f t="shared" si="160"/>
        <v>13.513513513513514</v>
      </c>
      <c r="S92" s="44">
        <f t="shared" si="160"/>
        <v>14.285714285714286</v>
      </c>
      <c r="T92" s="44">
        <f t="shared" si="160"/>
        <v>13.636363636363635</v>
      </c>
      <c r="U92" s="44">
        <f t="shared" si="160"/>
        <v>14.285714285714286</v>
      </c>
      <c r="V92" s="44">
        <f t="shared" si="160"/>
        <v>13.333333333333334</v>
      </c>
    </row>
    <row r="93" spans="1:23">
      <c r="A93" s="25">
        <v>8</v>
      </c>
      <c r="B93" s="1" t="s">
        <v>28</v>
      </c>
      <c r="E93" s="21"/>
      <c r="F93" s="21"/>
      <c r="G93" s="21">
        <f>AVERAGE(E92:G92)</f>
        <v>9.5695149940460755</v>
      </c>
      <c r="H93" s="21">
        <f>AVERAGE(F92:H92)</f>
        <v>10.700894375066776</v>
      </c>
      <c r="I93" s="21">
        <f t="shared" ref="I93:N93" si="161">AVERAGE(G92:I92)</f>
        <v>13.753483493320891</v>
      </c>
      <c r="J93" s="21">
        <f t="shared" si="161"/>
        <v>15.717477799770242</v>
      </c>
      <c r="K93" s="21">
        <f t="shared" si="161"/>
        <v>16.57548347880314</v>
      </c>
      <c r="L93" s="21">
        <f t="shared" si="161"/>
        <v>16.421725085677782</v>
      </c>
      <c r="M93" s="21">
        <f t="shared" si="161"/>
        <v>14.661509456691322</v>
      </c>
      <c r="N93" s="41">
        <f t="shared" si="161"/>
        <v>14.052078677200521</v>
      </c>
      <c r="O93" s="41">
        <f t="shared" ref="O93" si="162">AVERAGE(M92:O92)</f>
        <v>12.663010599963178</v>
      </c>
      <c r="P93" s="41">
        <f t="shared" ref="P93" si="163">AVERAGE(N92:P92)</f>
        <v>11.493419956688323</v>
      </c>
      <c r="Q93" s="44">
        <f t="shared" ref="Q93" si="164">AVERAGE(O92:Q92)</f>
        <v>11.826458565589</v>
      </c>
      <c r="R93" s="44">
        <f t="shared" ref="R93" si="165">AVERAGE(P92:R92)</f>
        <v>11.983136983136985</v>
      </c>
      <c r="S93" s="44">
        <f t="shared" ref="S93" si="166">AVERAGE(Q92:S92)</f>
        <v>13.967263967263968</v>
      </c>
      <c r="T93" s="44">
        <f t="shared" ref="T93" si="167">AVERAGE(R92:T92)</f>
        <v>13.811863811863811</v>
      </c>
      <c r="U93" s="44">
        <f t="shared" ref="U93" si="168">AVERAGE(S92:U92)</f>
        <v>14.06926406926407</v>
      </c>
      <c r="V93" s="44">
        <f t="shared" ref="V93" si="169">AVERAGE(T92:V92)</f>
        <v>13.751803751803751</v>
      </c>
    </row>
    <row r="94" spans="1:23">
      <c r="A94" s="25">
        <v>9</v>
      </c>
      <c r="B94" s="1" t="s">
        <v>29</v>
      </c>
      <c r="E94" s="21"/>
      <c r="F94" s="21"/>
      <c r="G94" s="21"/>
      <c r="H94" s="21"/>
      <c r="I94" s="21">
        <f>AVERAGE(E92:I92)</f>
        <v>11.747645246266334</v>
      </c>
      <c r="J94" s="21">
        <f>AVERAGE(F92:J92)</f>
        <v>13.379478589455056</v>
      </c>
      <c r="K94" s="21">
        <f t="shared" ref="K94:N94" si="170">AVERAGE(G92:K92)</f>
        <v>14.662988648882884</v>
      </c>
      <c r="L94" s="21">
        <f t="shared" si="170"/>
        <v>15.858971301245358</v>
      </c>
      <c r="M94" s="21">
        <f t="shared" si="170"/>
        <v>15.755847638429781</v>
      </c>
      <c r="N94" s="41">
        <f t="shared" si="170"/>
        <v>14.842145759210663</v>
      </c>
      <c r="O94" s="41">
        <f t="shared" ref="O94" si="171">AVERAGE(K92:O92)</f>
        <v>14.02629098136112</v>
      </c>
      <c r="P94" s="41">
        <f t="shared" ref="P94" si="172">AVERAGE(L92:P92)</f>
        <v>12.706609525160893</v>
      </c>
      <c r="Q94" s="44">
        <f t="shared" ref="Q94" si="173">AVERAGE(M92:Q92)</f>
        <v>12.084985847157395</v>
      </c>
      <c r="R94" s="44">
        <f t="shared" ref="R94" si="174">AVERAGE(N92:R92)</f>
        <v>12.419267497228518</v>
      </c>
      <c r="S94" s="44">
        <f t="shared" ref="S94" si="175">AVERAGE(O92:S92)</f>
        <v>12.655720699198961</v>
      </c>
      <c r="T94" s="44">
        <f t="shared" ref="T94" si="176">AVERAGE(P92:T92)</f>
        <v>12.774297774297775</v>
      </c>
      <c r="U94" s="44">
        <f t="shared" ref="U94" si="177">AVERAGE(Q92:U92)</f>
        <v>13.964773964773965</v>
      </c>
      <c r="V94" s="44">
        <f t="shared" ref="V94" si="178">AVERAGE(R92:V92)</f>
        <v>13.810927810927812</v>
      </c>
    </row>
    <row r="95" spans="1:23">
      <c r="N95" s="38"/>
      <c r="O95" s="45"/>
      <c r="P95" s="45"/>
      <c r="Q95" s="45"/>
      <c r="R95" s="45"/>
      <c r="S95" s="45"/>
      <c r="T95" s="45"/>
    </row>
    <row r="96" spans="1:23">
      <c r="B96" s="24" t="s">
        <v>50</v>
      </c>
      <c r="C96" s="22" t="s">
        <v>48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43"/>
      <c r="O96" s="46"/>
      <c r="P96" s="46"/>
      <c r="Q96" s="46"/>
      <c r="R96" s="46"/>
      <c r="S96" s="46"/>
      <c r="T96" s="46"/>
      <c r="U96" s="46"/>
      <c r="V96" s="46"/>
    </row>
    <row r="97" spans="1:22">
      <c r="N97" s="38"/>
      <c r="O97" s="45"/>
      <c r="P97" s="45"/>
      <c r="Q97" s="45"/>
      <c r="R97" s="45"/>
      <c r="S97" s="45"/>
      <c r="T97" s="45"/>
    </row>
    <row r="98" spans="1:22">
      <c r="B98" s="2" t="s">
        <v>39</v>
      </c>
      <c r="E98" s="21"/>
      <c r="F98" s="21"/>
      <c r="G98" s="21"/>
      <c r="H98" s="21"/>
      <c r="I98" s="21"/>
      <c r="J98" s="21"/>
      <c r="K98" s="21"/>
      <c r="L98" s="21"/>
      <c r="M98" s="21"/>
      <c r="N98" s="38"/>
      <c r="O98" s="45"/>
      <c r="P98" s="45"/>
      <c r="Q98" s="45"/>
      <c r="R98" s="45"/>
      <c r="S98" s="45"/>
      <c r="T98" s="45"/>
    </row>
    <row r="99" spans="1:22">
      <c r="A99" s="25">
        <v>1</v>
      </c>
      <c r="B99" s="1" t="s">
        <v>34</v>
      </c>
      <c r="E99" s="21">
        <f>E42/(E42+E43)%</f>
        <v>91.97860962566844</v>
      </c>
      <c r="F99" s="21">
        <f t="shared" ref="F99:P99" si="179">F42/(F42+F43)%</f>
        <v>89.73607038123167</v>
      </c>
      <c r="G99" s="21">
        <f t="shared" si="179"/>
        <v>85.240963855421697</v>
      </c>
      <c r="H99" s="21">
        <f t="shared" si="179"/>
        <v>84.493670886075947</v>
      </c>
      <c r="I99" s="21">
        <f t="shared" si="179"/>
        <v>80.430107526881713</v>
      </c>
      <c r="J99" s="21">
        <f t="shared" si="179"/>
        <v>76.846590909090907</v>
      </c>
      <c r="K99" s="21">
        <f t="shared" si="179"/>
        <v>73.724884080370941</v>
      </c>
      <c r="L99" s="21">
        <f t="shared" si="179"/>
        <v>54.444444444444443</v>
      </c>
      <c r="M99" s="21">
        <f t="shared" si="179"/>
        <v>56.962025316455694</v>
      </c>
      <c r="N99" s="41">
        <f t="shared" si="179"/>
        <v>41.509433962264147</v>
      </c>
      <c r="O99" s="41">
        <f t="shared" si="179"/>
        <v>52.5</v>
      </c>
      <c r="P99" s="41">
        <f t="shared" si="179"/>
        <v>50</v>
      </c>
      <c r="Q99" s="49">
        <v>53</v>
      </c>
      <c r="R99" s="49">
        <v>56</v>
      </c>
      <c r="S99" s="49">
        <v>58</v>
      </c>
      <c r="T99" s="49">
        <v>60</v>
      </c>
      <c r="U99" s="49">
        <v>60</v>
      </c>
      <c r="V99" s="49">
        <v>60</v>
      </c>
    </row>
    <row r="100" spans="1:22">
      <c r="A100" s="25">
        <v>2</v>
      </c>
      <c r="B100" s="1" t="s">
        <v>28</v>
      </c>
      <c r="E100" s="21"/>
      <c r="F100" s="21"/>
      <c r="G100" s="21">
        <f>AVERAGE(E99:G99)</f>
        <v>88.985214620773931</v>
      </c>
      <c r="H100" s="21">
        <f>AVERAGE(F99:H99)</f>
        <v>86.490235040909781</v>
      </c>
      <c r="I100" s="21">
        <f t="shared" ref="I100:N100" si="180">AVERAGE(G99:I99)</f>
        <v>83.388247422793128</v>
      </c>
      <c r="J100" s="21">
        <f t="shared" si="180"/>
        <v>80.590123107349527</v>
      </c>
      <c r="K100" s="21">
        <f t="shared" si="180"/>
        <v>77.000527505447849</v>
      </c>
      <c r="L100" s="21">
        <f t="shared" si="180"/>
        <v>68.338639811302087</v>
      </c>
      <c r="M100" s="21">
        <f t="shared" si="180"/>
        <v>61.710451280423705</v>
      </c>
      <c r="N100" s="41">
        <f t="shared" si="180"/>
        <v>50.971967907721428</v>
      </c>
      <c r="O100" s="41">
        <f t="shared" ref="O100" si="181">AVERAGE(M99:O99)</f>
        <v>50.323819759573276</v>
      </c>
      <c r="P100" s="41">
        <f t="shared" ref="P100" si="182">AVERAGE(N99:P99)</f>
        <v>48.003144654088054</v>
      </c>
      <c r="Q100" s="44">
        <f t="shared" ref="Q100" si="183">AVERAGE(O99:Q99)</f>
        <v>51.833333333333336</v>
      </c>
      <c r="R100" s="44">
        <f t="shared" ref="R100" si="184">AVERAGE(P99:R99)</f>
        <v>53</v>
      </c>
      <c r="S100" s="44">
        <f t="shared" ref="S100" si="185">AVERAGE(Q99:S99)</f>
        <v>55.666666666666664</v>
      </c>
      <c r="T100" s="44">
        <f t="shared" ref="T100" si="186">AVERAGE(R99:T99)</f>
        <v>58</v>
      </c>
      <c r="U100" s="44">
        <f t="shared" ref="U100" si="187">AVERAGE(S99:U99)</f>
        <v>59.333333333333336</v>
      </c>
      <c r="V100" s="44">
        <f t="shared" ref="V100" si="188">AVERAGE(T99:V99)</f>
        <v>60</v>
      </c>
    </row>
    <row r="101" spans="1:22">
      <c r="A101" s="25">
        <v>3</v>
      </c>
      <c r="B101" s="1" t="s">
        <v>29</v>
      </c>
      <c r="E101" s="21"/>
      <c r="F101" s="21"/>
      <c r="G101" s="21"/>
      <c r="H101" s="21"/>
      <c r="I101" s="21">
        <f>AVERAGE(E99:I99)</f>
        <v>86.375884455055896</v>
      </c>
      <c r="J101" s="21">
        <f>AVERAGE(F99:J99)</f>
        <v>83.349480711740398</v>
      </c>
      <c r="K101" s="21">
        <f t="shared" ref="K101:N101" si="189">AVERAGE(G99:K99)</f>
        <v>80.147243451568244</v>
      </c>
      <c r="L101" s="21">
        <f t="shared" si="189"/>
        <v>73.987939569372799</v>
      </c>
      <c r="M101" s="21">
        <f t="shared" si="189"/>
        <v>68.481610455448745</v>
      </c>
      <c r="N101" s="41">
        <f t="shared" si="189"/>
        <v>60.697475742525228</v>
      </c>
      <c r="O101" s="41">
        <f t="shared" ref="O101" si="190">AVERAGE(K99:O99)</f>
        <v>55.828157560707055</v>
      </c>
      <c r="P101" s="41">
        <f t="shared" ref="P101" si="191">AVERAGE(L99:P99)</f>
        <v>51.083180744632855</v>
      </c>
      <c r="Q101" s="44">
        <f t="shared" ref="Q101" si="192">AVERAGE(M99:Q99)</f>
        <v>50.794291855743964</v>
      </c>
      <c r="R101" s="44">
        <f t="shared" ref="R101" si="193">AVERAGE(N99:R99)</f>
        <v>50.601886792452831</v>
      </c>
      <c r="S101" s="44">
        <f t="shared" ref="S101" si="194">AVERAGE(O99:S99)</f>
        <v>53.9</v>
      </c>
      <c r="T101" s="44">
        <f t="shared" ref="T101" si="195">AVERAGE(P99:T99)</f>
        <v>55.4</v>
      </c>
      <c r="U101" s="44">
        <f t="shared" ref="U101" si="196">AVERAGE(Q99:U99)</f>
        <v>57.4</v>
      </c>
      <c r="V101" s="44">
        <f t="shared" ref="V101" si="197">AVERAGE(R99:V99)</f>
        <v>58.8</v>
      </c>
    </row>
    <row r="102" spans="1:22">
      <c r="N102" s="38"/>
      <c r="O102" s="45"/>
      <c r="P102" s="45"/>
      <c r="Q102" s="45"/>
      <c r="R102" s="45"/>
      <c r="S102" s="45"/>
      <c r="T102" s="45"/>
    </row>
    <row r="103" spans="1:22">
      <c r="B103" s="2" t="s">
        <v>61</v>
      </c>
      <c r="E103" s="21"/>
      <c r="F103" s="21"/>
      <c r="G103" s="21"/>
      <c r="H103" s="21"/>
      <c r="I103" s="21"/>
      <c r="J103" s="21"/>
      <c r="K103" s="21"/>
      <c r="L103" s="21"/>
      <c r="M103" s="21"/>
      <c r="N103" s="38"/>
      <c r="O103" s="45"/>
      <c r="P103" s="45"/>
      <c r="Q103" s="45"/>
      <c r="R103" s="45"/>
      <c r="S103" s="45"/>
      <c r="T103" s="45"/>
    </row>
    <row r="104" spans="1:22">
      <c r="A104" s="25">
        <v>4</v>
      </c>
      <c r="B104" s="1" t="s">
        <v>34</v>
      </c>
      <c r="E104" s="21">
        <f>E47/(E47+E48)%</f>
        <v>83.333333333333343</v>
      </c>
      <c r="F104" s="21">
        <f t="shared" ref="F104:P104" si="198">F47/(F47+F48)%</f>
        <v>85.990338164251213</v>
      </c>
      <c r="G104" s="21">
        <f t="shared" si="198"/>
        <v>78.775510204081627</v>
      </c>
      <c r="H104" s="21">
        <f t="shared" si="198"/>
        <v>75.784753363228702</v>
      </c>
      <c r="I104" s="21">
        <f t="shared" si="198"/>
        <v>72.523961661341858</v>
      </c>
      <c r="J104" s="21">
        <f t="shared" si="198"/>
        <v>71.348314606741567</v>
      </c>
      <c r="K104" s="21">
        <f t="shared" si="198"/>
        <v>75.142857142857139</v>
      </c>
      <c r="L104" s="21">
        <f t="shared" si="198"/>
        <v>63.131313131313135</v>
      </c>
      <c r="M104" s="21">
        <f t="shared" si="198"/>
        <v>41.803278688524593</v>
      </c>
      <c r="N104" s="41">
        <f t="shared" si="198"/>
        <v>32.876712328767127</v>
      </c>
      <c r="O104" s="41">
        <f t="shared" si="198"/>
        <v>51.666666666666671</v>
      </c>
      <c r="P104" s="41">
        <f t="shared" si="198"/>
        <v>48.717948717948715</v>
      </c>
      <c r="Q104" s="49">
        <v>50</v>
      </c>
      <c r="R104" s="49">
        <v>54</v>
      </c>
      <c r="S104" s="49">
        <v>57</v>
      </c>
      <c r="T104" s="49">
        <v>60</v>
      </c>
      <c r="U104" s="49">
        <v>60</v>
      </c>
      <c r="V104" s="49">
        <v>60</v>
      </c>
    </row>
    <row r="105" spans="1:22">
      <c r="A105" s="25">
        <v>5</v>
      </c>
      <c r="B105" s="1" t="s">
        <v>28</v>
      </c>
      <c r="E105" s="21"/>
      <c r="F105" s="21"/>
      <c r="G105" s="21">
        <f>AVERAGE(E104:G104)</f>
        <v>82.699727233888723</v>
      </c>
      <c r="H105" s="21">
        <f>AVERAGE(F104:H104)</f>
        <v>80.183533910520524</v>
      </c>
      <c r="I105" s="21">
        <f t="shared" ref="I105:N105" si="199">AVERAGE(G104:I104)</f>
        <v>75.694741742884062</v>
      </c>
      <c r="J105" s="21">
        <f t="shared" si="199"/>
        <v>73.219009877104043</v>
      </c>
      <c r="K105" s="21">
        <f t="shared" si="199"/>
        <v>73.005044470313521</v>
      </c>
      <c r="L105" s="21">
        <f t="shared" si="199"/>
        <v>69.874161626970618</v>
      </c>
      <c r="M105" s="21">
        <f t="shared" si="199"/>
        <v>60.025816320898286</v>
      </c>
      <c r="N105" s="41">
        <f t="shared" si="199"/>
        <v>45.937101382868285</v>
      </c>
      <c r="O105" s="41">
        <f t="shared" ref="O105" si="200">AVERAGE(M104:O104)</f>
        <v>42.115552561319461</v>
      </c>
      <c r="P105" s="41">
        <f t="shared" ref="P105" si="201">AVERAGE(N104:P104)</f>
        <v>44.420442571127502</v>
      </c>
      <c r="Q105" s="44">
        <f t="shared" ref="Q105" si="202">AVERAGE(O104:Q104)</f>
        <v>50.128205128205131</v>
      </c>
      <c r="R105" s="44">
        <f t="shared" ref="R105" si="203">AVERAGE(P104:R104)</f>
        <v>50.90598290598291</v>
      </c>
      <c r="S105" s="44">
        <f t="shared" ref="S105" si="204">AVERAGE(Q104:S104)</f>
        <v>53.666666666666664</v>
      </c>
      <c r="T105" s="44">
        <f t="shared" ref="T105" si="205">AVERAGE(R104:T104)</f>
        <v>57</v>
      </c>
      <c r="U105" s="44">
        <f t="shared" ref="U105" si="206">AVERAGE(S104:U104)</f>
        <v>59</v>
      </c>
      <c r="V105" s="44">
        <f t="shared" ref="V105" si="207">AVERAGE(T104:V104)</f>
        <v>60</v>
      </c>
    </row>
    <row r="106" spans="1:22">
      <c r="A106" s="25">
        <v>6</v>
      </c>
      <c r="B106" s="1" t="s">
        <v>29</v>
      </c>
      <c r="E106" s="21"/>
      <c r="F106" s="21"/>
      <c r="G106" s="21"/>
      <c r="H106" s="21"/>
      <c r="I106" s="21">
        <f>AVERAGE(E104:I104)</f>
        <v>79.281579345247351</v>
      </c>
      <c r="J106" s="21">
        <f>AVERAGE(F104:J104)</f>
        <v>76.884575599928993</v>
      </c>
      <c r="K106" s="21">
        <f t="shared" ref="K106:N106" si="208">AVERAGE(G104:K104)</f>
        <v>74.715079395650179</v>
      </c>
      <c r="L106" s="21">
        <f t="shared" si="208"/>
        <v>71.586239981096497</v>
      </c>
      <c r="M106" s="21">
        <f t="shared" si="208"/>
        <v>64.789945046155651</v>
      </c>
      <c r="N106" s="41">
        <f t="shared" si="208"/>
        <v>56.860495179640715</v>
      </c>
      <c r="O106" s="41">
        <f t="shared" ref="O106" si="209">AVERAGE(K104:O104)</f>
        <v>52.92416559162573</v>
      </c>
      <c r="P106" s="41">
        <f t="shared" ref="P106" si="210">AVERAGE(L104:P104)</f>
        <v>47.63918390664405</v>
      </c>
      <c r="Q106" s="44">
        <f t="shared" ref="Q106" si="211">AVERAGE(M104:Q104)</f>
        <v>45.01292128038142</v>
      </c>
      <c r="R106" s="44">
        <f t="shared" ref="R106" si="212">AVERAGE(N104:R104)</f>
        <v>47.4522655426765</v>
      </c>
      <c r="S106" s="44">
        <f t="shared" ref="S106" si="213">AVERAGE(O104:S104)</f>
        <v>52.276923076923069</v>
      </c>
      <c r="T106" s="44">
        <f t="shared" ref="T106" si="214">AVERAGE(P104:T104)</f>
        <v>53.943589743589747</v>
      </c>
      <c r="U106" s="44">
        <f t="shared" ref="U106" si="215">AVERAGE(Q104:U104)</f>
        <v>56.2</v>
      </c>
      <c r="V106" s="44">
        <f t="shared" ref="V106" si="216">AVERAGE(R104:V104)</f>
        <v>58.2</v>
      </c>
    </row>
    <row r="107" spans="1:22">
      <c r="N107" s="38"/>
      <c r="O107" s="45"/>
      <c r="P107" s="45"/>
      <c r="Q107" s="45"/>
      <c r="R107" s="45"/>
      <c r="S107" s="45"/>
      <c r="T107" s="45"/>
    </row>
    <row r="108" spans="1:22">
      <c r="B108" s="2" t="s">
        <v>40</v>
      </c>
      <c r="E108" s="21"/>
      <c r="F108" s="21"/>
      <c r="G108" s="21"/>
      <c r="H108" s="21"/>
      <c r="I108" s="21"/>
      <c r="J108" s="21"/>
      <c r="K108" s="21"/>
      <c r="L108" s="21"/>
      <c r="M108" s="21"/>
      <c r="N108" s="38"/>
      <c r="O108" s="45"/>
      <c r="P108" s="45"/>
      <c r="Q108" s="45"/>
      <c r="R108" s="45"/>
      <c r="S108" s="45"/>
      <c r="T108" s="45"/>
    </row>
    <row r="109" spans="1:22">
      <c r="A109" s="25">
        <v>7</v>
      </c>
      <c r="B109" s="1" t="s">
        <v>34</v>
      </c>
      <c r="E109" s="21">
        <f>(E42+E47)/(E42+E43+E47+E48)%</f>
        <v>88.307692307692307</v>
      </c>
      <c r="F109" s="21">
        <f t="shared" ref="F109:M109" si="217">(F42+F47)/(F42+F43+F47+F48)%</f>
        <v>88.321167883211672</v>
      </c>
      <c r="G109" s="21">
        <f t="shared" si="217"/>
        <v>82.495667244367425</v>
      </c>
      <c r="H109" s="21">
        <f t="shared" si="217"/>
        <v>80.890538033395174</v>
      </c>
      <c r="I109" s="21">
        <f t="shared" si="217"/>
        <v>77.249357326478147</v>
      </c>
      <c r="J109" s="21">
        <f t="shared" si="217"/>
        <v>75</v>
      </c>
      <c r="K109" s="21">
        <f t="shared" si="217"/>
        <v>74.222668004012036</v>
      </c>
      <c r="L109" s="21">
        <f t="shared" si="217"/>
        <v>57.526881720430104</v>
      </c>
      <c r="M109" s="21">
        <f t="shared" si="217"/>
        <v>47.761194029850749</v>
      </c>
      <c r="N109" s="41">
        <f t="shared" ref="N109:V109" si="218">(N42+N47)/(N42+N43+N47+N48)%</f>
        <v>36.507936507936506</v>
      </c>
      <c r="O109" s="41">
        <f t="shared" si="218"/>
        <v>52</v>
      </c>
      <c r="P109" s="41">
        <f t="shared" si="218"/>
        <v>49.350649350649348</v>
      </c>
      <c r="Q109" s="44">
        <f t="shared" si="218"/>
        <v>52.238805970149251</v>
      </c>
      <c r="R109" s="44">
        <f t="shared" si="218"/>
        <v>54.6875</v>
      </c>
      <c r="S109" s="44">
        <f t="shared" si="218"/>
        <v>56.666666666666671</v>
      </c>
      <c r="T109" s="44">
        <f t="shared" si="218"/>
        <v>59.649122807017548</v>
      </c>
      <c r="U109" s="44">
        <f t="shared" si="218"/>
        <v>59.259259259259252</v>
      </c>
      <c r="V109" s="44">
        <f t="shared" si="218"/>
        <v>61.538461538461533</v>
      </c>
    </row>
    <row r="110" spans="1:22">
      <c r="A110" s="25">
        <v>8</v>
      </c>
      <c r="B110" s="1" t="s">
        <v>28</v>
      </c>
      <c r="E110" s="21"/>
      <c r="F110" s="21"/>
      <c r="G110" s="21">
        <f>AVERAGE(E109:G109)</f>
        <v>86.374842478423815</v>
      </c>
      <c r="H110" s="21">
        <f>AVERAGE(F109:H109)</f>
        <v>83.902457720324762</v>
      </c>
      <c r="I110" s="21">
        <f t="shared" ref="I110:N110" si="219">AVERAGE(G109:I109)</f>
        <v>80.211854201413587</v>
      </c>
      <c r="J110" s="21">
        <f t="shared" si="219"/>
        <v>77.713298453291102</v>
      </c>
      <c r="K110" s="21">
        <f t="shared" si="219"/>
        <v>75.490675110163394</v>
      </c>
      <c r="L110" s="21">
        <f t="shared" si="219"/>
        <v>68.916516574814054</v>
      </c>
      <c r="M110" s="21">
        <f t="shared" si="219"/>
        <v>59.836914584764294</v>
      </c>
      <c r="N110" s="41">
        <f t="shared" si="219"/>
        <v>47.265337419405789</v>
      </c>
      <c r="O110" s="41">
        <f t="shared" ref="O110" si="220">AVERAGE(M109:O109)</f>
        <v>45.423043512595747</v>
      </c>
      <c r="P110" s="41">
        <f t="shared" ref="P110" si="221">AVERAGE(N109:P109)</f>
        <v>45.952861952861952</v>
      </c>
      <c r="Q110" s="44">
        <f t="shared" ref="Q110" si="222">AVERAGE(O109:Q109)</f>
        <v>51.196485106932869</v>
      </c>
      <c r="R110" s="44">
        <f t="shared" ref="R110" si="223">AVERAGE(P109:R109)</f>
        <v>52.092318440266205</v>
      </c>
      <c r="S110" s="44">
        <f t="shared" ref="S110" si="224">AVERAGE(Q109:S109)</f>
        <v>54.530990878938645</v>
      </c>
      <c r="T110" s="44">
        <f t="shared" ref="T110" si="225">AVERAGE(R109:T109)</f>
        <v>57.001096491228076</v>
      </c>
      <c r="U110" s="44">
        <f t="shared" ref="U110" si="226">AVERAGE(S109:U109)</f>
        <v>58.525016244314486</v>
      </c>
      <c r="V110" s="44">
        <f t="shared" ref="V110" si="227">AVERAGE(T109:V109)</f>
        <v>60.148947868246104</v>
      </c>
    </row>
    <row r="111" spans="1:22">
      <c r="A111" s="25">
        <v>9</v>
      </c>
      <c r="B111" s="1" t="s">
        <v>29</v>
      </c>
      <c r="E111" s="21"/>
      <c r="F111" s="21"/>
      <c r="G111" s="21"/>
      <c r="H111" s="21"/>
      <c r="I111" s="21">
        <f>AVERAGE(E109:I109)</f>
        <v>83.452884559028945</v>
      </c>
      <c r="J111" s="21">
        <f>AVERAGE(F109:J109)</f>
        <v>80.791346097490489</v>
      </c>
      <c r="K111" s="21">
        <f t="shared" ref="K111:N111" si="228">AVERAGE(G109:K109)</f>
        <v>77.971646121650565</v>
      </c>
      <c r="L111" s="21">
        <f t="shared" si="228"/>
        <v>72.977889016863088</v>
      </c>
      <c r="M111" s="21">
        <f t="shared" si="228"/>
        <v>66.352020216154216</v>
      </c>
      <c r="N111" s="41">
        <f t="shared" si="228"/>
        <v>58.203736052445876</v>
      </c>
      <c r="O111" s="41">
        <f t="shared" ref="O111" si="229">AVERAGE(K109:O109)</f>
        <v>53.603736052445882</v>
      </c>
      <c r="P111" s="41">
        <f t="shared" ref="P111" si="230">AVERAGE(L109:P109)</f>
        <v>48.62933232177334</v>
      </c>
      <c r="Q111" s="44">
        <f t="shared" ref="Q111" si="231">AVERAGE(M109:Q109)</f>
        <v>47.571717171717168</v>
      </c>
      <c r="R111" s="44">
        <f t="shared" ref="R111" si="232">AVERAGE(N109:R109)</f>
        <v>48.95697836574702</v>
      </c>
      <c r="S111" s="44">
        <f t="shared" ref="S111" si="233">AVERAGE(O109:S109)</f>
        <v>52.988724397493058</v>
      </c>
      <c r="T111" s="44">
        <f t="shared" ref="T111" si="234">AVERAGE(P109:T109)</f>
        <v>54.518548958896567</v>
      </c>
      <c r="U111" s="44">
        <f t="shared" ref="U111" si="235">AVERAGE(Q109:U109)</f>
        <v>56.500270940618542</v>
      </c>
      <c r="V111" s="44">
        <f t="shared" ref="V111" si="236">AVERAGE(R109:V109)</f>
        <v>58.360202054281004</v>
      </c>
    </row>
  </sheetData>
  <mergeCells count="5">
    <mergeCell ref="C5:E5"/>
    <mergeCell ref="B9:B10"/>
    <mergeCell ref="C9:G9"/>
    <mergeCell ref="H9:L9"/>
    <mergeCell ref="M9:M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I133"/>
  <sheetViews>
    <sheetView topLeftCell="A47" zoomScale="80" zoomScaleNormal="80" workbookViewId="0">
      <selection activeCell="X48" sqref="X48"/>
    </sheetView>
  </sheetViews>
  <sheetFormatPr defaultColWidth="8.85546875" defaultRowHeight="15"/>
  <cols>
    <col min="1" max="1" width="4.7109375" style="25" customWidth="1"/>
    <col min="2" max="2" width="38.85546875" style="1" customWidth="1"/>
    <col min="3" max="12" width="8.85546875" style="1"/>
    <col min="13" max="13" width="11" style="1" customWidth="1"/>
    <col min="14" max="14" width="8.85546875" style="1" customWidth="1"/>
    <col min="15" max="15" width="10" style="1" customWidth="1"/>
    <col min="16" max="16" width="8.85546875" style="1"/>
    <col min="17" max="17" width="8.85546875" style="1" customWidth="1"/>
    <col min="18" max="20" width="8.85546875" style="1"/>
    <col min="21" max="21" width="10.5703125" style="1" customWidth="1"/>
    <col min="22" max="23" width="8.85546875" style="1" customWidth="1"/>
    <col min="24" max="25" width="8.85546875" style="1"/>
    <col min="26" max="26" width="37.28515625" style="1" customWidth="1"/>
    <col min="27" max="16384" width="8.85546875" style="1"/>
  </cols>
  <sheetData>
    <row r="2" spans="1:20">
      <c r="B2" s="2" t="s">
        <v>15</v>
      </c>
    </row>
    <row r="3" spans="1:20">
      <c r="B3" s="2" t="str">
        <f>'Penitentiary sector'!B3</f>
        <v>TB case notifications and forecast</v>
      </c>
    </row>
    <row r="4" spans="1:20">
      <c r="B4" s="2"/>
    </row>
    <row r="5" spans="1:20" ht="15.75">
      <c r="B5" s="2"/>
      <c r="C5" s="1816" t="s">
        <v>32</v>
      </c>
      <c r="D5" s="1816"/>
      <c r="E5" s="1816"/>
    </row>
    <row r="7" spans="1:20">
      <c r="B7" s="24" t="s">
        <v>41</v>
      </c>
      <c r="C7" s="22" t="str">
        <f>'Civilian sector'!C7</f>
        <v>CASE NOTIFICATIONS BY CATEGORY, 1996-2014, and forecast until 2020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0" ht="15.75" thickBot="1"/>
    <row r="9" spans="1:20" ht="18.95" customHeight="1">
      <c r="B9" s="1817" t="s">
        <v>0</v>
      </c>
      <c r="C9" s="1819" t="s">
        <v>6</v>
      </c>
      <c r="D9" s="1820"/>
      <c r="E9" s="1820"/>
      <c r="F9" s="1820"/>
      <c r="G9" s="1821"/>
      <c r="H9" s="1819" t="s">
        <v>14</v>
      </c>
      <c r="I9" s="1820"/>
      <c r="J9" s="1820"/>
      <c r="K9" s="1820"/>
      <c r="L9" s="1821"/>
      <c r="M9" s="1822" t="s">
        <v>13</v>
      </c>
      <c r="N9" s="1824" t="s">
        <v>1709</v>
      </c>
      <c r="O9" s="1824" t="s">
        <v>1710</v>
      </c>
    </row>
    <row r="10" spans="1:20" ht="42.75" customHeight="1" thickBot="1">
      <c r="B10" s="1818"/>
      <c r="C10" s="15" t="s">
        <v>10</v>
      </c>
      <c r="D10" s="16" t="s">
        <v>11</v>
      </c>
      <c r="E10" s="17" t="s">
        <v>12</v>
      </c>
      <c r="F10" s="16" t="s">
        <v>9</v>
      </c>
      <c r="G10" s="18" t="s">
        <v>4</v>
      </c>
      <c r="H10" s="15" t="s">
        <v>10</v>
      </c>
      <c r="I10" s="16" t="s">
        <v>11</v>
      </c>
      <c r="J10" s="17" t="s">
        <v>12</v>
      </c>
      <c r="K10" s="16" t="s">
        <v>9</v>
      </c>
      <c r="L10" s="18" t="s">
        <v>4</v>
      </c>
      <c r="M10" s="1823"/>
      <c r="N10" s="1825"/>
      <c r="O10" s="1825"/>
    </row>
    <row r="11" spans="1:20" hidden="1">
      <c r="A11" s="25">
        <v>1</v>
      </c>
      <c r="B11" s="10">
        <v>1996</v>
      </c>
      <c r="C11" s="11">
        <f>'TB data from NTP'!F10</f>
        <v>653</v>
      </c>
      <c r="D11" s="12">
        <f>'TB data from NTP'!G10</f>
        <v>5234</v>
      </c>
      <c r="E11" s="12">
        <f>'TB data from NTP'!H10</f>
        <v>0</v>
      </c>
      <c r="F11" s="12">
        <f>'TB data from NTP'!K10</f>
        <v>1007</v>
      </c>
      <c r="G11" s="13">
        <f>SUM(C11:F11)</f>
        <v>6894</v>
      </c>
      <c r="H11" s="11">
        <f>'TB data from NTP'!B10-'TB data from NTP'!F10</f>
        <v>665</v>
      </c>
      <c r="I11" s="12">
        <f>'TB data from NTP'!C10-'TB data from NTP'!G10</f>
        <v>2661</v>
      </c>
      <c r="J11" s="12">
        <f>'TB data from NTP'!D10-'TB data from NTP'!H10</f>
        <v>0</v>
      </c>
      <c r="K11" s="12">
        <f>'TB data from NTP'!J10-'TB data from NTP'!K10</f>
        <v>423</v>
      </c>
      <c r="L11" s="13">
        <f>SUM(H11:K11)</f>
        <v>3749</v>
      </c>
      <c r="M11" s="14">
        <f>SUM(G11,L11)</f>
        <v>10643</v>
      </c>
      <c r="N11" s="788">
        <f>SUM(C11,D11,E11,H11,I11,J11)</f>
        <v>9213</v>
      </c>
      <c r="O11" s="788">
        <f>SUM(C11,H11)</f>
        <v>1318</v>
      </c>
    </row>
    <row r="12" spans="1:20" hidden="1">
      <c r="A12" s="25">
        <v>2</v>
      </c>
      <c r="B12" s="7">
        <v>1997</v>
      </c>
      <c r="C12" s="8">
        <f>'TB data from NTP'!F11</f>
        <v>595</v>
      </c>
      <c r="D12" s="3">
        <f>'TB data from NTP'!G11</f>
        <v>3194</v>
      </c>
      <c r="E12" s="3">
        <f>'TB data from NTP'!H11</f>
        <v>0</v>
      </c>
      <c r="F12" s="3">
        <f>'TB data from NTP'!K11</f>
        <v>1636</v>
      </c>
      <c r="G12" s="6">
        <f t="shared" ref="G12:G31" si="0">SUM(C12:F12)</f>
        <v>5425</v>
      </c>
      <c r="H12" s="8">
        <f>'TB data from NTP'!B11-'TB data from NTP'!F11</f>
        <v>553</v>
      </c>
      <c r="I12" s="3">
        <f>'TB data from NTP'!C11-'TB data from NTP'!G11</f>
        <v>2075</v>
      </c>
      <c r="J12" s="3">
        <f>'TB data from NTP'!D11-'TB data from NTP'!H11</f>
        <v>0</v>
      </c>
      <c r="K12" s="3">
        <f>'TB data from NTP'!J11-'TB data from NTP'!K11</f>
        <v>393</v>
      </c>
      <c r="L12" s="6">
        <f t="shared" ref="L12:L34" si="1">SUM(H12:K12)</f>
        <v>3021</v>
      </c>
      <c r="M12" s="9">
        <f t="shared" ref="M12:M34" si="2">SUM(G12,L12)</f>
        <v>8446</v>
      </c>
      <c r="N12" s="789">
        <f t="shared" ref="N12:N34" si="3">SUM(C12,D12,E12,H12,I12,J12)</f>
        <v>6417</v>
      </c>
      <c r="O12" s="789">
        <f t="shared" ref="O12:O34" si="4">SUM(C12,H12)</f>
        <v>1148</v>
      </c>
    </row>
    <row r="13" spans="1:20" hidden="1">
      <c r="A13" s="25">
        <v>3</v>
      </c>
      <c r="B13" s="7">
        <v>1998</v>
      </c>
      <c r="C13" s="8">
        <f>'TB data from NTP'!F12</f>
        <v>534</v>
      </c>
      <c r="D13" s="3">
        <f>'TB data from NTP'!G12</f>
        <v>1944</v>
      </c>
      <c r="E13" s="3">
        <f>'TB data from NTP'!H12</f>
        <v>363</v>
      </c>
      <c r="F13" s="3">
        <f>'TB data from NTP'!K12</f>
        <v>1615</v>
      </c>
      <c r="G13" s="6">
        <f t="shared" si="0"/>
        <v>4456</v>
      </c>
      <c r="H13" s="8">
        <f>'TB data from NTP'!B12-'TB data from NTP'!F12</f>
        <v>381</v>
      </c>
      <c r="I13" s="3">
        <f>'TB data from NTP'!C12-'TB data from NTP'!G12</f>
        <v>1732</v>
      </c>
      <c r="J13" s="3">
        <f>'TB data from NTP'!D12-'TB data from NTP'!H12</f>
        <v>0</v>
      </c>
      <c r="K13" s="3">
        <f>'TB data from NTP'!J12-'TB data from NTP'!K12</f>
        <v>126</v>
      </c>
      <c r="L13" s="6">
        <f t="shared" si="1"/>
        <v>2239</v>
      </c>
      <c r="M13" s="9">
        <f t="shared" si="2"/>
        <v>6695</v>
      </c>
      <c r="N13" s="789">
        <f t="shared" si="3"/>
        <v>4954</v>
      </c>
      <c r="O13" s="789">
        <f t="shared" si="4"/>
        <v>915</v>
      </c>
    </row>
    <row r="14" spans="1:20" hidden="1">
      <c r="A14" s="25">
        <v>4</v>
      </c>
      <c r="B14" s="7">
        <v>1999</v>
      </c>
      <c r="C14" s="8">
        <f>'TB data from NTP'!F13</f>
        <v>724</v>
      </c>
      <c r="D14" s="3">
        <f>'TB data from NTP'!G13</f>
        <v>1820</v>
      </c>
      <c r="E14" s="3">
        <f>'TB data from NTP'!H13</f>
        <v>321</v>
      </c>
      <c r="F14" s="3">
        <f>'TB data from NTP'!K13</f>
        <v>1613</v>
      </c>
      <c r="G14" s="6">
        <f t="shared" si="0"/>
        <v>4478</v>
      </c>
      <c r="H14" s="8">
        <f>'TB data from NTP'!B13-'TB data from NTP'!F13</f>
        <v>659</v>
      </c>
      <c r="I14" s="3">
        <f>'TB data from NTP'!C13-'TB data from NTP'!G13</f>
        <v>1207</v>
      </c>
      <c r="J14" s="3">
        <f>'TB data from NTP'!D13-'TB data from NTP'!H13</f>
        <v>162</v>
      </c>
      <c r="K14" s="3">
        <f>'TB data from NTP'!J13-'TB data from NTP'!K13</f>
        <v>106</v>
      </c>
      <c r="L14" s="6">
        <f t="shared" si="1"/>
        <v>2134</v>
      </c>
      <c r="M14" s="9">
        <f t="shared" si="2"/>
        <v>6612</v>
      </c>
      <c r="N14" s="789">
        <f t="shared" si="3"/>
        <v>4893</v>
      </c>
      <c r="O14" s="789">
        <f t="shared" si="4"/>
        <v>1383</v>
      </c>
    </row>
    <row r="15" spans="1:20" hidden="1">
      <c r="A15" s="25">
        <v>5</v>
      </c>
      <c r="B15" s="7">
        <v>2000</v>
      </c>
      <c r="C15" s="8">
        <f>'TB data from NTP'!F14</f>
        <v>807</v>
      </c>
      <c r="D15" s="3">
        <f>'TB data from NTP'!G14</f>
        <v>1945</v>
      </c>
      <c r="E15" s="3">
        <f>'TB data from NTP'!H14</f>
        <v>317</v>
      </c>
      <c r="F15" s="3">
        <f>'TB data from NTP'!K14</f>
        <v>1324</v>
      </c>
      <c r="G15" s="6">
        <f t="shared" si="0"/>
        <v>4393</v>
      </c>
      <c r="H15" s="8">
        <f>'TB data from NTP'!B14-'TB data from NTP'!F14</f>
        <v>644</v>
      </c>
      <c r="I15" s="3">
        <f>'TB data from NTP'!C14-'TB data from NTP'!G14</f>
        <v>1042</v>
      </c>
      <c r="J15" s="3">
        <f>'TB data from NTP'!D14-'TB data from NTP'!H14</f>
        <v>207</v>
      </c>
      <c r="K15" s="3">
        <f>'TB data from NTP'!J14-'TB data from NTP'!K14</f>
        <v>149</v>
      </c>
      <c r="L15" s="6">
        <f t="shared" si="1"/>
        <v>2042</v>
      </c>
      <c r="M15" s="9">
        <f t="shared" si="2"/>
        <v>6435</v>
      </c>
      <c r="N15" s="789">
        <f t="shared" si="3"/>
        <v>4962</v>
      </c>
      <c r="O15" s="789">
        <f t="shared" si="4"/>
        <v>1451</v>
      </c>
    </row>
    <row r="16" spans="1:20" hidden="1">
      <c r="A16" s="25">
        <v>6</v>
      </c>
      <c r="B16" s="7">
        <v>2001</v>
      </c>
      <c r="C16" s="8">
        <f>'TB data from NTP'!F15</f>
        <v>1031</v>
      </c>
      <c r="D16" s="3">
        <f>'TB data from NTP'!G15</f>
        <v>1535</v>
      </c>
      <c r="E16" s="3">
        <f>'TB data from NTP'!H15</f>
        <v>234</v>
      </c>
      <c r="F16" s="3">
        <f>'TB data from NTP'!K15</f>
        <v>1100</v>
      </c>
      <c r="G16" s="6">
        <f t="shared" si="0"/>
        <v>3900</v>
      </c>
      <c r="H16" s="8">
        <f>'TB data from NTP'!B15-'TB data from NTP'!F15</f>
        <v>696</v>
      </c>
      <c r="I16" s="3">
        <f>'TB data from NTP'!C15-'TB data from NTP'!G15</f>
        <v>1107</v>
      </c>
      <c r="J16" s="3">
        <f>'TB data from NTP'!D15-'TB data from NTP'!H15</f>
        <v>152</v>
      </c>
      <c r="K16" s="3">
        <f>'TB data from NTP'!J15-'TB data from NTP'!K15</f>
        <v>71</v>
      </c>
      <c r="L16" s="6">
        <f t="shared" si="1"/>
        <v>2026</v>
      </c>
      <c r="M16" s="9">
        <f t="shared" si="2"/>
        <v>5926</v>
      </c>
      <c r="N16" s="789">
        <f t="shared" si="3"/>
        <v>4755</v>
      </c>
      <c r="O16" s="789">
        <f t="shared" si="4"/>
        <v>1727</v>
      </c>
    </row>
    <row r="17" spans="1:15" hidden="1">
      <c r="A17" s="25">
        <v>7</v>
      </c>
      <c r="B17" s="7">
        <v>2002</v>
      </c>
      <c r="C17" s="8">
        <f>'TB data from NTP'!F16</f>
        <v>1034</v>
      </c>
      <c r="D17" s="3">
        <f>'TB data from NTP'!G16</f>
        <v>1819</v>
      </c>
      <c r="E17" s="3">
        <f>'TB data from NTP'!H16</f>
        <v>264</v>
      </c>
      <c r="F17" s="3">
        <f>'TB data from NTP'!K16</f>
        <v>1261</v>
      </c>
      <c r="G17" s="6">
        <f t="shared" si="0"/>
        <v>4378</v>
      </c>
      <c r="H17" s="8">
        <f>'TB data from NTP'!B16-'TB data from NTP'!F16</f>
        <v>704</v>
      </c>
      <c r="I17" s="3">
        <f>'TB data from NTP'!C16-'TB data from NTP'!G16</f>
        <v>1074</v>
      </c>
      <c r="J17" s="3">
        <f>'TB data from NTP'!D16-'TB data from NTP'!H16</f>
        <v>124</v>
      </c>
      <c r="K17" s="3">
        <f>'TB data from NTP'!J16-'TB data from NTP'!K16</f>
        <v>85</v>
      </c>
      <c r="L17" s="6">
        <f t="shared" si="1"/>
        <v>1987</v>
      </c>
      <c r="M17" s="9">
        <f t="shared" si="2"/>
        <v>6365</v>
      </c>
      <c r="N17" s="789">
        <f t="shared" si="3"/>
        <v>5019</v>
      </c>
      <c r="O17" s="789">
        <f t="shared" si="4"/>
        <v>1738</v>
      </c>
    </row>
    <row r="18" spans="1:15" hidden="1">
      <c r="A18" s="25">
        <v>8</v>
      </c>
      <c r="B18" s="7">
        <v>2003</v>
      </c>
      <c r="C18" s="8">
        <f>'TB data from NTP'!F17</f>
        <v>1012</v>
      </c>
      <c r="D18" s="3">
        <f>'TB data from NTP'!G17</f>
        <v>1585</v>
      </c>
      <c r="E18" s="3">
        <f>'TB data from NTP'!H17</f>
        <v>274</v>
      </c>
      <c r="F18" s="3">
        <f>'TB data from NTP'!K17</f>
        <v>1225</v>
      </c>
      <c r="G18" s="6">
        <f t="shared" si="0"/>
        <v>4096</v>
      </c>
      <c r="H18" s="8">
        <f>'TB data from NTP'!B17-'TB data from NTP'!F17</f>
        <v>766</v>
      </c>
      <c r="I18" s="3">
        <f>'TB data from NTP'!C17-'TB data from NTP'!G17</f>
        <v>1013</v>
      </c>
      <c r="J18" s="3">
        <f>'TB data from NTP'!D17-'TB data from NTP'!H17</f>
        <v>124</v>
      </c>
      <c r="K18" s="3">
        <f>'TB data from NTP'!J17-'TB data from NTP'!K17</f>
        <v>74</v>
      </c>
      <c r="L18" s="6">
        <f t="shared" si="1"/>
        <v>1977</v>
      </c>
      <c r="M18" s="9">
        <f t="shared" si="2"/>
        <v>6073</v>
      </c>
      <c r="N18" s="789">
        <f t="shared" si="3"/>
        <v>4774</v>
      </c>
      <c r="O18" s="789">
        <f t="shared" si="4"/>
        <v>1778</v>
      </c>
    </row>
    <row r="19" spans="1:15" hidden="1">
      <c r="A19" s="25">
        <v>9</v>
      </c>
      <c r="B19" s="7">
        <v>2004</v>
      </c>
      <c r="C19" s="8">
        <f>'TB data from NTP'!F18</f>
        <v>1301</v>
      </c>
      <c r="D19" s="3">
        <f>'TB data from NTP'!G18</f>
        <v>1306</v>
      </c>
      <c r="E19" s="3">
        <f>'TB data from NTP'!H18</f>
        <v>170</v>
      </c>
      <c r="F19" s="3">
        <f>'TB data from NTP'!K18</f>
        <v>1042</v>
      </c>
      <c r="G19" s="6">
        <f t="shared" si="0"/>
        <v>3819</v>
      </c>
      <c r="H19" s="8">
        <f>'TB data from NTP'!B18-'TB data from NTP'!F18</f>
        <v>939</v>
      </c>
      <c r="I19" s="3">
        <f>'TB data from NTP'!C18-'TB data from NTP'!G18</f>
        <v>910</v>
      </c>
      <c r="J19" s="3">
        <f>'TB data from NTP'!D18-'TB data from NTP'!H18</f>
        <v>94</v>
      </c>
      <c r="K19" s="3">
        <f>'TB data from NTP'!J18-'TB data from NTP'!K18</f>
        <v>100</v>
      </c>
      <c r="L19" s="6">
        <f t="shared" si="1"/>
        <v>2043</v>
      </c>
      <c r="M19" s="9">
        <f t="shared" si="2"/>
        <v>5862</v>
      </c>
      <c r="N19" s="789">
        <f t="shared" si="3"/>
        <v>4720</v>
      </c>
      <c r="O19" s="789">
        <f t="shared" si="4"/>
        <v>2240</v>
      </c>
    </row>
    <row r="20" spans="1:15" hidden="1">
      <c r="A20" s="25">
        <v>10</v>
      </c>
      <c r="B20" s="7">
        <v>2005</v>
      </c>
      <c r="C20" s="8">
        <f>'TB data from NTP'!F19</f>
        <v>1489</v>
      </c>
      <c r="D20" s="3">
        <f>'TB data from NTP'!G19</f>
        <v>1387</v>
      </c>
      <c r="E20" s="3">
        <f>'TB data from NTP'!H19</f>
        <v>112</v>
      </c>
      <c r="F20" s="5">
        <f>'TB data from NTP'!K19+1</f>
        <v>1244</v>
      </c>
      <c r="G20" s="6">
        <f t="shared" si="0"/>
        <v>4232</v>
      </c>
      <c r="H20" s="8">
        <f>'TB data from NTP'!B19-'TB data from NTP'!F19</f>
        <v>1100</v>
      </c>
      <c r="I20" s="3">
        <f>'TB data from NTP'!C19-'TB data from NTP'!G19</f>
        <v>944</v>
      </c>
      <c r="J20" s="3">
        <f>'TB data from NTP'!D19-'TB data from NTP'!H19</f>
        <v>28</v>
      </c>
      <c r="K20" s="5">
        <f>'TB data from NTP'!J19-'TB data from NTP'!K19+1</f>
        <v>125</v>
      </c>
      <c r="L20" s="6">
        <f t="shared" si="1"/>
        <v>2197</v>
      </c>
      <c r="M20" s="9">
        <f t="shared" si="2"/>
        <v>6429</v>
      </c>
      <c r="N20" s="789">
        <f t="shared" si="3"/>
        <v>5060</v>
      </c>
      <c r="O20" s="789">
        <f t="shared" si="4"/>
        <v>2589</v>
      </c>
    </row>
    <row r="21" spans="1:15" hidden="1">
      <c r="A21" s="25">
        <v>11</v>
      </c>
      <c r="B21" s="7">
        <v>2006</v>
      </c>
      <c r="C21" s="8">
        <f>'TB data from NTP'!F20</f>
        <v>1815</v>
      </c>
      <c r="D21" s="3">
        <f>'TB data from NTP'!G20</f>
        <v>1121</v>
      </c>
      <c r="E21" s="3">
        <f>'TB data from NTP'!H20</f>
        <v>96</v>
      </c>
      <c r="F21" s="3">
        <f>'TB data from NTP'!K20</f>
        <v>1252</v>
      </c>
      <c r="G21" s="6">
        <f t="shared" si="0"/>
        <v>4284</v>
      </c>
      <c r="H21" s="8">
        <f>'TB data from NTP'!B20-'TB data from NTP'!F20</f>
        <v>1171</v>
      </c>
      <c r="I21" s="3">
        <f>'TB data from NTP'!C20-'TB data from NTP'!G20</f>
        <v>681</v>
      </c>
      <c r="J21" s="3">
        <f>'TB data from NTP'!D20-'TB data from NTP'!H20</f>
        <v>53</v>
      </c>
      <c r="K21" s="3">
        <f>'TB data from NTP'!J20-'TB data from NTP'!K20</f>
        <v>122</v>
      </c>
      <c r="L21" s="6">
        <f t="shared" si="1"/>
        <v>2027</v>
      </c>
      <c r="M21" s="9">
        <f t="shared" si="2"/>
        <v>6311</v>
      </c>
      <c r="N21" s="789">
        <f t="shared" si="3"/>
        <v>4937</v>
      </c>
      <c r="O21" s="789">
        <f t="shared" si="4"/>
        <v>2986</v>
      </c>
    </row>
    <row r="22" spans="1:15" hidden="1">
      <c r="A22" s="25">
        <v>12</v>
      </c>
      <c r="B22" s="7">
        <v>2007</v>
      </c>
      <c r="C22" s="8">
        <f>'TB data from NTP'!F21</f>
        <v>1862</v>
      </c>
      <c r="D22" s="3">
        <f>'TB data from NTP'!G21</f>
        <v>889</v>
      </c>
      <c r="E22" s="3">
        <f>'TB data from NTP'!H21</f>
        <v>75</v>
      </c>
      <c r="F22" s="5">
        <f>'TB data from NTP'!K21+2</f>
        <v>1237</v>
      </c>
      <c r="G22" s="6">
        <f t="shared" si="0"/>
        <v>4063</v>
      </c>
      <c r="H22" s="8">
        <f>'TB data from NTP'!B21-'TB data from NTP'!F21</f>
        <v>1136</v>
      </c>
      <c r="I22" s="3">
        <f>'TB data from NTP'!C21-'TB data from NTP'!G21</f>
        <v>552</v>
      </c>
      <c r="J22" s="3">
        <f>'TB data from NTP'!D21-'TB data from NTP'!H21</f>
        <v>32</v>
      </c>
      <c r="K22" s="3">
        <f>'TB data from NTP'!J21-'TB data from NTP'!K21</f>
        <v>128</v>
      </c>
      <c r="L22" s="6">
        <f t="shared" si="1"/>
        <v>1848</v>
      </c>
      <c r="M22" s="9">
        <f t="shared" si="2"/>
        <v>5911</v>
      </c>
      <c r="N22" s="789">
        <f t="shared" si="3"/>
        <v>4546</v>
      </c>
      <c r="O22" s="789">
        <f t="shared" si="4"/>
        <v>2998</v>
      </c>
    </row>
    <row r="23" spans="1:15" hidden="1">
      <c r="A23" s="25">
        <v>13</v>
      </c>
      <c r="B23" s="7">
        <v>2008</v>
      </c>
      <c r="C23" s="8">
        <f>'TB data from NTP'!F22</f>
        <v>1868</v>
      </c>
      <c r="D23" s="3">
        <f>'TB data from NTP'!G22</f>
        <v>1001</v>
      </c>
      <c r="E23" s="3">
        <f>'TB data from NTP'!H22</f>
        <v>62</v>
      </c>
      <c r="F23" s="3">
        <f>'TB data from NTP'!K22</f>
        <v>1217</v>
      </c>
      <c r="G23" s="6">
        <f t="shared" si="0"/>
        <v>4148</v>
      </c>
      <c r="H23" s="8">
        <f>'TB data from NTP'!B22-'TB data from NTP'!F22</f>
        <v>982</v>
      </c>
      <c r="I23" s="3">
        <f>'TB data from NTP'!C22-'TB data from NTP'!G22</f>
        <v>554</v>
      </c>
      <c r="J23" s="3">
        <f>'TB data from NTP'!D22-'TB data from NTP'!H22</f>
        <v>15</v>
      </c>
      <c r="K23" s="3">
        <f>'TB data from NTP'!J22-'TB data from NTP'!K22</f>
        <v>137</v>
      </c>
      <c r="L23" s="6">
        <f t="shared" si="1"/>
        <v>1688</v>
      </c>
      <c r="M23" s="9">
        <f t="shared" si="2"/>
        <v>5836</v>
      </c>
      <c r="N23" s="789">
        <f t="shared" si="3"/>
        <v>4482</v>
      </c>
      <c r="O23" s="789">
        <f t="shared" si="4"/>
        <v>2850</v>
      </c>
    </row>
    <row r="24" spans="1:15" hidden="1">
      <c r="A24" s="25">
        <v>14</v>
      </c>
      <c r="B24" s="7">
        <v>2009</v>
      </c>
      <c r="C24" s="8">
        <f>'TB data from NTP'!F23</f>
        <v>2056</v>
      </c>
      <c r="D24" s="3">
        <f>'TB data from NTP'!G23</f>
        <v>1057</v>
      </c>
      <c r="E24" s="3">
        <f>'TB data from NTP'!H23</f>
        <v>62</v>
      </c>
      <c r="F24" s="3">
        <f>'TB data from NTP'!K23</f>
        <v>1283</v>
      </c>
      <c r="G24" s="6">
        <f t="shared" si="0"/>
        <v>4458</v>
      </c>
      <c r="H24" s="8">
        <f>'TB data from NTP'!B23-'TB data from NTP'!F23</f>
        <v>848</v>
      </c>
      <c r="I24" s="3">
        <f>'TB data from NTP'!C23-'TB data from NTP'!G23</f>
        <v>538</v>
      </c>
      <c r="J24" s="3">
        <f>'TB data from NTP'!D23-'TB data from NTP'!H23</f>
        <v>31</v>
      </c>
      <c r="K24" s="3">
        <f>'TB data from NTP'!J23-'TB data from NTP'!K23</f>
        <v>107</v>
      </c>
      <c r="L24" s="6">
        <f t="shared" si="1"/>
        <v>1524</v>
      </c>
      <c r="M24" s="9">
        <f t="shared" si="2"/>
        <v>5982</v>
      </c>
      <c r="N24" s="789">
        <f t="shared" si="3"/>
        <v>4592</v>
      </c>
      <c r="O24" s="789">
        <f t="shared" si="4"/>
        <v>2904</v>
      </c>
    </row>
    <row r="25" spans="1:15" hidden="1">
      <c r="A25" s="25">
        <v>15</v>
      </c>
      <c r="B25" s="7">
        <v>2010</v>
      </c>
      <c r="C25" s="8">
        <f>'TB data from NTP'!F24</f>
        <v>2141</v>
      </c>
      <c r="D25" s="3">
        <f>'TB data from NTP'!G24</f>
        <v>1034</v>
      </c>
      <c r="E25" s="3">
        <f>'TB data from NTP'!H24</f>
        <v>55</v>
      </c>
      <c r="F25" s="3">
        <f>'TB data from NTP'!K24</f>
        <v>1155</v>
      </c>
      <c r="G25" s="6">
        <f t="shared" si="0"/>
        <v>4385</v>
      </c>
      <c r="H25" s="8">
        <f>'TB data from NTP'!B24-'TB data from NTP'!F24</f>
        <v>763</v>
      </c>
      <c r="I25" s="3">
        <f>'TB data from NTP'!C24-'TB data from NTP'!G24</f>
        <v>516</v>
      </c>
      <c r="J25" s="3">
        <f>'TB data from NTP'!D24-'TB data from NTP'!H24</f>
        <v>17</v>
      </c>
      <c r="K25" s="3">
        <f>'TB data from NTP'!J24-'TB data from NTP'!K24</f>
        <v>117</v>
      </c>
      <c r="L25" s="6">
        <f t="shared" si="1"/>
        <v>1413</v>
      </c>
      <c r="M25" s="9">
        <f t="shared" si="2"/>
        <v>5798</v>
      </c>
      <c r="N25" s="789">
        <f t="shared" si="3"/>
        <v>4526</v>
      </c>
      <c r="O25" s="789">
        <f t="shared" si="4"/>
        <v>2904</v>
      </c>
    </row>
    <row r="26" spans="1:15" hidden="1">
      <c r="A26" s="25">
        <v>16</v>
      </c>
      <c r="B26" s="7">
        <v>2011</v>
      </c>
      <c r="C26" s="8">
        <f>'TB data from NTP'!F25</f>
        <v>2029</v>
      </c>
      <c r="D26" s="3">
        <f>'TB data from NTP'!G25</f>
        <v>1094</v>
      </c>
      <c r="E26" s="3">
        <f>'TB data from NTP'!H25</f>
        <v>47</v>
      </c>
      <c r="F26" s="3">
        <f>'TB data from NTP'!K25</f>
        <v>1056</v>
      </c>
      <c r="G26" s="6">
        <f t="shared" si="0"/>
        <v>4226</v>
      </c>
      <c r="H26" s="8">
        <f>'TB data from NTP'!B25-'TB data from NTP'!F25</f>
        <v>765</v>
      </c>
      <c r="I26" s="3">
        <f>'TB data from NTP'!C25-'TB data from NTP'!G25</f>
        <v>428</v>
      </c>
      <c r="J26" s="3">
        <f>'TB data from NTP'!D25-'TB data from NTP'!H25</f>
        <v>9</v>
      </c>
      <c r="K26" s="3">
        <f>'TB data from NTP'!J25-'TB data from NTP'!K25</f>
        <v>108</v>
      </c>
      <c r="L26" s="6">
        <f t="shared" si="1"/>
        <v>1310</v>
      </c>
      <c r="M26" s="9">
        <f t="shared" si="2"/>
        <v>5536</v>
      </c>
      <c r="N26" s="789">
        <f t="shared" si="3"/>
        <v>4372</v>
      </c>
      <c r="O26" s="789">
        <f t="shared" si="4"/>
        <v>2794</v>
      </c>
    </row>
    <row r="27" spans="1:15" hidden="1">
      <c r="A27" s="25">
        <v>17</v>
      </c>
      <c r="B27" s="7">
        <v>2012</v>
      </c>
      <c r="C27" s="8">
        <f>'TB data from NTP'!F26</f>
        <v>1649</v>
      </c>
      <c r="D27" s="3">
        <f>'TB data from NTP'!G26</f>
        <v>1139</v>
      </c>
      <c r="E27" s="3">
        <f>'TB data from NTP'!H26</f>
        <v>47</v>
      </c>
      <c r="F27" s="3">
        <f>'TB data from NTP'!K26</f>
        <v>944</v>
      </c>
      <c r="G27" s="6">
        <f t="shared" si="0"/>
        <v>3779</v>
      </c>
      <c r="H27" s="8">
        <f>'TB data from NTP'!B26-'TB data from NTP'!F26</f>
        <v>631</v>
      </c>
      <c r="I27" s="3">
        <f>'TB data from NTP'!C26-'TB data from NTP'!G26</f>
        <v>434</v>
      </c>
      <c r="J27" s="3">
        <f>'TB data from NTP'!D26-'TB data from NTP'!H26</f>
        <v>7</v>
      </c>
      <c r="K27" s="3">
        <f>'TB data from NTP'!J26-'TB data from NTP'!K26</f>
        <v>124</v>
      </c>
      <c r="L27" s="6">
        <f t="shared" si="1"/>
        <v>1196</v>
      </c>
      <c r="M27" s="9">
        <f t="shared" si="2"/>
        <v>4975</v>
      </c>
      <c r="N27" s="789">
        <f t="shared" si="3"/>
        <v>3907</v>
      </c>
      <c r="O27" s="789">
        <f t="shared" si="4"/>
        <v>2280</v>
      </c>
    </row>
    <row r="28" spans="1:15" hidden="1">
      <c r="A28" s="25">
        <v>18</v>
      </c>
      <c r="B28" s="7">
        <v>2013</v>
      </c>
      <c r="C28" s="8">
        <f>'TB data from NTP'!F27</f>
        <v>1334</v>
      </c>
      <c r="D28" s="3">
        <f>'TB data from NTP'!G27</f>
        <v>1040</v>
      </c>
      <c r="E28" s="3">
        <f>'TB data from NTP'!H27</f>
        <v>38</v>
      </c>
      <c r="F28" s="3">
        <f>'TB data from NTP'!K27</f>
        <v>721</v>
      </c>
      <c r="G28" s="6">
        <f t="shared" si="0"/>
        <v>3133</v>
      </c>
      <c r="H28" s="8">
        <f>'TB data from NTP'!B27-'TB data from NTP'!F27</f>
        <v>579</v>
      </c>
      <c r="I28" s="3">
        <f>'TB data from NTP'!C27-'TB data from NTP'!G27</f>
        <v>509</v>
      </c>
      <c r="J28" s="3">
        <f>'TB data from NTP'!D27-'TB data from NTP'!H27</f>
        <v>4</v>
      </c>
      <c r="K28" s="3">
        <f>'TB data from NTP'!J27-'TB data from NTP'!K27</f>
        <v>95</v>
      </c>
      <c r="L28" s="6">
        <f t="shared" si="1"/>
        <v>1187</v>
      </c>
      <c r="M28" s="9">
        <f t="shared" si="2"/>
        <v>4320</v>
      </c>
      <c r="N28" s="789">
        <f t="shared" si="3"/>
        <v>3504</v>
      </c>
      <c r="O28" s="789">
        <f t="shared" si="4"/>
        <v>1913</v>
      </c>
    </row>
    <row r="29" spans="1:15" hidden="1">
      <c r="A29" s="25">
        <v>19</v>
      </c>
      <c r="B29" s="1091">
        <v>2014</v>
      </c>
      <c r="C29" s="1083">
        <f>'TB data from NTP'!F28</f>
        <v>1142</v>
      </c>
      <c r="D29" s="3">
        <f>'TB data from NTP'!G28</f>
        <v>965</v>
      </c>
      <c r="E29" s="3">
        <f>'TB data from NTP'!H28</f>
        <v>39</v>
      </c>
      <c r="F29" s="3">
        <f>'TB data from NTP'!K28</f>
        <v>661</v>
      </c>
      <c r="G29" s="6">
        <f t="shared" si="0"/>
        <v>2807</v>
      </c>
      <c r="H29" s="8">
        <f>'TB data from NTP'!B28-'TB data from NTP'!F28</f>
        <v>474</v>
      </c>
      <c r="I29" s="3">
        <f>'TB data from NTP'!C28-'TB data from NTP'!G28</f>
        <v>458</v>
      </c>
      <c r="J29" s="3">
        <f>'TB data from NTP'!D28-'TB data from NTP'!H28</f>
        <v>16</v>
      </c>
      <c r="K29" s="3">
        <f>'TB data from NTP'!J28-'TB data from NTP'!K28</f>
        <v>95</v>
      </c>
      <c r="L29" s="6">
        <f t="shared" si="1"/>
        <v>1043</v>
      </c>
      <c r="M29" s="9">
        <f t="shared" si="2"/>
        <v>3850</v>
      </c>
      <c r="N29" s="789">
        <f t="shared" si="3"/>
        <v>3094</v>
      </c>
      <c r="O29" s="789">
        <f t="shared" si="4"/>
        <v>1616</v>
      </c>
    </row>
    <row r="30" spans="1:15" hidden="1">
      <c r="A30" s="25">
        <v>20</v>
      </c>
      <c r="B30" s="1091">
        <v>2015</v>
      </c>
      <c r="C30" s="1083">
        <f>'TB data from NTP'!F29</f>
        <v>890</v>
      </c>
      <c r="D30" s="3">
        <f>'TB data from NTP'!G29</f>
        <v>1077</v>
      </c>
      <c r="E30" s="3">
        <f>'TB data from NTP'!H29</f>
        <v>39</v>
      </c>
      <c r="F30" s="3">
        <f>'TB data from NTP'!K29</f>
        <v>616</v>
      </c>
      <c r="G30" s="6">
        <f t="shared" si="0"/>
        <v>2622</v>
      </c>
      <c r="H30" s="8">
        <f>'TB data from NTP'!B29-'TB data from NTP'!F29</f>
        <v>408</v>
      </c>
      <c r="I30" s="3">
        <f>'TB data from NTP'!C29-'TB data from NTP'!G29</f>
        <v>492</v>
      </c>
      <c r="J30" s="3">
        <f>'TB data from NTP'!D29-'TB data from NTP'!H29</f>
        <v>12</v>
      </c>
      <c r="K30" s="3">
        <f>'TB data from NTP'!J29-'TB data from NTP'!K29</f>
        <v>77</v>
      </c>
      <c r="L30" s="6">
        <f t="shared" si="1"/>
        <v>989</v>
      </c>
      <c r="M30" s="9">
        <f t="shared" si="2"/>
        <v>3611</v>
      </c>
      <c r="N30" s="789">
        <f t="shared" si="3"/>
        <v>2918</v>
      </c>
      <c r="O30" s="789">
        <f t="shared" si="4"/>
        <v>1298</v>
      </c>
    </row>
    <row r="31" spans="1:15">
      <c r="A31" s="25">
        <v>21</v>
      </c>
      <c r="B31" s="1084">
        <v>2016</v>
      </c>
      <c r="C31" s="1085">
        <f>'TB data from NTP'!F30</f>
        <v>836</v>
      </c>
      <c r="D31" s="1086">
        <f>'TB data from NTP'!G30</f>
        <v>1027</v>
      </c>
      <c r="E31" s="1086">
        <f>'TB data from NTP'!H30</f>
        <v>40</v>
      </c>
      <c r="F31" s="1086">
        <f>'TB data from NTP'!K30</f>
        <v>562</v>
      </c>
      <c r="G31" s="1087">
        <f t="shared" si="0"/>
        <v>2465</v>
      </c>
      <c r="H31" s="1088">
        <f>'TB data from NTP'!B30-'TB data from NTP'!F30</f>
        <v>365</v>
      </c>
      <c r="I31" s="1086">
        <f>'TB data from NTP'!C30-'TB data from NTP'!G30</f>
        <v>437</v>
      </c>
      <c r="J31" s="1086">
        <f>'TB data from NTP'!D30-'TB data from NTP'!H30</f>
        <v>7</v>
      </c>
      <c r="K31" s="1086">
        <f>'TB data from NTP'!J30-'TB data from NTP'!K30</f>
        <v>58</v>
      </c>
      <c r="L31" s="1087">
        <f t="shared" si="1"/>
        <v>867</v>
      </c>
      <c r="M31" s="1089">
        <f t="shared" si="2"/>
        <v>3332</v>
      </c>
      <c r="N31" s="1090">
        <f t="shared" si="3"/>
        <v>2712</v>
      </c>
      <c r="O31" s="1090">
        <f t="shared" si="4"/>
        <v>1201</v>
      </c>
    </row>
    <row r="32" spans="1:15">
      <c r="A32" s="25">
        <v>22</v>
      </c>
      <c r="B32" s="1195">
        <v>2017</v>
      </c>
      <c r="C32" s="1196">
        <f>Q43</f>
        <v>760</v>
      </c>
      <c r="D32" s="1196">
        <f>Q44</f>
        <v>1000</v>
      </c>
      <c r="E32" s="1196"/>
      <c r="F32" s="1196">
        <f>Q45</f>
        <v>509</v>
      </c>
      <c r="G32" s="1197">
        <f t="shared" ref="G32:G34" si="5">SUM(C32:F32)</f>
        <v>2269</v>
      </c>
      <c r="H32" s="1196">
        <f>Q48</f>
        <v>325</v>
      </c>
      <c r="I32" s="1196">
        <f>Q49</f>
        <v>407</v>
      </c>
      <c r="J32" s="1196"/>
      <c r="K32" s="1196">
        <f>Q50</f>
        <v>48</v>
      </c>
      <c r="L32" s="1197">
        <f t="shared" si="1"/>
        <v>780</v>
      </c>
      <c r="M32" s="1197">
        <f t="shared" si="2"/>
        <v>3049</v>
      </c>
      <c r="N32" s="1198">
        <f t="shared" si="3"/>
        <v>2492</v>
      </c>
      <c r="O32" s="1198">
        <f t="shared" si="4"/>
        <v>1085</v>
      </c>
    </row>
    <row r="33" spans="1:35">
      <c r="A33" s="25">
        <v>23</v>
      </c>
      <c r="B33" s="1195">
        <v>2018</v>
      </c>
      <c r="C33" s="1196">
        <f>R43</f>
        <v>725</v>
      </c>
      <c r="D33" s="1196">
        <f>R44</f>
        <v>951</v>
      </c>
      <c r="E33" s="1196"/>
      <c r="F33" s="1196">
        <f>R45</f>
        <v>480</v>
      </c>
      <c r="G33" s="1197">
        <f t="shared" si="5"/>
        <v>2156</v>
      </c>
      <c r="H33" s="1196">
        <f>R48</f>
        <v>311</v>
      </c>
      <c r="I33" s="1196">
        <f>R49</f>
        <v>389</v>
      </c>
      <c r="J33" s="1196"/>
      <c r="K33" s="1196">
        <f>R50</f>
        <v>45</v>
      </c>
      <c r="L33" s="1197">
        <f t="shared" si="1"/>
        <v>745</v>
      </c>
      <c r="M33" s="1197">
        <f t="shared" si="2"/>
        <v>2901</v>
      </c>
      <c r="N33" s="1198">
        <f t="shared" si="3"/>
        <v>2376</v>
      </c>
      <c r="O33" s="1198">
        <f t="shared" si="4"/>
        <v>1036</v>
      </c>
    </row>
    <row r="34" spans="1:35">
      <c r="A34" s="25">
        <v>24</v>
      </c>
      <c r="B34" s="1195">
        <v>2019</v>
      </c>
      <c r="C34" s="1196">
        <f>S43</f>
        <v>681</v>
      </c>
      <c r="D34" s="1196">
        <f>S44</f>
        <v>931</v>
      </c>
      <c r="E34" s="1196"/>
      <c r="F34" s="1196">
        <f>S45</f>
        <v>457</v>
      </c>
      <c r="G34" s="1197">
        <f t="shared" si="5"/>
        <v>2069</v>
      </c>
      <c r="H34" s="1196">
        <f>S48</f>
        <v>301</v>
      </c>
      <c r="I34" s="1196">
        <f>S49</f>
        <v>374</v>
      </c>
      <c r="J34" s="1196"/>
      <c r="K34" s="1196">
        <f>S50</f>
        <v>40</v>
      </c>
      <c r="L34" s="1197">
        <f t="shared" si="1"/>
        <v>715</v>
      </c>
      <c r="M34" s="1197">
        <f t="shared" si="2"/>
        <v>2784</v>
      </c>
      <c r="N34" s="1198">
        <f t="shared" si="3"/>
        <v>2287</v>
      </c>
      <c r="O34" s="1198">
        <f t="shared" si="4"/>
        <v>982</v>
      </c>
    </row>
    <row r="35" spans="1:35">
      <c r="A35" s="25">
        <v>25</v>
      </c>
      <c r="B35" s="1195">
        <v>2020</v>
      </c>
      <c r="C35" s="1196">
        <f>T43</f>
        <v>629</v>
      </c>
      <c r="D35" s="1196">
        <f>T44</f>
        <v>929</v>
      </c>
      <c r="E35" s="1196"/>
      <c r="F35" s="1196">
        <f>T45</f>
        <v>438</v>
      </c>
      <c r="G35" s="1197">
        <f>SUM(C35:F35)</f>
        <v>1996</v>
      </c>
      <c r="H35" s="1196">
        <f>T48</f>
        <v>292</v>
      </c>
      <c r="I35" s="1196">
        <f>T49</f>
        <v>362</v>
      </c>
      <c r="J35" s="1196"/>
      <c r="K35" s="1196">
        <f>T50</f>
        <v>35</v>
      </c>
      <c r="L35" s="1197">
        <f>SUM(H35:K35)</f>
        <v>689</v>
      </c>
      <c r="M35" s="1197">
        <f>SUM(G35,L35)</f>
        <v>2685</v>
      </c>
      <c r="N35" s="1198">
        <f>SUM(C35,D35,E35,H35,I35,J35)</f>
        <v>2212</v>
      </c>
      <c r="O35" s="1198">
        <f>SUM(C35,H35)</f>
        <v>921</v>
      </c>
    </row>
    <row r="36" spans="1:35">
      <c r="A36" s="25">
        <v>26</v>
      </c>
      <c r="B36" s="1195">
        <v>2021</v>
      </c>
      <c r="C36" s="1196">
        <f>U43</f>
        <v>609</v>
      </c>
      <c r="D36" s="1196">
        <f>U44</f>
        <v>901</v>
      </c>
      <c r="E36" s="1196"/>
      <c r="F36" s="1196">
        <f>U45</f>
        <v>425</v>
      </c>
      <c r="G36" s="1197">
        <f t="shared" ref="G36:G37" si="6">SUM(C36:F36)</f>
        <v>1935</v>
      </c>
      <c r="H36" s="1196">
        <f>U48</f>
        <v>284</v>
      </c>
      <c r="I36" s="1196">
        <f>U49</f>
        <v>353</v>
      </c>
      <c r="J36" s="1196"/>
      <c r="K36" s="1196">
        <f>U50</f>
        <v>31</v>
      </c>
      <c r="L36" s="1197">
        <f t="shared" ref="L36:L37" si="7">SUM(H36:K36)</f>
        <v>668</v>
      </c>
      <c r="M36" s="1197">
        <f t="shared" ref="M36:M37" si="8">SUM(G36,L36)</f>
        <v>2603</v>
      </c>
      <c r="N36" s="1198">
        <f t="shared" ref="N36:N37" si="9">SUM(C36,D36,E36,H36,I36,J36)</f>
        <v>2147</v>
      </c>
      <c r="O36" s="1198">
        <f t="shared" ref="O36:O37" si="10">SUM(C36,H36)</f>
        <v>893</v>
      </c>
    </row>
    <row r="37" spans="1:35">
      <c r="A37" s="25">
        <v>27</v>
      </c>
      <c r="B37" s="1195">
        <v>2022</v>
      </c>
      <c r="C37" s="1196">
        <f>V43</f>
        <v>594</v>
      </c>
      <c r="D37" s="1196">
        <f>V44</f>
        <v>877</v>
      </c>
      <c r="E37" s="1199"/>
      <c r="F37" s="1196">
        <f>V45</f>
        <v>414</v>
      </c>
      <c r="G37" s="1197">
        <f t="shared" si="6"/>
        <v>1885</v>
      </c>
      <c r="H37" s="1196">
        <f>V48</f>
        <v>279</v>
      </c>
      <c r="I37" s="1196">
        <f>V49</f>
        <v>345</v>
      </c>
      <c r="J37" s="1199"/>
      <c r="K37" s="1196">
        <f>V50</f>
        <v>27</v>
      </c>
      <c r="L37" s="1197">
        <f t="shared" si="7"/>
        <v>651</v>
      </c>
      <c r="M37" s="1197">
        <f t="shared" si="8"/>
        <v>2536</v>
      </c>
      <c r="N37" s="1198">
        <f t="shared" si="9"/>
        <v>2095</v>
      </c>
      <c r="O37" s="1198">
        <f t="shared" si="10"/>
        <v>873</v>
      </c>
    </row>
    <row r="40" spans="1:35">
      <c r="B40" s="24" t="s">
        <v>43</v>
      </c>
      <c r="C40" s="22" t="str">
        <f>'Civilian sector'!C39</f>
        <v>CASE NOTIFICATIONS BY CATEGORY, 2005-2014,  and forecast until 2020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</row>
    <row r="42" spans="1:35">
      <c r="E42" s="20">
        <v>2005</v>
      </c>
      <c r="F42" s="20">
        <v>2006</v>
      </c>
      <c r="G42" s="20">
        <v>2007</v>
      </c>
      <c r="H42" s="20">
        <v>2008</v>
      </c>
      <c r="I42" s="20">
        <v>2009</v>
      </c>
      <c r="J42" s="20">
        <v>2010</v>
      </c>
      <c r="K42" s="20">
        <v>2011</v>
      </c>
      <c r="L42" s="20">
        <v>2012</v>
      </c>
      <c r="M42" s="20">
        <v>2013</v>
      </c>
      <c r="N42" s="1193">
        <v>2014</v>
      </c>
      <c r="O42" s="1193">
        <v>2015</v>
      </c>
      <c r="P42" s="1193">
        <v>2016</v>
      </c>
      <c r="Q42" s="20">
        <v>2017</v>
      </c>
      <c r="R42" s="20">
        <v>2018</v>
      </c>
      <c r="S42" s="20">
        <v>2019</v>
      </c>
      <c r="T42" s="20">
        <v>2020</v>
      </c>
      <c r="U42" s="2">
        <v>2021</v>
      </c>
      <c r="V42" s="2">
        <v>2022</v>
      </c>
      <c r="Z42" s="1429"/>
      <c r="AA42" s="1429"/>
      <c r="AB42" s="1430"/>
      <c r="AC42" s="1430"/>
      <c r="AD42" s="1430"/>
      <c r="AE42" s="1430"/>
      <c r="AF42" s="1430"/>
      <c r="AG42" s="1431"/>
      <c r="AH42" s="1431"/>
      <c r="AI42" s="1431"/>
    </row>
    <row r="43" spans="1:35" ht="54" customHeight="1">
      <c r="A43" s="25">
        <v>1</v>
      </c>
      <c r="B43" s="1" t="s">
        <v>19</v>
      </c>
      <c r="E43" s="4">
        <f>C20</f>
        <v>1489</v>
      </c>
      <c r="F43" s="4">
        <f>C21</f>
        <v>1815</v>
      </c>
      <c r="G43" s="4">
        <f>C22</f>
        <v>1862</v>
      </c>
      <c r="H43" s="4">
        <f>C23</f>
        <v>1868</v>
      </c>
      <c r="I43" s="4">
        <f>C24</f>
        <v>2056</v>
      </c>
      <c r="J43" s="4">
        <f>C25</f>
        <v>2141</v>
      </c>
      <c r="K43" s="4">
        <f>C26</f>
        <v>2029</v>
      </c>
      <c r="L43" s="4">
        <f>C27</f>
        <v>1649</v>
      </c>
      <c r="M43" s="4">
        <f>C28</f>
        <v>1334</v>
      </c>
      <c r="N43" s="1192">
        <f>'Penitentiary sector'!N42+'Civilian sector'!N42</f>
        <v>1142</v>
      </c>
      <c r="O43" s="1192">
        <f>'Penitentiary sector'!O42+'Civilian sector'!O42</f>
        <v>890</v>
      </c>
      <c r="P43" s="1192">
        <f>'Penitentiary sector'!P42+'Civilian sector'!P42</f>
        <v>836</v>
      </c>
      <c r="Q43" s="47">
        <f>'Penitentiary sector'!Q42+'Civilian sector'!Q42</f>
        <v>760</v>
      </c>
      <c r="R43" s="47">
        <f>'Penitentiary sector'!R42+'Civilian sector'!R42</f>
        <v>725</v>
      </c>
      <c r="S43" s="47">
        <f>'Penitentiary sector'!S42+'Civilian sector'!S42</f>
        <v>681</v>
      </c>
      <c r="T43" s="47">
        <f>'Penitentiary sector'!T42+'Civilian sector'!T42</f>
        <v>629</v>
      </c>
      <c r="U43" s="47">
        <f>'Penitentiary sector'!U42+'Civilian sector'!U42</f>
        <v>609</v>
      </c>
      <c r="V43" s="47">
        <f>'Penitentiary sector'!V42+'Civilian sector'!V42</f>
        <v>594</v>
      </c>
      <c r="Z43" s="1432"/>
      <c r="AA43" s="1433"/>
      <c r="AB43" s="1434"/>
      <c r="AC43" s="1434"/>
      <c r="AD43" s="1434"/>
      <c r="AE43" s="1434"/>
      <c r="AF43" s="1434"/>
      <c r="AG43" s="1431"/>
      <c r="AH43" s="1431"/>
      <c r="AI43" s="1431"/>
    </row>
    <row r="44" spans="1:35" ht="49.5" customHeight="1">
      <c r="A44" s="25">
        <v>2</v>
      </c>
      <c r="B44" s="1" t="s">
        <v>24</v>
      </c>
      <c r="E44" s="4">
        <f>D20+E20</f>
        <v>1499</v>
      </c>
      <c r="F44" s="4">
        <f>D21+E21</f>
        <v>1217</v>
      </c>
      <c r="G44" s="4">
        <f>D22+E22</f>
        <v>964</v>
      </c>
      <c r="H44" s="4">
        <f>D23+E23</f>
        <v>1063</v>
      </c>
      <c r="I44" s="4">
        <f>D24+E24</f>
        <v>1119</v>
      </c>
      <c r="J44" s="4">
        <f>D25+E25</f>
        <v>1089</v>
      </c>
      <c r="K44" s="4">
        <f>D26+E26</f>
        <v>1141</v>
      </c>
      <c r="L44" s="4">
        <f>D27+E27</f>
        <v>1186</v>
      </c>
      <c r="M44" s="4">
        <f>D28+E28</f>
        <v>1078</v>
      </c>
      <c r="N44" s="1192">
        <f>'Penitentiary sector'!N43+'Civilian sector'!N43</f>
        <v>1004</v>
      </c>
      <c r="O44" s="1192">
        <f>'Penitentiary sector'!O43+'Civilian sector'!O43</f>
        <v>1116</v>
      </c>
      <c r="P44" s="1192">
        <f>'Penitentiary sector'!P43+'Civilian sector'!P43</f>
        <v>1067</v>
      </c>
      <c r="Q44" s="47">
        <f>'Penitentiary sector'!Q43+'Civilian sector'!Q43</f>
        <v>1000</v>
      </c>
      <c r="R44" s="47">
        <f>'Penitentiary sector'!R43+'Civilian sector'!R43</f>
        <v>951</v>
      </c>
      <c r="S44" s="47">
        <f>'Penitentiary sector'!S43+'Civilian sector'!S43</f>
        <v>931</v>
      </c>
      <c r="T44" s="47">
        <f>'Penitentiary sector'!T43+'Civilian sector'!T43</f>
        <v>929</v>
      </c>
      <c r="U44" s="47">
        <f>'Penitentiary sector'!U43+'Civilian sector'!U43</f>
        <v>901</v>
      </c>
      <c r="V44" s="47">
        <f>'Penitentiary sector'!V43+'Civilian sector'!V43</f>
        <v>877</v>
      </c>
      <c r="Z44" s="1432"/>
      <c r="AA44" s="1434"/>
      <c r="AB44" s="1434"/>
      <c r="AC44" s="1434"/>
      <c r="AD44" s="1434"/>
      <c r="AE44" s="1434"/>
      <c r="AF44" s="1434"/>
      <c r="AG44" s="1431"/>
      <c r="AH44" s="1431"/>
      <c r="AI44" s="1431"/>
    </row>
    <row r="45" spans="1:35">
      <c r="A45" s="25">
        <v>3</v>
      </c>
      <c r="B45" s="1" t="s">
        <v>20</v>
      </c>
      <c r="E45" s="4">
        <f>F20</f>
        <v>1244</v>
      </c>
      <c r="F45" s="4">
        <f>F21</f>
        <v>1252</v>
      </c>
      <c r="G45" s="4">
        <f>F22</f>
        <v>1237</v>
      </c>
      <c r="H45" s="4">
        <f>F23</f>
        <v>1217</v>
      </c>
      <c r="I45" s="4">
        <f>F24</f>
        <v>1283</v>
      </c>
      <c r="J45" s="4">
        <f>F25</f>
        <v>1155</v>
      </c>
      <c r="K45" s="4">
        <f>F26</f>
        <v>1056</v>
      </c>
      <c r="L45" s="4">
        <f>F27</f>
        <v>944</v>
      </c>
      <c r="M45" s="4">
        <f>F28</f>
        <v>721</v>
      </c>
      <c r="N45" s="1192">
        <f>'Penitentiary sector'!N44+'Civilian sector'!N44</f>
        <v>661</v>
      </c>
      <c r="O45" s="1192">
        <f>'Penitentiary sector'!O44+'Civilian sector'!O44</f>
        <v>616</v>
      </c>
      <c r="P45" s="1192">
        <f>'Penitentiary sector'!P44+'Civilian sector'!P44</f>
        <v>562</v>
      </c>
      <c r="Q45" s="47">
        <f>'Penitentiary sector'!Q44+'Civilian sector'!Q44</f>
        <v>509</v>
      </c>
      <c r="R45" s="47">
        <f>'Penitentiary sector'!R44+'Civilian sector'!R44</f>
        <v>480</v>
      </c>
      <c r="S45" s="47">
        <f>'Penitentiary sector'!S44+'Civilian sector'!S44</f>
        <v>457</v>
      </c>
      <c r="T45" s="47">
        <f>'Penitentiary sector'!T44+'Civilian sector'!T44</f>
        <v>438</v>
      </c>
      <c r="U45" s="47">
        <f>'Penitentiary sector'!U44+'Civilian sector'!U44</f>
        <v>425</v>
      </c>
      <c r="V45" s="47">
        <f>'Penitentiary sector'!V44+'Civilian sector'!V44</f>
        <v>414</v>
      </c>
      <c r="Z45" s="1432"/>
      <c r="AA45" s="1433"/>
      <c r="AB45" s="1434"/>
      <c r="AC45" s="1434"/>
      <c r="AD45" s="1434"/>
      <c r="AE45" s="1434"/>
      <c r="AF45" s="1434"/>
      <c r="AG45" s="1431"/>
      <c r="AH45" s="1431"/>
      <c r="AI45" s="1431"/>
    </row>
    <row r="46" spans="1:35" ht="45" customHeight="1">
      <c r="A46" s="25">
        <v>4</v>
      </c>
      <c r="B46" s="2" t="s">
        <v>16</v>
      </c>
      <c r="C46" s="2"/>
      <c r="D46" s="2"/>
      <c r="E46" s="19">
        <f>SUM(E43:E45)</f>
        <v>4232</v>
      </c>
      <c r="F46" s="19">
        <f t="shared" ref="F46:V46" si="11">SUM(F43:F45)</f>
        <v>4284</v>
      </c>
      <c r="G46" s="19">
        <f t="shared" si="11"/>
        <v>4063</v>
      </c>
      <c r="H46" s="19">
        <f t="shared" si="11"/>
        <v>4148</v>
      </c>
      <c r="I46" s="19">
        <f t="shared" si="11"/>
        <v>4458</v>
      </c>
      <c r="J46" s="19">
        <f t="shared" si="11"/>
        <v>4385</v>
      </c>
      <c r="K46" s="19">
        <f t="shared" si="11"/>
        <v>4226</v>
      </c>
      <c r="L46" s="19">
        <f t="shared" si="11"/>
        <v>3779</v>
      </c>
      <c r="M46" s="19">
        <f t="shared" si="11"/>
        <v>3133</v>
      </c>
      <c r="N46" s="1194">
        <f t="shared" si="11"/>
        <v>2807</v>
      </c>
      <c r="O46" s="1194">
        <f t="shared" si="11"/>
        <v>2622</v>
      </c>
      <c r="P46" s="1194">
        <f t="shared" si="11"/>
        <v>2465</v>
      </c>
      <c r="Q46" s="32">
        <f t="shared" si="11"/>
        <v>2269</v>
      </c>
      <c r="R46" s="32">
        <f t="shared" si="11"/>
        <v>2156</v>
      </c>
      <c r="S46" s="32">
        <f t="shared" si="11"/>
        <v>2069</v>
      </c>
      <c r="T46" s="32">
        <f t="shared" si="11"/>
        <v>1996</v>
      </c>
      <c r="U46" s="32">
        <f t="shared" si="11"/>
        <v>1935</v>
      </c>
      <c r="V46" s="32">
        <f t="shared" si="11"/>
        <v>1885</v>
      </c>
      <c r="Z46" s="1435"/>
      <c r="AA46" s="1434"/>
      <c r="AB46" s="1434"/>
      <c r="AC46" s="1434"/>
      <c r="AD46" s="1434"/>
      <c r="AE46" s="1434"/>
      <c r="AF46" s="1434"/>
      <c r="AG46" s="1431"/>
      <c r="AH46" s="1431"/>
      <c r="AI46" s="1431"/>
    </row>
    <row r="47" spans="1:35" ht="38.25" customHeight="1">
      <c r="N47" s="1192"/>
      <c r="O47" s="1192"/>
      <c r="P47" s="1192"/>
      <c r="Q47" s="48"/>
      <c r="R47" s="48"/>
      <c r="S47" s="48"/>
      <c r="T47" s="48"/>
      <c r="Z47" s="1432"/>
      <c r="AA47" s="1433"/>
      <c r="AB47" s="1433"/>
      <c r="AC47" s="1433"/>
      <c r="AD47" s="1433"/>
      <c r="AE47" s="1433"/>
      <c r="AF47" s="1434"/>
      <c r="AG47" s="1436"/>
      <c r="AH47" s="1436"/>
      <c r="AI47" s="1436"/>
    </row>
    <row r="48" spans="1:35" ht="53.25" customHeight="1">
      <c r="A48" s="25">
        <v>5</v>
      </c>
      <c r="B48" s="1" t="s">
        <v>21</v>
      </c>
      <c r="E48" s="4">
        <f>H20</f>
        <v>1100</v>
      </c>
      <c r="F48" s="4">
        <f>H21</f>
        <v>1171</v>
      </c>
      <c r="G48" s="4">
        <f>H22</f>
        <v>1136</v>
      </c>
      <c r="H48" s="4">
        <f>H23</f>
        <v>982</v>
      </c>
      <c r="I48" s="4">
        <f>H24</f>
        <v>848</v>
      </c>
      <c r="J48" s="4">
        <f>H25</f>
        <v>763</v>
      </c>
      <c r="K48" s="4">
        <f>H26</f>
        <v>765</v>
      </c>
      <c r="L48" s="4">
        <f>H27</f>
        <v>631</v>
      </c>
      <c r="M48" s="4">
        <f>H28</f>
        <v>579</v>
      </c>
      <c r="N48" s="1192">
        <f>'Penitentiary sector'!N47+'Civilian sector'!N47</f>
        <v>474</v>
      </c>
      <c r="O48" s="1192">
        <f>'Penitentiary sector'!O47+'Civilian sector'!O47</f>
        <v>408</v>
      </c>
      <c r="P48" s="1192">
        <f>'Penitentiary sector'!P47+'Civilian sector'!P47</f>
        <v>365</v>
      </c>
      <c r="Q48" s="47">
        <f>'Penitentiary sector'!Q47+'Civilian sector'!Q47</f>
        <v>325</v>
      </c>
      <c r="R48" s="47">
        <f>'Penitentiary sector'!R47+'Civilian sector'!R47</f>
        <v>311</v>
      </c>
      <c r="S48" s="47">
        <f>'Penitentiary sector'!S47+'Civilian sector'!S47</f>
        <v>301</v>
      </c>
      <c r="T48" s="47">
        <f>'Penitentiary sector'!T47+'Civilian sector'!T47</f>
        <v>292</v>
      </c>
      <c r="U48" s="47">
        <f>'Penitentiary sector'!U47+'Civilian sector'!U47</f>
        <v>284</v>
      </c>
      <c r="V48" s="47">
        <f>'Penitentiary sector'!V47+'Civilian sector'!V47</f>
        <v>279</v>
      </c>
      <c r="Z48" s="1432"/>
      <c r="AA48" s="1433"/>
      <c r="AB48" s="1433"/>
      <c r="AC48" s="1433"/>
      <c r="AD48" s="1433"/>
      <c r="AE48" s="1433"/>
      <c r="AF48" s="1434"/>
      <c r="AG48" s="1436"/>
      <c r="AH48" s="1436"/>
      <c r="AI48" s="1436"/>
    </row>
    <row r="49" spans="1:35">
      <c r="A49" s="25">
        <v>6</v>
      </c>
      <c r="B49" s="1" t="s">
        <v>25</v>
      </c>
      <c r="E49" s="4">
        <f>I20+J20</f>
        <v>972</v>
      </c>
      <c r="F49" s="4">
        <f>I21+J21</f>
        <v>734</v>
      </c>
      <c r="G49" s="4">
        <f>I22+J22</f>
        <v>584</v>
      </c>
      <c r="H49" s="4">
        <f>I23+J23</f>
        <v>569</v>
      </c>
      <c r="I49" s="4">
        <f>I24+J24</f>
        <v>569</v>
      </c>
      <c r="J49" s="4">
        <f>I25+J25</f>
        <v>533</v>
      </c>
      <c r="K49" s="4">
        <f>I26+J26</f>
        <v>437</v>
      </c>
      <c r="L49" s="4">
        <f>I27+J27</f>
        <v>441</v>
      </c>
      <c r="M49" s="4">
        <f>I28+J28</f>
        <v>513</v>
      </c>
      <c r="N49" s="1192">
        <f>'Penitentiary sector'!N48+'Civilian sector'!N48</f>
        <v>474</v>
      </c>
      <c r="O49" s="1192">
        <f>'Penitentiary sector'!O48+'Civilian sector'!O48</f>
        <v>504</v>
      </c>
      <c r="P49" s="1192">
        <f>'Penitentiary sector'!P48+'Civilian sector'!P48</f>
        <v>444</v>
      </c>
      <c r="Q49" s="47">
        <f>'Penitentiary sector'!Q48+'Civilian sector'!Q48</f>
        <v>407</v>
      </c>
      <c r="R49" s="47">
        <f>'Penitentiary sector'!R48+'Civilian sector'!R48</f>
        <v>389</v>
      </c>
      <c r="S49" s="47">
        <f>'Penitentiary sector'!S48+'Civilian sector'!S48</f>
        <v>374</v>
      </c>
      <c r="T49" s="47">
        <f>'Penitentiary sector'!T48+'Civilian sector'!T48</f>
        <v>362</v>
      </c>
      <c r="U49" s="47">
        <f>'Penitentiary sector'!U48+'Civilian sector'!U48</f>
        <v>353</v>
      </c>
      <c r="V49" s="47">
        <f>'Penitentiary sector'!V48+'Civilian sector'!V48</f>
        <v>345</v>
      </c>
      <c r="Z49" s="1432"/>
      <c r="AA49" s="1433"/>
      <c r="AB49" s="1433"/>
      <c r="AC49" s="1433"/>
      <c r="AD49" s="1433"/>
      <c r="AE49" s="1433"/>
      <c r="AF49" s="1433"/>
      <c r="AG49" s="1436"/>
      <c r="AH49" s="1436"/>
      <c r="AI49" s="1436"/>
    </row>
    <row r="50" spans="1:35">
      <c r="A50" s="25">
        <v>7</v>
      </c>
      <c r="B50" s="1" t="s">
        <v>22</v>
      </c>
      <c r="E50" s="4">
        <f>K20</f>
        <v>125</v>
      </c>
      <c r="F50" s="4">
        <f>K21</f>
        <v>122</v>
      </c>
      <c r="G50" s="4">
        <f>K22</f>
        <v>128</v>
      </c>
      <c r="H50" s="4">
        <f>K23</f>
        <v>137</v>
      </c>
      <c r="I50" s="4">
        <f>K24</f>
        <v>107</v>
      </c>
      <c r="J50" s="4">
        <f>K25</f>
        <v>117</v>
      </c>
      <c r="K50" s="4">
        <f>K26</f>
        <v>108</v>
      </c>
      <c r="L50" s="4">
        <f>K27</f>
        <v>124</v>
      </c>
      <c r="M50" s="4">
        <f>K28</f>
        <v>95</v>
      </c>
      <c r="N50" s="1192">
        <f>'Penitentiary sector'!N49+'Civilian sector'!N49</f>
        <v>95</v>
      </c>
      <c r="O50" s="1192">
        <f>'Penitentiary sector'!O49+'Civilian sector'!O49</f>
        <v>77</v>
      </c>
      <c r="P50" s="1192">
        <f>'Penitentiary sector'!P49+'Civilian sector'!P49</f>
        <v>58</v>
      </c>
      <c r="Q50" s="47">
        <f>'Penitentiary sector'!Q49+'Civilian sector'!Q49</f>
        <v>48</v>
      </c>
      <c r="R50" s="47">
        <f>'Penitentiary sector'!R49+'Civilian sector'!R49</f>
        <v>45</v>
      </c>
      <c r="S50" s="47">
        <f>'Penitentiary sector'!S49+'Civilian sector'!S49</f>
        <v>40</v>
      </c>
      <c r="T50" s="47">
        <f>'Penitentiary sector'!T49+'Civilian sector'!T49</f>
        <v>35</v>
      </c>
      <c r="U50" s="47">
        <f>'Penitentiary sector'!U49+'Civilian sector'!U49</f>
        <v>31</v>
      </c>
      <c r="V50" s="47">
        <f>'Penitentiary sector'!V49+'Civilian sector'!V49</f>
        <v>27</v>
      </c>
      <c r="Z50" s="1435"/>
      <c r="AA50" s="1433"/>
      <c r="AB50" s="1433"/>
      <c r="AC50" s="1433"/>
      <c r="AD50" s="1433"/>
      <c r="AE50" s="1433"/>
      <c r="AF50" s="1434"/>
      <c r="AG50" s="1436"/>
      <c r="AH50" s="1436"/>
      <c r="AI50" s="1436"/>
    </row>
    <row r="51" spans="1:35">
      <c r="A51" s="25">
        <v>8</v>
      </c>
      <c r="B51" s="2" t="s">
        <v>23</v>
      </c>
      <c r="C51" s="2"/>
      <c r="D51" s="2"/>
      <c r="E51" s="19">
        <f>SUM(E48:E50)</f>
        <v>2197</v>
      </c>
      <c r="F51" s="19">
        <f t="shared" ref="F51:V51" si="12">SUM(F48:F50)</f>
        <v>2027</v>
      </c>
      <c r="G51" s="19">
        <f t="shared" si="12"/>
        <v>1848</v>
      </c>
      <c r="H51" s="19">
        <f t="shared" si="12"/>
        <v>1688</v>
      </c>
      <c r="I51" s="19">
        <f t="shared" si="12"/>
        <v>1524</v>
      </c>
      <c r="J51" s="19">
        <f t="shared" si="12"/>
        <v>1413</v>
      </c>
      <c r="K51" s="19">
        <f t="shared" si="12"/>
        <v>1310</v>
      </c>
      <c r="L51" s="19">
        <f t="shared" si="12"/>
        <v>1196</v>
      </c>
      <c r="M51" s="19">
        <f t="shared" si="12"/>
        <v>1187</v>
      </c>
      <c r="N51" s="1194">
        <f t="shared" si="12"/>
        <v>1043</v>
      </c>
      <c r="O51" s="1194">
        <f t="shared" si="12"/>
        <v>989</v>
      </c>
      <c r="P51" s="1194">
        <f t="shared" si="12"/>
        <v>867</v>
      </c>
      <c r="Q51" s="32">
        <f t="shared" si="12"/>
        <v>780</v>
      </c>
      <c r="R51" s="32">
        <f t="shared" si="12"/>
        <v>745</v>
      </c>
      <c r="S51" s="32">
        <f t="shared" si="12"/>
        <v>715</v>
      </c>
      <c r="T51" s="32">
        <f t="shared" si="12"/>
        <v>689</v>
      </c>
      <c r="U51" s="32">
        <f t="shared" si="12"/>
        <v>668</v>
      </c>
      <c r="V51" s="32">
        <f t="shared" si="12"/>
        <v>651</v>
      </c>
      <c r="Z51" s="1437"/>
      <c r="AA51" s="1434"/>
      <c r="AB51" s="1434"/>
      <c r="AC51" s="1434"/>
      <c r="AD51" s="1434"/>
      <c r="AE51" s="1434"/>
      <c r="AF51" s="1434"/>
      <c r="AG51" s="1434"/>
      <c r="AH51" s="1434"/>
      <c r="AI51" s="1434"/>
    </row>
    <row r="52" spans="1:35" ht="24.75" customHeight="1">
      <c r="N52" s="1192"/>
      <c r="O52" s="1192"/>
      <c r="P52" s="1192"/>
      <c r="Q52" s="48"/>
      <c r="R52" s="48"/>
      <c r="S52" s="48"/>
      <c r="T52" s="48"/>
      <c r="Z52" s="1438"/>
      <c r="AA52" s="1439"/>
      <c r="AB52" s="1439"/>
      <c r="AC52" s="1439"/>
      <c r="AD52" s="1439"/>
      <c r="AE52" s="1439"/>
      <c r="AF52" s="1439"/>
      <c r="AG52" s="1436"/>
      <c r="AH52" s="1436"/>
      <c r="AI52" s="1436"/>
    </row>
    <row r="53" spans="1:35">
      <c r="A53" s="25">
        <v>9</v>
      </c>
      <c r="B53" s="2" t="s">
        <v>13</v>
      </c>
      <c r="C53" s="2"/>
      <c r="D53" s="2"/>
      <c r="E53" s="19">
        <f>SUM(E46,E51)</f>
        <v>6429</v>
      </c>
      <c r="F53" s="19">
        <f t="shared" ref="F53:V53" si="13">SUM(F46,F51)</f>
        <v>6311</v>
      </c>
      <c r="G53" s="19">
        <f t="shared" si="13"/>
        <v>5911</v>
      </c>
      <c r="H53" s="19">
        <f t="shared" si="13"/>
        <v>5836</v>
      </c>
      <c r="I53" s="19">
        <f t="shared" si="13"/>
        <v>5982</v>
      </c>
      <c r="J53" s="19">
        <f t="shared" si="13"/>
        <v>5798</v>
      </c>
      <c r="K53" s="19">
        <f t="shared" si="13"/>
        <v>5536</v>
      </c>
      <c r="L53" s="19">
        <f t="shared" si="13"/>
        <v>4975</v>
      </c>
      <c r="M53" s="19">
        <f t="shared" si="13"/>
        <v>4320</v>
      </c>
      <c r="N53" s="1194">
        <f t="shared" si="13"/>
        <v>3850</v>
      </c>
      <c r="O53" s="1194">
        <f t="shared" si="13"/>
        <v>3611</v>
      </c>
      <c r="P53" s="1194">
        <f t="shared" si="13"/>
        <v>3332</v>
      </c>
      <c r="Q53" s="32">
        <f t="shared" si="13"/>
        <v>3049</v>
      </c>
      <c r="R53" s="32">
        <f t="shared" si="13"/>
        <v>2901</v>
      </c>
      <c r="S53" s="32">
        <f t="shared" si="13"/>
        <v>2784</v>
      </c>
      <c r="T53" s="32">
        <f t="shared" si="13"/>
        <v>2685</v>
      </c>
      <c r="U53" s="32">
        <f t="shared" si="13"/>
        <v>2603</v>
      </c>
      <c r="V53" s="32">
        <f t="shared" si="13"/>
        <v>2536</v>
      </c>
      <c r="W53" s="4"/>
      <c r="X53" s="1729"/>
    </row>
    <row r="54" spans="1:35">
      <c r="A54" s="25">
        <v>10</v>
      </c>
      <c r="B54" s="1" t="s">
        <v>26</v>
      </c>
      <c r="E54" s="4">
        <f>E53-M20</f>
        <v>0</v>
      </c>
      <c r="F54" s="4">
        <f>F53-M21</f>
        <v>0</v>
      </c>
      <c r="G54" s="4">
        <f>G53-M22</f>
        <v>0</v>
      </c>
      <c r="H54" s="4">
        <f>H53-M23</f>
        <v>0</v>
      </c>
      <c r="I54" s="4">
        <f>I53-M24</f>
        <v>0</v>
      </c>
      <c r="J54" s="4">
        <f>J53-M25</f>
        <v>0</v>
      </c>
      <c r="K54" s="4">
        <f>K53-M26</f>
        <v>0</v>
      </c>
      <c r="L54" s="4">
        <f>L53-M27</f>
        <v>0</v>
      </c>
      <c r="M54" s="4">
        <f>M53-M28</f>
        <v>0</v>
      </c>
      <c r="N54" s="4"/>
      <c r="O54" s="4"/>
      <c r="P54" s="4">
        <f>P53-M31</f>
        <v>0</v>
      </c>
      <c r="Q54" s="4">
        <f>Q53-M32</f>
        <v>0</v>
      </c>
      <c r="R54" s="4">
        <f>R53-M33</f>
        <v>0</v>
      </c>
      <c r="S54" s="4">
        <f>S53-M34</f>
        <v>0</v>
      </c>
      <c r="T54" s="4">
        <f>T53-M35</f>
        <v>0</v>
      </c>
      <c r="U54" s="4">
        <f>U53-M36</f>
        <v>0</v>
      </c>
      <c r="V54" s="4">
        <f>V53-M37</f>
        <v>0</v>
      </c>
    </row>
    <row r="55" spans="1:35">
      <c r="N55" s="35"/>
      <c r="O55" s="50"/>
      <c r="P55" s="50"/>
      <c r="Q55" s="50"/>
      <c r="R55" s="50"/>
      <c r="S55" s="50"/>
      <c r="T55" s="50"/>
    </row>
    <row r="56" spans="1:35">
      <c r="B56" s="24" t="s">
        <v>45</v>
      </c>
      <c r="C56" s="22" t="str">
        <f>'Civilian sector'!C55</f>
        <v>TIME TREND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51"/>
      <c r="O56" s="52"/>
      <c r="P56" s="52"/>
      <c r="Q56" s="52"/>
      <c r="R56" s="52"/>
      <c r="S56" s="52"/>
      <c r="T56" s="52"/>
      <c r="U56" s="52"/>
      <c r="V56" s="52"/>
    </row>
    <row r="57" spans="1:35">
      <c r="N57" s="35"/>
      <c r="O57" s="50"/>
      <c r="P57" s="50"/>
      <c r="Q57" s="50"/>
      <c r="R57" s="50"/>
      <c r="S57" s="50"/>
      <c r="T57" s="50"/>
    </row>
    <row r="58" spans="1:35">
      <c r="B58" s="2" t="s">
        <v>30</v>
      </c>
      <c r="N58" s="35"/>
      <c r="O58" s="50"/>
      <c r="P58" s="50"/>
      <c r="Q58" s="50"/>
      <c r="R58" s="50"/>
      <c r="S58" s="50"/>
      <c r="T58" s="50"/>
    </row>
    <row r="59" spans="1:35">
      <c r="A59" s="25">
        <v>1</v>
      </c>
      <c r="B59" s="1" t="s">
        <v>27</v>
      </c>
      <c r="F59" s="21">
        <f>F46/E46%-100</f>
        <v>1.2287334593572723</v>
      </c>
      <c r="G59" s="21">
        <f t="shared" ref="G59:M59" si="14">G46/F46%-100</f>
        <v>-5.1587301587301653</v>
      </c>
      <c r="H59" s="21">
        <f t="shared" si="14"/>
        <v>2.0920502092050128</v>
      </c>
      <c r="I59" s="21">
        <f t="shared" si="14"/>
        <v>7.4734811957570031</v>
      </c>
      <c r="J59" s="21">
        <f t="shared" si="14"/>
        <v>-1.6375056078959176</v>
      </c>
      <c r="K59" s="21">
        <f t="shared" si="14"/>
        <v>-3.6259977194982866</v>
      </c>
      <c r="L59" s="21">
        <f t="shared" si="14"/>
        <v>-10.577378135352575</v>
      </c>
      <c r="M59" s="21">
        <f t="shared" si="14"/>
        <v>-17.094469436358821</v>
      </c>
      <c r="N59" s="53">
        <f t="shared" ref="N59" si="15">N46/M46%-100</f>
        <v>-10.405362272582181</v>
      </c>
      <c r="O59" s="54">
        <f t="shared" ref="O59" si="16">O46/N46%-100</f>
        <v>-6.5906661916637006</v>
      </c>
      <c r="P59" s="54">
        <f t="shared" ref="P59" si="17">P46/O46%-100</f>
        <v>-5.9877955758962571</v>
      </c>
      <c r="Q59" s="54">
        <f t="shared" ref="Q59" si="18">Q46/P46%-100</f>
        <v>-7.9513184584178447</v>
      </c>
      <c r="R59" s="54">
        <f t="shared" ref="R59" si="19">R46/Q46%-100</f>
        <v>-4.9801674746584439</v>
      </c>
      <c r="S59" s="54">
        <f t="shared" ref="S59" si="20">S46/R46%-100</f>
        <v>-4.0352504638218818</v>
      </c>
      <c r="T59" s="54">
        <f t="shared" ref="T59" si="21">T46/S46%-100</f>
        <v>-3.5282745287578621</v>
      </c>
      <c r="U59" s="54">
        <f t="shared" ref="U59" si="22">U46/T46%-100</f>
        <v>-3.0561122244488956</v>
      </c>
      <c r="V59" s="54">
        <f t="shared" ref="V59" si="23">V46/U46%-100</f>
        <v>-2.583979328165384</v>
      </c>
    </row>
    <row r="60" spans="1:35">
      <c r="A60" s="25">
        <v>2</v>
      </c>
      <c r="B60" s="1" t="s">
        <v>28</v>
      </c>
      <c r="F60" s="21"/>
      <c r="G60" s="21"/>
      <c r="H60" s="21">
        <f>AVERAGE(F59:H59)</f>
        <v>-0.61264883005596005</v>
      </c>
      <c r="I60" s="21">
        <f t="shared" ref="I60:M60" si="24">AVERAGE(G59:I59)</f>
        <v>1.4689337487439502</v>
      </c>
      <c r="J60" s="21">
        <f t="shared" si="24"/>
        <v>2.6426752656886996</v>
      </c>
      <c r="K60" s="21">
        <f t="shared" si="24"/>
        <v>0.73665928945426629</v>
      </c>
      <c r="L60" s="21">
        <f t="shared" si="24"/>
        <v>-5.2802938209155927</v>
      </c>
      <c r="M60" s="21">
        <f t="shared" si="24"/>
        <v>-10.432615097069894</v>
      </c>
      <c r="N60" s="53">
        <f t="shared" ref="N60" si="25">AVERAGE(L59:N59)</f>
        <v>-12.692403281431192</v>
      </c>
      <c r="O60" s="54">
        <f t="shared" ref="O60" si="26">AVERAGE(M59:O59)</f>
        <v>-11.363499300201568</v>
      </c>
      <c r="P60" s="54">
        <f t="shared" ref="P60" si="27">AVERAGE(N59:P59)</f>
        <v>-7.6612746800473799</v>
      </c>
      <c r="Q60" s="54">
        <f t="shared" ref="Q60" si="28">AVERAGE(O59:Q59)</f>
        <v>-6.8432600753259338</v>
      </c>
      <c r="R60" s="54">
        <f t="shared" ref="R60" si="29">AVERAGE(P59:R59)</f>
        <v>-6.3064271696575149</v>
      </c>
      <c r="S60" s="54">
        <f t="shared" ref="S60" si="30">AVERAGE(Q59:S59)</f>
        <v>-5.6555787989660571</v>
      </c>
      <c r="T60" s="54">
        <f t="shared" ref="T60" si="31">AVERAGE(R59:T59)</f>
        <v>-4.1812308224127293</v>
      </c>
      <c r="U60" s="54">
        <f t="shared" ref="U60" si="32">AVERAGE(S59:U59)</f>
        <v>-3.5398790723428797</v>
      </c>
      <c r="V60" s="54">
        <f t="shared" ref="V60" si="33">AVERAGE(T59:V59)</f>
        <v>-3.0561220271240472</v>
      </c>
    </row>
    <row r="61" spans="1:35">
      <c r="A61" s="25">
        <v>3</v>
      </c>
      <c r="B61" s="1" t="s">
        <v>29</v>
      </c>
      <c r="F61" s="21"/>
      <c r="G61" s="21"/>
      <c r="H61" s="21"/>
      <c r="I61" s="21"/>
      <c r="J61" s="21">
        <f>AVERAGE(F59:J59)</f>
        <v>0.79960581953864107</v>
      </c>
      <c r="K61" s="21">
        <f t="shared" ref="K61:M61" si="34">AVERAGE(G59:K59)</f>
        <v>-0.1713404162324707</v>
      </c>
      <c r="L61" s="21">
        <f t="shared" si="34"/>
        <v>-1.2550700115569526</v>
      </c>
      <c r="M61" s="21">
        <f t="shared" si="34"/>
        <v>-5.0923739406697193</v>
      </c>
      <c r="N61" s="53">
        <f t="shared" ref="N61" si="35">AVERAGE(J59:N59)</f>
        <v>-8.6681426343375563</v>
      </c>
      <c r="O61" s="54">
        <f t="shared" ref="O61" si="36">AVERAGE(K59:O59)</f>
        <v>-9.6587747510911122</v>
      </c>
      <c r="P61" s="54">
        <f t="shared" ref="P61" si="37">AVERAGE(L59:P59)</f>
        <v>-10.131134322370707</v>
      </c>
      <c r="Q61" s="54">
        <f t="shared" ref="Q61" si="38">AVERAGE(M59:Q59)</f>
        <v>-9.6059223869837602</v>
      </c>
      <c r="R61" s="54">
        <f t="shared" ref="R61" si="39">AVERAGE(N59:R59)</f>
        <v>-7.1830619946436851</v>
      </c>
      <c r="S61" s="54">
        <f t="shared" ref="S61" si="40">AVERAGE(O59:S59)</f>
        <v>-5.9090396328916253</v>
      </c>
      <c r="T61" s="54">
        <f t="shared" ref="T61" si="41">AVERAGE(P59:T59)</f>
        <v>-5.2965613003104579</v>
      </c>
      <c r="U61" s="54">
        <f t="shared" ref="U61" si="42">AVERAGE(Q59:U59)</f>
        <v>-4.7102246300209858</v>
      </c>
      <c r="V61" s="54">
        <f t="shared" ref="V61" si="43">AVERAGE(R59:V59)</f>
        <v>-3.6367568039704934</v>
      </c>
    </row>
    <row r="62" spans="1:35">
      <c r="F62" s="21"/>
      <c r="G62" s="21"/>
      <c r="H62" s="21"/>
      <c r="I62" s="21"/>
      <c r="J62" s="21"/>
      <c r="K62" s="21"/>
      <c r="L62" s="21"/>
      <c r="M62" s="21"/>
      <c r="N62" s="55"/>
      <c r="O62" s="56"/>
      <c r="P62" s="56"/>
      <c r="Q62" s="56"/>
      <c r="R62" s="56"/>
      <c r="S62" s="56"/>
      <c r="T62" s="56"/>
    </row>
    <row r="63" spans="1:35">
      <c r="B63" s="2" t="s">
        <v>31</v>
      </c>
      <c r="F63" s="21"/>
      <c r="G63" s="21"/>
      <c r="H63" s="21"/>
      <c r="I63" s="21"/>
      <c r="J63" s="21"/>
      <c r="K63" s="21"/>
      <c r="L63" s="21"/>
      <c r="M63" s="21"/>
      <c r="N63" s="55"/>
      <c r="O63" s="56"/>
      <c r="P63" s="56"/>
      <c r="Q63" s="56"/>
      <c r="R63" s="56"/>
      <c r="S63" s="56"/>
      <c r="T63" s="56"/>
    </row>
    <row r="64" spans="1:35">
      <c r="A64" s="25">
        <v>4</v>
      </c>
      <c r="B64" s="1" t="s">
        <v>27</v>
      </c>
      <c r="F64" s="21">
        <f>F51/E51%-100</f>
        <v>-7.7378243058716407</v>
      </c>
      <c r="G64" s="21">
        <f t="shared" ref="G64:M64" si="44">G51/F51%-100</f>
        <v>-8.8307844104588042</v>
      </c>
      <c r="H64" s="21">
        <f t="shared" si="44"/>
        <v>-8.6580086580086544</v>
      </c>
      <c r="I64" s="21">
        <f t="shared" si="44"/>
        <v>-9.7156398104265378</v>
      </c>
      <c r="J64" s="21">
        <f t="shared" si="44"/>
        <v>-7.2834645669291405</v>
      </c>
      <c r="K64" s="21">
        <f t="shared" si="44"/>
        <v>-7.2894550601557029</v>
      </c>
      <c r="L64" s="21">
        <f t="shared" si="44"/>
        <v>-8.7022900763358706</v>
      </c>
      <c r="M64" s="21">
        <f t="shared" si="44"/>
        <v>-0.75250836120402198</v>
      </c>
      <c r="N64" s="53">
        <f t="shared" ref="N64" si="45">N51/M51%-100</f>
        <v>-12.131423757371522</v>
      </c>
      <c r="O64" s="54">
        <f t="shared" ref="O64" si="46">O51/N51%-100</f>
        <v>-5.177372962607862</v>
      </c>
      <c r="P64" s="54">
        <f t="shared" ref="P64" si="47">P51/O51%-100</f>
        <v>-12.335692618806874</v>
      </c>
      <c r="Q64" s="54">
        <f t="shared" ref="Q64" si="48">Q51/P51%-100</f>
        <v>-10.034602076124571</v>
      </c>
      <c r="R64" s="54">
        <f t="shared" ref="R64" si="49">R51/Q51%-100</f>
        <v>-4.487179487179489</v>
      </c>
      <c r="S64" s="54">
        <f t="shared" ref="S64" si="50">S51/R51%-100</f>
        <v>-4.0268456375838895</v>
      </c>
      <c r="T64" s="54">
        <f t="shared" ref="T64" si="51">T51/S51%-100</f>
        <v>-3.6363636363636402</v>
      </c>
      <c r="U64" s="54">
        <f t="shared" ref="U64" si="52">U51/T51%-100</f>
        <v>-3.0478955007256872</v>
      </c>
      <c r="V64" s="54">
        <f t="shared" ref="V64" si="53">V51/U51%-100</f>
        <v>-2.5449101796407092</v>
      </c>
    </row>
    <row r="65" spans="1:22">
      <c r="A65" s="25">
        <v>5</v>
      </c>
      <c r="B65" s="1" t="s">
        <v>28</v>
      </c>
      <c r="F65" s="21"/>
      <c r="G65" s="21"/>
      <c r="H65" s="21">
        <f>AVERAGE(F64:H64)</f>
        <v>-8.4088724581130325</v>
      </c>
      <c r="I65" s="21">
        <f t="shared" ref="I65:M65" si="54">AVERAGE(G64:I64)</f>
        <v>-9.0681442929646661</v>
      </c>
      <c r="J65" s="21">
        <f t="shared" si="54"/>
        <v>-8.5523710117881109</v>
      </c>
      <c r="K65" s="21">
        <f t="shared" si="54"/>
        <v>-8.096186479170461</v>
      </c>
      <c r="L65" s="21">
        <f t="shared" si="54"/>
        <v>-7.7584032344735716</v>
      </c>
      <c r="M65" s="21">
        <f t="shared" si="54"/>
        <v>-5.5814178325651982</v>
      </c>
      <c r="N65" s="53">
        <f t="shared" ref="N65" si="55">AVERAGE(L64:N64)</f>
        <v>-7.1954073983038045</v>
      </c>
      <c r="O65" s="54">
        <f t="shared" ref="O65" si="56">AVERAGE(M64:O64)</f>
        <v>-6.0204350270611355</v>
      </c>
      <c r="P65" s="54">
        <f t="shared" ref="P65" si="57">AVERAGE(N64:P64)</f>
        <v>-9.8814964462620853</v>
      </c>
      <c r="Q65" s="54">
        <f t="shared" ref="Q65" si="58">AVERAGE(O64:Q64)</f>
        <v>-9.1825558858464351</v>
      </c>
      <c r="R65" s="54">
        <f t="shared" ref="R65" si="59">AVERAGE(P64:R64)</f>
        <v>-8.9524913940369775</v>
      </c>
      <c r="S65" s="54">
        <f t="shared" ref="S65" si="60">AVERAGE(Q64:S64)</f>
        <v>-6.1828757336293165</v>
      </c>
      <c r="T65" s="54">
        <f t="shared" ref="T65" si="61">AVERAGE(R64:T64)</f>
        <v>-4.0501295870423393</v>
      </c>
      <c r="U65" s="54">
        <f t="shared" ref="U65" si="62">AVERAGE(S64:U64)</f>
        <v>-3.5703682582244056</v>
      </c>
      <c r="V65" s="54">
        <f t="shared" ref="V65" si="63">AVERAGE(T64:V64)</f>
        <v>-3.0763897722433455</v>
      </c>
    </row>
    <row r="66" spans="1:22">
      <c r="A66" s="25">
        <v>6</v>
      </c>
      <c r="B66" s="1" t="s">
        <v>29</v>
      </c>
      <c r="F66" s="21"/>
      <c r="G66" s="21"/>
      <c r="H66" s="21"/>
      <c r="I66" s="21"/>
      <c r="J66" s="21">
        <f>AVERAGE(F64:J64)</f>
        <v>-8.4451443503389552</v>
      </c>
      <c r="K66" s="21">
        <f t="shared" ref="K66:M66" si="64">AVERAGE(G64:K64)</f>
        <v>-8.355470501195768</v>
      </c>
      <c r="L66" s="21">
        <f t="shared" si="64"/>
        <v>-8.3297716343711805</v>
      </c>
      <c r="M66" s="21">
        <f t="shared" si="64"/>
        <v>-6.7486715750102544</v>
      </c>
      <c r="N66" s="53">
        <f t="shared" ref="N66" si="65">AVERAGE(J64:N64)</f>
        <v>-7.2318283643992514</v>
      </c>
      <c r="O66" s="54">
        <f t="shared" ref="O66" si="66">AVERAGE(K64:O64)</f>
        <v>-6.8106100435349957</v>
      </c>
      <c r="P66" s="54">
        <f t="shared" ref="P66" si="67">AVERAGE(L64:P64)</f>
        <v>-7.8198575552652301</v>
      </c>
      <c r="Q66" s="54">
        <f t="shared" ref="Q66" si="68">AVERAGE(M64:Q64)</f>
        <v>-8.0863199552229705</v>
      </c>
      <c r="R66" s="54">
        <f t="shared" ref="R66" si="69">AVERAGE(N64:R64)</f>
        <v>-8.8332541804180629</v>
      </c>
      <c r="S66" s="54">
        <f t="shared" ref="S66" si="70">AVERAGE(O64:S64)</f>
        <v>-7.2123385564605371</v>
      </c>
      <c r="T66" s="54">
        <f t="shared" ref="T66" si="71">AVERAGE(P64:T64)</f>
        <v>-6.9041366912116926</v>
      </c>
      <c r="U66" s="54">
        <f t="shared" ref="U66" si="72">AVERAGE(Q64:U64)</f>
        <v>-5.0465772675954552</v>
      </c>
      <c r="V66" s="54">
        <f t="shared" ref="V66" si="73">AVERAGE(R64:V64)</f>
        <v>-3.548638888298683</v>
      </c>
    </row>
    <row r="67" spans="1:22">
      <c r="F67" s="21"/>
      <c r="G67" s="21"/>
      <c r="H67" s="21"/>
      <c r="I67" s="21"/>
      <c r="J67" s="21"/>
      <c r="K67" s="21"/>
      <c r="L67" s="21"/>
      <c r="M67" s="21"/>
      <c r="N67" s="55"/>
      <c r="O67" s="56"/>
      <c r="P67" s="56"/>
      <c r="Q67" s="56"/>
      <c r="R67" s="56"/>
      <c r="S67" s="56"/>
      <c r="T67" s="56"/>
    </row>
    <row r="68" spans="1:22">
      <c r="B68" s="2" t="s">
        <v>33</v>
      </c>
      <c r="F68" s="21"/>
      <c r="G68" s="21"/>
      <c r="H68" s="21"/>
      <c r="I68" s="21"/>
      <c r="J68" s="21"/>
      <c r="K68" s="21"/>
      <c r="L68" s="21"/>
      <c r="M68" s="21"/>
      <c r="N68" s="55"/>
      <c r="O68" s="56"/>
      <c r="P68" s="56"/>
      <c r="Q68" s="56"/>
      <c r="R68" s="56"/>
      <c r="S68" s="56"/>
      <c r="T68" s="56"/>
    </row>
    <row r="69" spans="1:22">
      <c r="A69" s="25">
        <v>7</v>
      </c>
      <c r="B69" s="1" t="s">
        <v>27</v>
      </c>
      <c r="F69" s="21">
        <f>F53/E53%-100</f>
        <v>-1.8354331933426806</v>
      </c>
      <c r="G69" s="21">
        <f t="shared" ref="G69:M69" si="74">G53/F53%-100</f>
        <v>-6.3381397559816151</v>
      </c>
      <c r="H69" s="21">
        <f t="shared" si="74"/>
        <v>-1.2688208424970355</v>
      </c>
      <c r="I69" s="21">
        <f t="shared" si="74"/>
        <v>2.5017135023988999</v>
      </c>
      <c r="J69" s="21">
        <f t="shared" si="74"/>
        <v>-3.07589434971581</v>
      </c>
      <c r="K69" s="21">
        <f t="shared" si="74"/>
        <v>-4.5187995860641479</v>
      </c>
      <c r="L69" s="21">
        <f t="shared" si="74"/>
        <v>-10.133670520231206</v>
      </c>
      <c r="M69" s="21">
        <f t="shared" si="74"/>
        <v>-13.165829145728637</v>
      </c>
      <c r="N69" s="53">
        <f t="shared" ref="N69" si="75">N53/M53%-100</f>
        <v>-10.879629629629633</v>
      </c>
      <c r="O69" s="54">
        <f t="shared" ref="O69" si="76">O53/N53%-100</f>
        <v>-6.2077922077922096</v>
      </c>
      <c r="P69" s="54">
        <f t="shared" ref="P69" si="77">P53/O53%-100</f>
        <v>-7.7263915812794295</v>
      </c>
      <c r="Q69" s="54">
        <f t="shared" ref="Q69" si="78">Q53/P53%-100</f>
        <v>-8.4933973589435823</v>
      </c>
      <c r="R69" s="54">
        <f t="shared" ref="R69" si="79">R53/Q53%-100</f>
        <v>-4.854050508363386</v>
      </c>
      <c r="S69" s="54">
        <f t="shared" ref="S69" si="80">S53/R53%-100</f>
        <v>-4.0330920372285419</v>
      </c>
      <c r="T69" s="54">
        <f t="shared" ref="T69" si="81">T53/S53%-100</f>
        <v>-3.5560344827586192</v>
      </c>
      <c r="U69" s="54">
        <f t="shared" ref="U69" si="82">U53/T53%-100</f>
        <v>-3.0540037243947893</v>
      </c>
      <c r="V69" s="54">
        <f t="shared" ref="V69" si="83">V53/U53%-100</f>
        <v>-2.5739531310026962</v>
      </c>
    </row>
    <row r="70" spans="1:22">
      <c r="A70" s="25">
        <v>8</v>
      </c>
      <c r="B70" s="1" t="s">
        <v>28</v>
      </c>
      <c r="F70" s="21"/>
      <c r="G70" s="21"/>
      <c r="H70" s="21">
        <f>AVERAGE(F69:H69)</f>
        <v>-3.1474645972737769</v>
      </c>
      <c r="I70" s="21">
        <f t="shared" ref="I70:M70" si="84">AVERAGE(G69:I69)</f>
        <v>-1.7017490320265836</v>
      </c>
      <c r="J70" s="21">
        <f t="shared" si="84"/>
        <v>-0.61433389660464854</v>
      </c>
      <c r="K70" s="21">
        <f t="shared" si="84"/>
        <v>-1.6976601444603527</v>
      </c>
      <c r="L70" s="21">
        <f t="shared" si="84"/>
        <v>-5.9094548186703877</v>
      </c>
      <c r="M70" s="21">
        <f t="shared" si="84"/>
        <v>-9.2727664173413302</v>
      </c>
      <c r="N70" s="53">
        <f t="shared" ref="N70" si="85">AVERAGE(L69:N69)</f>
        <v>-11.393043098529825</v>
      </c>
      <c r="O70" s="54">
        <f t="shared" ref="O70" si="86">AVERAGE(M69:O69)</f>
        <v>-10.084416994383494</v>
      </c>
      <c r="P70" s="54">
        <f t="shared" ref="P70" si="87">AVERAGE(N69:P69)</f>
        <v>-8.2712711395670908</v>
      </c>
      <c r="Q70" s="54">
        <f t="shared" ref="Q70" si="88">AVERAGE(O69:Q69)</f>
        <v>-7.4758603826717405</v>
      </c>
      <c r="R70" s="54">
        <f t="shared" ref="R70" si="89">AVERAGE(P69:R69)</f>
        <v>-7.0246131495287996</v>
      </c>
      <c r="S70" s="54">
        <f t="shared" ref="S70" si="90">AVERAGE(Q69:S69)</f>
        <v>-5.7935133015118367</v>
      </c>
      <c r="T70" s="54">
        <f t="shared" ref="T70" si="91">AVERAGE(R69:T69)</f>
        <v>-4.1477256761168491</v>
      </c>
      <c r="U70" s="54">
        <f t="shared" ref="U70" si="92">AVERAGE(S69:U69)</f>
        <v>-3.5477100814606501</v>
      </c>
      <c r="V70" s="54">
        <f t="shared" ref="V70" si="93">AVERAGE(T69:V69)</f>
        <v>-3.0613304460520347</v>
      </c>
    </row>
    <row r="71" spans="1:22">
      <c r="A71" s="25">
        <v>9</v>
      </c>
      <c r="B71" s="1" t="s">
        <v>29</v>
      </c>
      <c r="F71" s="21"/>
      <c r="G71" s="21"/>
      <c r="H71" s="21"/>
      <c r="I71" s="21"/>
      <c r="J71" s="21">
        <f>AVERAGE(F69:J69)</f>
        <v>-2.0033149278276481</v>
      </c>
      <c r="K71" s="21">
        <f t="shared" ref="K71:M71" si="94">AVERAGE(G69:K69)</f>
        <v>-2.5399882063719419</v>
      </c>
      <c r="L71" s="21">
        <f t="shared" si="94"/>
        <v>-3.29909435922186</v>
      </c>
      <c r="M71" s="21">
        <f t="shared" si="94"/>
        <v>-5.67849601986818</v>
      </c>
      <c r="N71" s="53">
        <f t="shared" ref="N71" si="95">AVERAGE(J69:N69)</f>
        <v>-8.3547646462738872</v>
      </c>
      <c r="O71" s="54">
        <f t="shared" ref="O71" si="96">AVERAGE(K69:O69)</f>
        <v>-8.9811442178891667</v>
      </c>
      <c r="P71" s="54">
        <f t="shared" ref="P71" si="97">AVERAGE(L69:P69)</f>
        <v>-9.6226626169322227</v>
      </c>
      <c r="Q71" s="54">
        <f t="shared" ref="Q71" si="98">AVERAGE(M69:Q69)</f>
        <v>-9.2946079846746983</v>
      </c>
      <c r="R71" s="54">
        <f t="shared" ref="R71" si="99">AVERAGE(N69:R69)</f>
        <v>-7.6322522572016478</v>
      </c>
      <c r="S71" s="54">
        <f t="shared" ref="S71" si="100">AVERAGE(O69:S69)</f>
        <v>-6.2629447387214299</v>
      </c>
      <c r="T71" s="54">
        <f t="shared" ref="T71" si="101">AVERAGE(P69:T69)</f>
        <v>-5.7325931937147114</v>
      </c>
      <c r="U71" s="54">
        <f t="shared" ref="U71" si="102">AVERAGE(Q69:U69)</f>
        <v>-4.7981156223377841</v>
      </c>
      <c r="V71" s="54">
        <f t="shared" ref="V71" si="103">AVERAGE(R69:V69)</f>
        <v>-3.6142267767496064</v>
      </c>
    </row>
    <row r="72" spans="1:22">
      <c r="N72" s="55"/>
      <c r="O72" s="56"/>
      <c r="P72" s="56"/>
      <c r="Q72" s="56"/>
      <c r="R72" s="56"/>
      <c r="S72" s="56"/>
      <c r="T72" s="56"/>
    </row>
    <row r="73" spans="1:22">
      <c r="B73" s="24" t="s">
        <v>47</v>
      </c>
      <c r="C73" s="22" t="str">
        <f>'Civilian sector'!C72</f>
        <v>PROPORTION OF RETREATMENT CASES</v>
      </c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57"/>
      <c r="O73" s="58"/>
      <c r="P73" s="58"/>
      <c r="Q73" s="58"/>
      <c r="R73" s="58"/>
      <c r="S73" s="58"/>
      <c r="T73" s="58"/>
      <c r="U73" s="58"/>
      <c r="V73" s="58"/>
    </row>
    <row r="74" spans="1:22">
      <c r="N74" s="55"/>
      <c r="O74" s="56"/>
      <c r="P74" s="56"/>
      <c r="Q74" s="56"/>
      <c r="R74" s="56"/>
      <c r="S74" s="56"/>
      <c r="T74" s="56"/>
    </row>
    <row r="75" spans="1:22">
      <c r="B75" s="2" t="s">
        <v>35</v>
      </c>
      <c r="N75" s="55"/>
      <c r="O75" s="56"/>
      <c r="P75" s="56"/>
      <c r="Q75" s="56"/>
      <c r="R75" s="56"/>
      <c r="S75" s="56"/>
      <c r="T75" s="56"/>
    </row>
    <row r="76" spans="1:22">
      <c r="A76" s="25">
        <v>1</v>
      </c>
      <c r="B76" s="1" t="s">
        <v>34</v>
      </c>
      <c r="E76" s="21">
        <f>E51/E53%</f>
        <v>34.173277337066416</v>
      </c>
      <c r="F76" s="21">
        <f t="shared" ref="F76:M76" si="104">F51/F53%</f>
        <v>32.118523213436859</v>
      </c>
      <c r="G76" s="21">
        <f t="shared" si="104"/>
        <v>31.263745559127052</v>
      </c>
      <c r="H76" s="21">
        <f t="shared" si="104"/>
        <v>28.923920493488691</v>
      </c>
      <c r="I76" s="21">
        <f t="shared" si="104"/>
        <v>25.476429287863592</v>
      </c>
      <c r="J76" s="21">
        <f t="shared" si="104"/>
        <v>24.370472576750604</v>
      </c>
      <c r="K76" s="21">
        <f t="shared" si="104"/>
        <v>23.663294797687861</v>
      </c>
      <c r="L76" s="21">
        <f t="shared" si="104"/>
        <v>24.040201005025125</v>
      </c>
      <c r="M76" s="21">
        <f t="shared" si="104"/>
        <v>27.476851851851851</v>
      </c>
      <c r="N76" s="53">
        <f t="shared" ref="N76:V76" si="105">N51/N53%</f>
        <v>27.09090909090909</v>
      </c>
      <c r="O76" s="54">
        <f t="shared" si="105"/>
        <v>27.388535031847134</v>
      </c>
      <c r="P76" s="54">
        <f t="shared" si="105"/>
        <v>26.020408163265305</v>
      </c>
      <c r="Q76" s="54">
        <f t="shared" si="105"/>
        <v>25.582158084617909</v>
      </c>
      <c r="R76" s="54">
        <f t="shared" si="105"/>
        <v>25.680799724233022</v>
      </c>
      <c r="S76" s="54">
        <f t="shared" si="105"/>
        <v>25.682471264367816</v>
      </c>
      <c r="T76" s="54">
        <f t="shared" si="105"/>
        <v>25.661080074487895</v>
      </c>
      <c r="U76" s="54">
        <f t="shared" si="105"/>
        <v>25.662696888205915</v>
      </c>
      <c r="V76" s="54">
        <f t="shared" si="105"/>
        <v>25.670347003154575</v>
      </c>
    </row>
    <row r="77" spans="1:22">
      <c r="A77" s="25">
        <v>2</v>
      </c>
      <c r="B77" s="1" t="s">
        <v>28</v>
      </c>
      <c r="E77" s="21"/>
      <c r="F77" s="21"/>
      <c r="G77" s="21">
        <f>AVERAGE(E76:G76)</f>
        <v>32.518515369876773</v>
      </c>
      <c r="H77" s="21">
        <f>AVERAGE(F76:H76)</f>
        <v>30.768729755350865</v>
      </c>
      <c r="I77" s="21">
        <f t="shared" ref="I77:M77" si="106">AVERAGE(G76:I76)</f>
        <v>28.554698446826446</v>
      </c>
      <c r="J77" s="21">
        <f t="shared" si="106"/>
        <v>26.256940786034296</v>
      </c>
      <c r="K77" s="21">
        <f t="shared" si="106"/>
        <v>24.50339888743402</v>
      </c>
      <c r="L77" s="21">
        <f t="shared" si="106"/>
        <v>24.024656126487866</v>
      </c>
      <c r="M77" s="21">
        <f t="shared" si="106"/>
        <v>25.060115884854948</v>
      </c>
      <c r="N77" s="53">
        <f t="shared" ref="N77" si="107">AVERAGE(L76:N76)</f>
        <v>26.202653982595354</v>
      </c>
      <c r="O77" s="54">
        <f t="shared" ref="O77" si="108">AVERAGE(M76:O76)</f>
        <v>27.318765324869361</v>
      </c>
      <c r="P77" s="54">
        <f t="shared" ref="P77" si="109">AVERAGE(N76:P76)</f>
        <v>26.833284095340506</v>
      </c>
      <c r="Q77" s="54">
        <f t="shared" ref="Q77" si="110">AVERAGE(O76:Q76)</f>
        <v>26.330367093243449</v>
      </c>
      <c r="R77" s="54">
        <f t="shared" ref="R77" si="111">AVERAGE(P76:R76)</f>
        <v>25.761121990705416</v>
      </c>
      <c r="S77" s="54">
        <f t="shared" ref="S77" si="112">AVERAGE(Q76:S76)</f>
        <v>25.648476357739582</v>
      </c>
      <c r="T77" s="54">
        <f t="shared" ref="T77" si="113">AVERAGE(R76:T76)</f>
        <v>25.674783687696245</v>
      </c>
      <c r="U77" s="54">
        <f t="shared" ref="U77" si="114">AVERAGE(S76:U76)</f>
        <v>25.668749409020545</v>
      </c>
      <c r="V77" s="54">
        <f t="shared" ref="V77" si="115">AVERAGE(T76:V76)</f>
        <v>25.664707988616129</v>
      </c>
    </row>
    <row r="78" spans="1:22">
      <c r="A78" s="25">
        <v>3</v>
      </c>
      <c r="B78" s="1" t="s">
        <v>29</v>
      </c>
      <c r="E78" s="21"/>
      <c r="F78" s="21"/>
      <c r="G78" s="21"/>
      <c r="H78" s="21"/>
      <c r="I78" s="21">
        <f>AVERAGE(E76:I76)</f>
        <v>30.391179178196516</v>
      </c>
      <c r="J78" s="21">
        <f>AVERAGE(F76:J76)</f>
        <v>28.430618226133362</v>
      </c>
      <c r="K78" s="21">
        <f t="shared" ref="K78:M78" si="116">AVERAGE(G76:K76)</f>
        <v>26.739572542983559</v>
      </c>
      <c r="L78" s="21">
        <f t="shared" si="116"/>
        <v>25.294863632163175</v>
      </c>
      <c r="M78" s="21">
        <f t="shared" si="116"/>
        <v>25.005449903835807</v>
      </c>
      <c r="N78" s="53">
        <f t="shared" ref="N78" si="117">AVERAGE(J76:N76)</f>
        <v>25.328345864444906</v>
      </c>
      <c r="O78" s="54">
        <f t="shared" ref="O78" si="118">AVERAGE(K76:O76)</f>
        <v>25.931958355464211</v>
      </c>
      <c r="P78" s="54">
        <f t="shared" ref="P78" si="119">AVERAGE(L76:P76)</f>
        <v>26.403381028579702</v>
      </c>
      <c r="Q78" s="54">
        <f t="shared" ref="Q78" si="120">AVERAGE(M76:Q76)</f>
        <v>26.711772444498258</v>
      </c>
      <c r="R78" s="54">
        <f t="shared" ref="R78" si="121">AVERAGE(N76:R76)</f>
        <v>26.352562018974492</v>
      </c>
      <c r="S78" s="54">
        <f t="shared" ref="S78" si="122">AVERAGE(O76:S76)</f>
        <v>26.070874453666239</v>
      </c>
      <c r="T78" s="54">
        <f t="shared" ref="T78" si="123">AVERAGE(P76:T76)</f>
        <v>25.72538346219439</v>
      </c>
      <c r="U78" s="54">
        <f t="shared" ref="U78" si="124">AVERAGE(Q76:U76)</f>
        <v>25.653841207182513</v>
      </c>
      <c r="V78" s="54">
        <f t="shared" ref="V78" si="125">AVERAGE(R76:V76)</f>
        <v>25.671478990889842</v>
      </c>
    </row>
    <row r="79" spans="1:22">
      <c r="E79" s="21"/>
      <c r="F79" s="21"/>
      <c r="G79" s="21"/>
      <c r="H79" s="21"/>
      <c r="I79" s="21"/>
      <c r="J79" s="21"/>
      <c r="K79" s="21"/>
      <c r="L79" s="21"/>
      <c r="M79" s="21"/>
      <c r="N79" s="55"/>
      <c r="O79" s="56"/>
      <c r="P79" s="56"/>
      <c r="Q79" s="56"/>
      <c r="R79" s="56"/>
      <c r="S79" s="56"/>
      <c r="T79" s="56"/>
    </row>
    <row r="80" spans="1:22">
      <c r="B80" s="24" t="s">
        <v>49</v>
      </c>
      <c r="C80" s="22" t="str">
        <f>'Civilian sector'!C79</f>
        <v>PROPORTION OF EXTRAPULMONARY CASES</v>
      </c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57"/>
      <c r="O80" s="58"/>
      <c r="P80" s="58"/>
      <c r="Q80" s="58"/>
      <c r="R80" s="58"/>
      <c r="S80" s="58"/>
      <c r="T80" s="58"/>
      <c r="U80" s="58"/>
      <c r="V80" s="58"/>
    </row>
    <row r="81" spans="1:22">
      <c r="N81" s="55"/>
      <c r="O81" s="56"/>
      <c r="P81" s="56"/>
      <c r="Q81" s="56"/>
      <c r="R81" s="56"/>
      <c r="S81" s="56"/>
      <c r="T81" s="56"/>
    </row>
    <row r="82" spans="1:22">
      <c r="B82" s="2" t="s">
        <v>36</v>
      </c>
      <c r="E82" s="21"/>
      <c r="F82" s="21"/>
      <c r="G82" s="21"/>
      <c r="H82" s="21"/>
      <c r="I82" s="21"/>
      <c r="J82" s="21"/>
      <c r="K82" s="21"/>
      <c r="L82" s="21"/>
      <c r="M82" s="21"/>
      <c r="N82" s="55"/>
      <c r="O82" s="56"/>
      <c r="P82" s="56"/>
      <c r="Q82" s="56"/>
      <c r="R82" s="56"/>
      <c r="S82" s="56"/>
      <c r="T82" s="56"/>
    </row>
    <row r="83" spans="1:22">
      <c r="A83" s="25">
        <v>1</v>
      </c>
      <c r="B83" s="1" t="s">
        <v>34</v>
      </c>
      <c r="E83" s="21">
        <f>E45/E46%</f>
        <v>29.395085066162572</v>
      </c>
      <c r="F83" s="21">
        <f t="shared" ref="F83:M83" si="126">F45/F46%</f>
        <v>29.225023342670401</v>
      </c>
      <c r="G83" s="21">
        <f t="shared" si="126"/>
        <v>30.445483632783656</v>
      </c>
      <c r="H83" s="21">
        <f t="shared" si="126"/>
        <v>29.339440694310515</v>
      </c>
      <c r="I83" s="21">
        <f t="shared" si="126"/>
        <v>28.779721848362495</v>
      </c>
      <c r="J83" s="21">
        <f t="shared" si="126"/>
        <v>26.339794754846064</v>
      </c>
      <c r="K83" s="21">
        <f t="shared" si="126"/>
        <v>24.98816848083294</v>
      </c>
      <c r="L83" s="21">
        <f t="shared" si="126"/>
        <v>24.980153479756549</v>
      </c>
      <c r="M83" s="21">
        <f t="shared" si="126"/>
        <v>23.013086498563677</v>
      </c>
      <c r="N83" s="53">
        <f t="shared" ref="N83:V83" si="127">N45/N46%</f>
        <v>23.548272176701104</v>
      </c>
      <c r="O83" s="54">
        <f t="shared" si="127"/>
        <v>23.49351639969489</v>
      </c>
      <c r="P83" s="54">
        <f t="shared" si="127"/>
        <v>22.799188640973632</v>
      </c>
      <c r="Q83" s="54">
        <f t="shared" si="127"/>
        <v>22.432789775231377</v>
      </c>
      <c r="R83" s="54">
        <f t="shared" si="127"/>
        <v>22.263450834879407</v>
      </c>
      <c r="S83" s="54">
        <f t="shared" si="127"/>
        <v>22.08796520057999</v>
      </c>
      <c r="T83" s="54">
        <f t="shared" si="127"/>
        <v>21.943887775551101</v>
      </c>
      <c r="U83" s="54">
        <f t="shared" si="127"/>
        <v>21.963824289405682</v>
      </c>
      <c r="V83" s="54">
        <f t="shared" si="127"/>
        <v>21.96286472148541</v>
      </c>
    </row>
    <row r="84" spans="1:22">
      <c r="A84" s="25">
        <v>2</v>
      </c>
      <c r="B84" s="1" t="s">
        <v>28</v>
      </c>
      <c r="E84" s="21"/>
      <c r="F84" s="21"/>
      <c r="G84" s="21">
        <f>AVERAGE(E83:G83)</f>
        <v>29.688530680538879</v>
      </c>
      <c r="H84" s="21">
        <f>AVERAGE(F83:H83)</f>
        <v>29.669982556588192</v>
      </c>
      <c r="I84" s="21">
        <f t="shared" ref="I84:M84" si="128">AVERAGE(G83:I83)</f>
        <v>29.521548725152226</v>
      </c>
      <c r="J84" s="21">
        <f t="shared" si="128"/>
        <v>28.152985765839691</v>
      </c>
      <c r="K84" s="21">
        <f t="shared" si="128"/>
        <v>26.702561694680497</v>
      </c>
      <c r="L84" s="21">
        <f t="shared" si="128"/>
        <v>25.436038905145185</v>
      </c>
      <c r="M84" s="21">
        <f t="shared" si="128"/>
        <v>24.327136153051057</v>
      </c>
      <c r="N84" s="53">
        <f t="shared" ref="N84" si="129">AVERAGE(L83:N83)</f>
        <v>23.847170718340447</v>
      </c>
      <c r="O84" s="54">
        <f t="shared" ref="O84" si="130">AVERAGE(M83:O83)</f>
        <v>23.351625024986561</v>
      </c>
      <c r="P84" s="54">
        <f t="shared" ref="P84" si="131">AVERAGE(N83:P83)</f>
        <v>23.28032573912321</v>
      </c>
      <c r="Q84" s="54">
        <f t="shared" ref="Q84" si="132">AVERAGE(O83:Q83)</f>
        <v>22.908498271966636</v>
      </c>
      <c r="R84" s="54">
        <f t="shared" ref="R84" si="133">AVERAGE(P83:R83)</f>
        <v>22.49847641702814</v>
      </c>
      <c r="S84" s="54">
        <f t="shared" ref="S84" si="134">AVERAGE(Q83:S83)</f>
        <v>22.261401936896927</v>
      </c>
      <c r="T84" s="54">
        <f t="shared" ref="T84" si="135">AVERAGE(R83:T83)</f>
        <v>22.098434603670167</v>
      </c>
      <c r="U84" s="54">
        <f t="shared" ref="U84" si="136">AVERAGE(S83:U83)</f>
        <v>21.998559088512255</v>
      </c>
      <c r="V84" s="54">
        <f t="shared" ref="V84" si="137">AVERAGE(T83:V83)</f>
        <v>21.956858928814068</v>
      </c>
    </row>
    <row r="85" spans="1:22">
      <c r="A85" s="25">
        <v>3</v>
      </c>
      <c r="B85" s="1" t="s">
        <v>29</v>
      </c>
      <c r="E85" s="21"/>
      <c r="F85" s="21"/>
      <c r="G85" s="21"/>
      <c r="H85" s="21"/>
      <c r="I85" s="21">
        <f>AVERAGE(E83:I83)</f>
        <v>29.436950916857928</v>
      </c>
      <c r="J85" s="21">
        <f>AVERAGE(F83:J83)</f>
        <v>28.825892854594628</v>
      </c>
      <c r="K85" s="21">
        <f t="shared" ref="K85:M85" si="138">AVERAGE(G83:K83)</f>
        <v>27.978521882227135</v>
      </c>
      <c r="L85" s="21">
        <f t="shared" si="138"/>
        <v>26.885455851621714</v>
      </c>
      <c r="M85" s="21">
        <f t="shared" si="138"/>
        <v>25.620185012472341</v>
      </c>
      <c r="N85" s="53">
        <f t="shared" ref="N85" si="139">AVERAGE(J83:N83)</f>
        <v>24.573895078140069</v>
      </c>
      <c r="O85" s="54">
        <f t="shared" ref="O85" si="140">AVERAGE(K83:O83)</f>
        <v>24.004639407109835</v>
      </c>
      <c r="P85" s="54">
        <f t="shared" ref="P85" si="141">AVERAGE(L83:P83)</f>
        <v>23.566843439137973</v>
      </c>
      <c r="Q85" s="54">
        <f t="shared" ref="Q85" si="142">AVERAGE(M83:Q83)</f>
        <v>23.057370698232937</v>
      </c>
      <c r="R85" s="54">
        <f t="shared" ref="R85" si="143">AVERAGE(N83:R83)</f>
        <v>22.907443565496081</v>
      </c>
      <c r="S85" s="54">
        <f t="shared" ref="S85" si="144">AVERAGE(O83:S83)</f>
        <v>22.615382170271861</v>
      </c>
      <c r="T85" s="54">
        <f t="shared" ref="T85" si="145">AVERAGE(P83:T83)</f>
        <v>22.305456445443102</v>
      </c>
      <c r="U85" s="54">
        <f t="shared" ref="U85" si="146">AVERAGE(Q83:U83)</f>
        <v>22.138383575129513</v>
      </c>
      <c r="V85" s="54">
        <f t="shared" ref="V85" si="147">AVERAGE(R83:V83)</f>
        <v>22.044398564380316</v>
      </c>
    </row>
    <row r="86" spans="1:22">
      <c r="E86" s="21"/>
      <c r="F86" s="21"/>
      <c r="G86" s="21"/>
      <c r="H86" s="21"/>
      <c r="I86" s="21"/>
      <c r="J86" s="21"/>
      <c r="K86" s="21"/>
      <c r="L86" s="21"/>
      <c r="M86" s="21"/>
      <c r="N86" s="55"/>
      <c r="O86" s="56"/>
      <c r="P86" s="56"/>
      <c r="Q86" s="56"/>
      <c r="R86" s="56"/>
      <c r="S86" s="56"/>
      <c r="T86" s="56"/>
    </row>
    <row r="87" spans="1:22">
      <c r="B87" s="2" t="s">
        <v>37</v>
      </c>
      <c r="E87" s="21"/>
      <c r="F87" s="21"/>
      <c r="G87" s="21"/>
      <c r="H87" s="21"/>
      <c r="I87" s="21"/>
      <c r="J87" s="21"/>
      <c r="K87" s="21"/>
      <c r="L87" s="21"/>
      <c r="M87" s="21"/>
      <c r="N87" s="55"/>
      <c r="O87" s="56"/>
      <c r="P87" s="56"/>
      <c r="Q87" s="56"/>
      <c r="R87" s="56"/>
      <c r="S87" s="56"/>
      <c r="T87" s="56"/>
    </row>
    <row r="88" spans="1:22">
      <c r="A88" s="25">
        <v>4</v>
      </c>
      <c r="B88" s="1" t="s">
        <v>34</v>
      </c>
      <c r="E88" s="21">
        <f t="shared" ref="E88:M88" si="148">E50/E51%</f>
        <v>5.6895766954938551</v>
      </c>
      <c r="F88" s="21">
        <f t="shared" si="148"/>
        <v>6.0187469166255552</v>
      </c>
      <c r="G88" s="21">
        <f t="shared" si="148"/>
        <v>6.9264069264069263</v>
      </c>
      <c r="H88" s="21">
        <f t="shared" si="148"/>
        <v>8.1161137440758306</v>
      </c>
      <c r="I88" s="21">
        <f t="shared" si="148"/>
        <v>7.0209973753280837</v>
      </c>
      <c r="J88" s="21">
        <f t="shared" si="148"/>
        <v>8.2802547770700627</v>
      </c>
      <c r="K88" s="21">
        <f t="shared" si="148"/>
        <v>8.2442748091603058</v>
      </c>
      <c r="L88" s="21">
        <f t="shared" si="148"/>
        <v>10.367892976588628</v>
      </c>
      <c r="M88" s="21">
        <f t="shared" si="148"/>
        <v>8.0033698399326045</v>
      </c>
      <c r="N88" s="53">
        <f t="shared" ref="N88:V88" si="149">N50/N51%</f>
        <v>9.1083413231064245</v>
      </c>
      <c r="O88" s="54">
        <f t="shared" si="149"/>
        <v>7.7856420626895853</v>
      </c>
      <c r="P88" s="54">
        <f t="shared" si="149"/>
        <v>6.6897347174163784</v>
      </c>
      <c r="Q88" s="54">
        <f t="shared" si="149"/>
        <v>6.1538461538461542</v>
      </c>
      <c r="R88" s="54">
        <f t="shared" si="149"/>
        <v>6.0402684563758386</v>
      </c>
      <c r="S88" s="54">
        <f t="shared" si="149"/>
        <v>5.5944055944055942</v>
      </c>
      <c r="T88" s="54">
        <f t="shared" si="149"/>
        <v>5.0798258345428158</v>
      </c>
      <c r="U88" s="54">
        <f t="shared" si="149"/>
        <v>4.6407185628742518</v>
      </c>
      <c r="V88" s="54">
        <f t="shared" si="149"/>
        <v>4.1474654377880187</v>
      </c>
    </row>
    <row r="89" spans="1:22">
      <c r="A89" s="25">
        <v>5</v>
      </c>
      <c r="B89" s="1" t="s">
        <v>28</v>
      </c>
      <c r="E89" s="21"/>
      <c r="F89" s="21"/>
      <c r="G89" s="21">
        <f>AVERAGE(E88:G88)</f>
        <v>6.2115768461754461</v>
      </c>
      <c r="H89" s="21">
        <f>AVERAGE(F88:H88)</f>
        <v>7.0204225290361038</v>
      </c>
      <c r="I89" s="21">
        <f t="shared" ref="I89:M89" si="150">AVERAGE(G88:I88)</f>
        <v>7.3545060152702808</v>
      </c>
      <c r="J89" s="21">
        <f t="shared" si="150"/>
        <v>7.8057886321579923</v>
      </c>
      <c r="K89" s="21">
        <f t="shared" si="150"/>
        <v>7.8485089871861504</v>
      </c>
      <c r="L89" s="21">
        <f t="shared" si="150"/>
        <v>8.9641408542729994</v>
      </c>
      <c r="M89" s="21">
        <f t="shared" si="150"/>
        <v>8.87184587522718</v>
      </c>
      <c r="N89" s="53">
        <f t="shared" ref="N89" si="151">AVERAGE(L88:N88)</f>
        <v>9.1598680465425506</v>
      </c>
      <c r="O89" s="54">
        <f t="shared" ref="O89" si="152">AVERAGE(M88:O88)</f>
        <v>8.299117741909539</v>
      </c>
      <c r="P89" s="54">
        <f t="shared" ref="P89" si="153">AVERAGE(N88:P88)</f>
        <v>7.8612393677374621</v>
      </c>
      <c r="Q89" s="54">
        <f t="shared" ref="Q89" si="154">AVERAGE(O88:Q88)</f>
        <v>6.8764076446507056</v>
      </c>
      <c r="R89" s="54">
        <f t="shared" ref="R89" si="155">AVERAGE(P88:R88)</f>
        <v>6.2946164425461228</v>
      </c>
      <c r="S89" s="54">
        <f t="shared" ref="S89" si="156">AVERAGE(Q88:S88)</f>
        <v>5.9295067348758623</v>
      </c>
      <c r="T89" s="54">
        <f t="shared" ref="T89" si="157">AVERAGE(R88:T88)</f>
        <v>5.5714999617747489</v>
      </c>
      <c r="U89" s="54">
        <f t="shared" ref="U89" si="158">AVERAGE(S88:U88)</f>
        <v>5.1049833306075536</v>
      </c>
      <c r="V89" s="54">
        <f t="shared" ref="V89" si="159">AVERAGE(T88:V88)</f>
        <v>4.6226699450683624</v>
      </c>
    </row>
    <row r="90" spans="1:22">
      <c r="A90" s="25">
        <v>6</v>
      </c>
      <c r="B90" s="1" t="s">
        <v>29</v>
      </c>
      <c r="E90" s="21"/>
      <c r="F90" s="21"/>
      <c r="G90" s="21"/>
      <c r="H90" s="21"/>
      <c r="I90" s="21">
        <f>AVERAGE(E88:I88)</f>
        <v>6.7543683315860505</v>
      </c>
      <c r="J90" s="21">
        <f>AVERAGE(F88:J88)</f>
        <v>7.2725039479012903</v>
      </c>
      <c r="K90" s="21">
        <f t="shared" ref="K90:M90" si="160">AVERAGE(G88:K88)</f>
        <v>7.7176095264082418</v>
      </c>
      <c r="L90" s="21">
        <f t="shared" si="160"/>
        <v>8.4059067364445816</v>
      </c>
      <c r="M90" s="21">
        <f t="shared" si="160"/>
        <v>8.3833579556159368</v>
      </c>
      <c r="N90" s="53">
        <f t="shared" ref="N90" si="161">AVERAGE(J88:N88)</f>
        <v>8.8008267451716051</v>
      </c>
      <c r="O90" s="54">
        <f t="shared" ref="O90" si="162">AVERAGE(K88:O88)</f>
        <v>8.7019042022955091</v>
      </c>
      <c r="P90" s="54">
        <f t="shared" ref="P90" si="163">AVERAGE(L88:P88)</f>
        <v>8.3909961839467222</v>
      </c>
      <c r="Q90" s="54">
        <f t="shared" ref="Q90" si="164">AVERAGE(M88:Q88)</f>
        <v>7.5481868193982296</v>
      </c>
      <c r="R90" s="54">
        <f t="shared" ref="R90" si="165">AVERAGE(N88:R88)</f>
        <v>7.1555665426868753</v>
      </c>
      <c r="S90" s="54">
        <f t="shared" ref="S90" si="166">AVERAGE(O88:S88)</f>
        <v>6.4527793969467098</v>
      </c>
      <c r="T90" s="54">
        <f t="shared" ref="T90" si="167">AVERAGE(P88:T88)</f>
        <v>5.9116161513173555</v>
      </c>
      <c r="U90" s="54">
        <f t="shared" ref="U90" si="168">AVERAGE(Q88:U88)</f>
        <v>5.5018129204089314</v>
      </c>
      <c r="V90" s="54">
        <f t="shared" ref="V90" si="169">AVERAGE(R88:V88)</f>
        <v>5.1005367771973038</v>
      </c>
    </row>
    <row r="91" spans="1:22">
      <c r="N91" s="55"/>
      <c r="O91" s="56"/>
      <c r="P91" s="56"/>
      <c r="Q91" s="56"/>
      <c r="R91" s="56"/>
      <c r="S91" s="56"/>
      <c r="T91" s="56"/>
    </row>
    <row r="92" spans="1:22">
      <c r="B92" s="2" t="s">
        <v>38</v>
      </c>
      <c r="N92" s="55"/>
      <c r="O92" s="56"/>
      <c r="P92" s="56"/>
      <c r="Q92" s="56"/>
      <c r="R92" s="56"/>
      <c r="S92" s="56"/>
      <c r="T92" s="56"/>
    </row>
    <row r="93" spans="1:22">
      <c r="A93" s="25">
        <v>7</v>
      </c>
      <c r="B93" s="1" t="s">
        <v>34</v>
      </c>
      <c r="E93" s="21">
        <f t="shared" ref="E93:M93" si="170">(E45+E50)/E53%</f>
        <v>21.294135946492453</v>
      </c>
      <c r="F93" s="21">
        <f t="shared" si="170"/>
        <v>21.771510061796864</v>
      </c>
      <c r="G93" s="21">
        <f t="shared" si="170"/>
        <v>23.092539333446119</v>
      </c>
      <c r="H93" s="21">
        <f t="shared" si="170"/>
        <v>23.200822481151473</v>
      </c>
      <c r="I93" s="21">
        <f t="shared" si="170"/>
        <v>23.236375794048811</v>
      </c>
      <c r="J93" s="21">
        <f t="shared" si="170"/>
        <v>21.938599517074856</v>
      </c>
      <c r="K93" s="21">
        <f t="shared" si="170"/>
        <v>21.026011560693643</v>
      </c>
      <c r="L93" s="21">
        <f t="shared" si="170"/>
        <v>21.467336683417084</v>
      </c>
      <c r="M93" s="21">
        <f t="shared" si="170"/>
        <v>18.888888888888889</v>
      </c>
      <c r="N93" s="53">
        <f t="shared" ref="N93:V93" si="171">(N45+N50)/N53%</f>
        <v>19.636363636363637</v>
      </c>
      <c r="O93" s="54">
        <f t="shared" si="171"/>
        <v>19.191359734145667</v>
      </c>
      <c r="P93" s="54">
        <f t="shared" si="171"/>
        <v>18.607442977190875</v>
      </c>
      <c r="Q93" s="54">
        <f t="shared" si="171"/>
        <v>18.268284683502788</v>
      </c>
      <c r="R93" s="54">
        <f t="shared" si="171"/>
        <v>18.097207859358839</v>
      </c>
      <c r="S93" s="54">
        <f t="shared" si="171"/>
        <v>17.852011494252874</v>
      </c>
      <c r="T93" s="54">
        <f t="shared" si="171"/>
        <v>17.616387337057727</v>
      </c>
      <c r="U93" s="54">
        <f t="shared" si="171"/>
        <v>17.518248175182482</v>
      </c>
      <c r="V93" s="54">
        <f t="shared" si="171"/>
        <v>17.389589905362776</v>
      </c>
    </row>
    <row r="94" spans="1:22">
      <c r="A94" s="25">
        <v>8</v>
      </c>
      <c r="B94" s="1" t="s">
        <v>28</v>
      </c>
      <c r="E94" s="21"/>
      <c r="F94" s="21"/>
      <c r="G94" s="21">
        <f>AVERAGE(E93:G93)</f>
        <v>22.052728447245148</v>
      </c>
      <c r="H94" s="21">
        <f>AVERAGE(F93:H93)</f>
        <v>22.68829062546482</v>
      </c>
      <c r="I94" s="21">
        <f t="shared" ref="I94:M94" si="172">AVERAGE(G93:I93)</f>
        <v>23.176579202882134</v>
      </c>
      <c r="J94" s="21">
        <f t="shared" si="172"/>
        <v>22.791932597425046</v>
      </c>
      <c r="K94" s="21">
        <f t="shared" si="172"/>
        <v>22.066995623939103</v>
      </c>
      <c r="L94" s="21">
        <f t="shared" si="172"/>
        <v>21.477315920395196</v>
      </c>
      <c r="M94" s="21">
        <f t="shared" si="172"/>
        <v>20.460745710999873</v>
      </c>
      <c r="N94" s="53">
        <f t="shared" ref="N94" si="173">AVERAGE(L93:N93)</f>
        <v>19.997529736223203</v>
      </c>
      <c r="O94" s="54">
        <f t="shared" ref="O94" si="174">AVERAGE(M93:O93)</f>
        <v>19.23887075313273</v>
      </c>
      <c r="P94" s="54">
        <f t="shared" ref="P94" si="175">AVERAGE(N93:P93)</f>
        <v>19.145055449233393</v>
      </c>
      <c r="Q94" s="54">
        <f t="shared" ref="Q94" si="176">AVERAGE(O93:Q93)</f>
        <v>18.689029131613111</v>
      </c>
      <c r="R94" s="54">
        <f t="shared" ref="R94" si="177">AVERAGE(P93:R93)</f>
        <v>18.324311840017501</v>
      </c>
      <c r="S94" s="54">
        <f t="shared" ref="S94" si="178">AVERAGE(Q93:S93)</f>
        <v>18.072501345704836</v>
      </c>
      <c r="T94" s="54">
        <f t="shared" ref="T94" si="179">AVERAGE(R93:T93)</f>
        <v>17.855202230223146</v>
      </c>
      <c r="U94" s="54">
        <f t="shared" ref="U94" si="180">AVERAGE(S93:U93)</f>
        <v>17.662215668831028</v>
      </c>
      <c r="V94" s="54">
        <f t="shared" ref="V94" si="181">AVERAGE(T93:V93)</f>
        <v>17.508075139200994</v>
      </c>
    </row>
    <row r="95" spans="1:22">
      <c r="A95" s="25">
        <v>9</v>
      </c>
      <c r="B95" s="1" t="s">
        <v>29</v>
      </c>
      <c r="E95" s="21"/>
      <c r="F95" s="21"/>
      <c r="G95" s="21"/>
      <c r="H95" s="21"/>
      <c r="I95" s="21">
        <f>AVERAGE(E93:I93)</f>
        <v>22.519076723387148</v>
      </c>
      <c r="J95" s="21">
        <f>AVERAGE(F93:J93)</f>
        <v>22.647969437503626</v>
      </c>
      <c r="K95" s="21">
        <f t="shared" ref="K95:M95" si="182">AVERAGE(G93:K93)</f>
        <v>22.49886973728298</v>
      </c>
      <c r="L95" s="21">
        <f t="shared" si="182"/>
        <v>22.173829207277173</v>
      </c>
      <c r="M95" s="21">
        <f t="shared" si="182"/>
        <v>21.311442488824657</v>
      </c>
      <c r="N95" s="53">
        <f t="shared" ref="N95" si="183">AVERAGE(J93:N93)</f>
        <v>20.59144005728762</v>
      </c>
      <c r="O95" s="54">
        <f t="shared" ref="O95" si="184">AVERAGE(K93:O93)</f>
        <v>20.041992100701783</v>
      </c>
      <c r="P95" s="54">
        <f t="shared" ref="P95" si="185">AVERAGE(L93:P93)</f>
        <v>19.55827838400123</v>
      </c>
      <c r="Q95" s="54">
        <f t="shared" ref="Q95" si="186">AVERAGE(M93:Q93)</f>
        <v>18.91846798401837</v>
      </c>
      <c r="R95" s="54">
        <f t="shared" ref="R95" si="187">AVERAGE(N93:R93)</f>
        <v>18.76013177811236</v>
      </c>
      <c r="S95" s="54">
        <f t="shared" ref="S95" si="188">AVERAGE(O93:S93)</f>
        <v>18.403261349690212</v>
      </c>
      <c r="T95" s="54">
        <f t="shared" ref="T95" si="189">AVERAGE(P93:T93)</f>
        <v>18.088266870272623</v>
      </c>
      <c r="U95" s="54">
        <f t="shared" ref="U95" si="190">AVERAGE(Q93:U93)</f>
        <v>17.870427909870944</v>
      </c>
      <c r="V95" s="54">
        <f t="shared" ref="V95" si="191">AVERAGE(R93:V93)</f>
        <v>17.694688954242942</v>
      </c>
    </row>
    <row r="96" spans="1:22">
      <c r="N96" s="55"/>
      <c r="O96" s="56"/>
      <c r="P96" s="56"/>
      <c r="Q96" s="56"/>
      <c r="R96" s="56"/>
      <c r="S96" s="56"/>
      <c r="T96" s="56"/>
    </row>
    <row r="97" spans="1:22">
      <c r="B97" s="24" t="s">
        <v>50</v>
      </c>
      <c r="C97" s="22" t="str">
        <f>'Civilian sector'!C96</f>
        <v>PROPORTION OF SMEAR-POSITIVE CASES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57"/>
      <c r="O97" s="58"/>
      <c r="P97" s="58"/>
      <c r="Q97" s="58"/>
      <c r="R97" s="58"/>
      <c r="S97" s="58"/>
      <c r="T97" s="58"/>
      <c r="U97" s="58"/>
      <c r="V97" s="58"/>
    </row>
    <row r="98" spans="1:22">
      <c r="N98" s="55"/>
      <c r="O98" s="56"/>
      <c r="P98" s="56"/>
      <c r="Q98" s="56"/>
      <c r="R98" s="56"/>
      <c r="S98" s="56"/>
      <c r="T98" s="56"/>
    </row>
    <row r="99" spans="1:22">
      <c r="B99" s="2" t="s">
        <v>39</v>
      </c>
      <c r="E99" s="21"/>
      <c r="F99" s="21"/>
      <c r="G99" s="21"/>
      <c r="H99" s="21"/>
      <c r="I99" s="21"/>
      <c r="J99" s="21"/>
      <c r="K99" s="21"/>
      <c r="L99" s="21"/>
      <c r="M99" s="21"/>
      <c r="N99" s="55"/>
      <c r="O99" s="56"/>
      <c r="P99" s="56"/>
      <c r="Q99" s="56"/>
      <c r="R99" s="56"/>
      <c r="S99" s="56"/>
      <c r="T99" s="56"/>
    </row>
    <row r="100" spans="1:22">
      <c r="A100" s="25">
        <v>1</v>
      </c>
      <c r="B100" s="1" t="s">
        <v>34</v>
      </c>
      <c r="E100" s="21">
        <f>E43/(E43+E44)%</f>
        <v>49.832663989290495</v>
      </c>
      <c r="F100" s="21">
        <f t="shared" ref="F100:M100" si="192">F43/(F43+F44)%</f>
        <v>59.861477572559366</v>
      </c>
      <c r="G100" s="21">
        <f t="shared" si="192"/>
        <v>65.888181174805382</v>
      </c>
      <c r="H100" s="21">
        <f t="shared" si="192"/>
        <v>63.732514500170595</v>
      </c>
      <c r="I100" s="21">
        <f t="shared" si="192"/>
        <v>64.755905511811022</v>
      </c>
      <c r="J100" s="21">
        <f t="shared" si="192"/>
        <v>66.284829721362229</v>
      </c>
      <c r="K100" s="21">
        <f t="shared" si="192"/>
        <v>64.00630914826499</v>
      </c>
      <c r="L100" s="21">
        <f t="shared" si="192"/>
        <v>58.165784832451493</v>
      </c>
      <c r="M100" s="21">
        <f t="shared" si="192"/>
        <v>55.30679933665008</v>
      </c>
      <c r="N100" s="53">
        <f t="shared" ref="N100:S100" si="193">N43/(N43+N44)%</f>
        <v>53.215284249767009</v>
      </c>
      <c r="O100" s="54">
        <f t="shared" si="193"/>
        <v>44.366899302093721</v>
      </c>
      <c r="P100" s="54">
        <f t="shared" si="193"/>
        <v>43.930635838150287</v>
      </c>
      <c r="Q100" s="54">
        <f t="shared" si="193"/>
        <v>43.18181818181818</v>
      </c>
      <c r="R100" s="54">
        <f t="shared" si="193"/>
        <v>43.25775656324582</v>
      </c>
      <c r="S100" s="54">
        <f t="shared" si="193"/>
        <v>42.245657568238208</v>
      </c>
      <c r="T100" s="54">
        <f>T43/(T43+T44)%</f>
        <v>40.372272143774069</v>
      </c>
      <c r="U100" s="54">
        <f t="shared" ref="U100:V100" si="194">U43/(U43+U44)%</f>
        <v>40.331125827814567</v>
      </c>
      <c r="V100" s="54">
        <f t="shared" si="194"/>
        <v>40.380693405846358</v>
      </c>
    </row>
    <row r="101" spans="1:22">
      <c r="A101" s="25">
        <v>2</v>
      </c>
      <c r="B101" s="1" t="s">
        <v>28</v>
      </c>
      <c r="E101" s="21"/>
      <c r="F101" s="21"/>
      <c r="G101" s="21">
        <f>AVERAGE(E100:G100)</f>
        <v>58.527440912218417</v>
      </c>
      <c r="H101" s="21">
        <f>AVERAGE(F100:H100)</f>
        <v>63.160724415845117</v>
      </c>
      <c r="I101" s="21">
        <f t="shared" ref="I101:M101" si="195">AVERAGE(G100:I100)</f>
        <v>64.792200395595671</v>
      </c>
      <c r="J101" s="21">
        <f t="shared" si="195"/>
        <v>64.924416577781287</v>
      </c>
      <c r="K101" s="21">
        <f t="shared" si="195"/>
        <v>65.015681460479414</v>
      </c>
      <c r="L101" s="21">
        <f t="shared" si="195"/>
        <v>62.818974567359568</v>
      </c>
      <c r="M101" s="21">
        <f t="shared" si="195"/>
        <v>59.159631105788854</v>
      </c>
      <c r="N101" s="53">
        <f t="shared" ref="N101" si="196">AVERAGE(L100:N100)</f>
        <v>55.562622806289518</v>
      </c>
      <c r="O101" s="54">
        <f t="shared" ref="O101" si="197">AVERAGE(M100:O100)</f>
        <v>50.962994296170272</v>
      </c>
      <c r="P101" s="54">
        <f t="shared" ref="P101" si="198">AVERAGE(N100:P100)</f>
        <v>47.170939796670346</v>
      </c>
      <c r="Q101" s="54">
        <f t="shared" ref="Q101" si="199">AVERAGE(O100:Q100)</f>
        <v>43.826451107354067</v>
      </c>
      <c r="R101" s="54">
        <f t="shared" ref="R101" si="200">AVERAGE(P100:R100)</f>
        <v>43.456736861071427</v>
      </c>
      <c r="S101" s="54">
        <f t="shared" ref="S101" si="201">AVERAGE(Q100:S100)</f>
        <v>42.895077437767405</v>
      </c>
      <c r="T101" s="54">
        <f>AVERAGE(R100:T100)</f>
        <v>41.958562091752697</v>
      </c>
      <c r="U101" s="54">
        <f t="shared" ref="U101:V101" si="202">AVERAGE(S100:U100)</f>
        <v>40.983018513275617</v>
      </c>
      <c r="V101" s="54">
        <f t="shared" si="202"/>
        <v>40.361363792478329</v>
      </c>
    </row>
    <row r="102" spans="1:22">
      <c r="A102" s="25">
        <v>3</v>
      </c>
      <c r="B102" s="1" t="s">
        <v>29</v>
      </c>
      <c r="E102" s="21"/>
      <c r="F102" s="21"/>
      <c r="G102" s="21"/>
      <c r="H102" s="21"/>
      <c r="I102" s="21">
        <f>AVERAGE(E100:I100)</f>
        <v>60.814148549727371</v>
      </c>
      <c r="J102" s="21">
        <f>AVERAGE(F100:J100)</f>
        <v>64.104581696141707</v>
      </c>
      <c r="K102" s="21">
        <f t="shared" ref="K102:M102" si="203">AVERAGE(G100:K100)</f>
        <v>64.933548011282852</v>
      </c>
      <c r="L102" s="21">
        <f t="shared" si="203"/>
        <v>63.389068742812071</v>
      </c>
      <c r="M102" s="21">
        <f t="shared" si="203"/>
        <v>61.703925710107967</v>
      </c>
      <c r="N102" s="53">
        <f t="shared" ref="N102" si="204">AVERAGE(J100:N100)</f>
        <v>59.395801457699157</v>
      </c>
      <c r="O102" s="54">
        <f t="shared" ref="O102" si="205">AVERAGE(K100:O100)</f>
        <v>55.012215373845457</v>
      </c>
      <c r="P102" s="54">
        <f t="shared" ref="P102" si="206">AVERAGE(L100:P100)</f>
        <v>50.997080711822512</v>
      </c>
      <c r="Q102" s="54">
        <f t="shared" ref="Q102" si="207">AVERAGE(M100:Q100)</f>
        <v>48.000287381695856</v>
      </c>
      <c r="R102" s="54">
        <f t="shared" ref="R102" si="208">AVERAGE(N100:R100)</f>
        <v>45.590478827015012</v>
      </c>
      <c r="S102" s="54">
        <f t="shared" ref="S102" si="209">AVERAGE(O100:S100)</f>
        <v>43.396553490709252</v>
      </c>
      <c r="T102" s="54">
        <f>AVERAGE(P100:T100)</f>
        <v>42.597628059045313</v>
      </c>
      <c r="U102" s="54">
        <f t="shared" ref="U102:V102" si="210">AVERAGE(Q100:U100)</f>
        <v>41.877726056978169</v>
      </c>
      <c r="V102" s="54">
        <f t="shared" si="210"/>
        <v>41.317501101783805</v>
      </c>
    </row>
    <row r="103" spans="1:22">
      <c r="N103" s="55"/>
      <c r="O103" s="56"/>
      <c r="P103" s="56"/>
      <c r="Q103" s="56"/>
      <c r="R103" s="56"/>
      <c r="S103" s="56"/>
      <c r="T103" s="56"/>
    </row>
    <row r="104" spans="1:22">
      <c r="B104" s="2" t="s">
        <v>61</v>
      </c>
      <c r="E104" s="21"/>
      <c r="F104" s="21"/>
      <c r="G104" s="21"/>
      <c r="H104" s="21"/>
      <c r="I104" s="21"/>
      <c r="J104" s="21"/>
      <c r="K104" s="21"/>
      <c r="L104" s="21"/>
      <c r="M104" s="21"/>
      <c r="N104" s="55"/>
      <c r="O104" s="56"/>
      <c r="P104" s="56"/>
      <c r="Q104" s="56"/>
      <c r="R104" s="56"/>
      <c r="S104" s="56"/>
      <c r="T104" s="56"/>
    </row>
    <row r="105" spans="1:22">
      <c r="A105" s="25">
        <v>4</v>
      </c>
      <c r="B105" s="1" t="s">
        <v>34</v>
      </c>
      <c r="E105" s="21">
        <f>E48/(E48+E49)%</f>
        <v>53.08880308880309</v>
      </c>
      <c r="F105" s="21">
        <f t="shared" ref="F105:M105" si="211">F48/(F48+F49)%</f>
        <v>61.469816272965879</v>
      </c>
      <c r="G105" s="21">
        <f t="shared" si="211"/>
        <v>66.04651162790698</v>
      </c>
      <c r="H105" s="21">
        <f t="shared" si="211"/>
        <v>63.313990973565446</v>
      </c>
      <c r="I105" s="21">
        <f t="shared" si="211"/>
        <v>59.844742413549753</v>
      </c>
      <c r="J105" s="21">
        <f t="shared" si="211"/>
        <v>58.873456790123456</v>
      </c>
      <c r="K105" s="21">
        <f t="shared" si="211"/>
        <v>63.643926788685526</v>
      </c>
      <c r="L105" s="21">
        <f t="shared" si="211"/>
        <v>58.861940298507456</v>
      </c>
      <c r="M105" s="21">
        <f t="shared" si="211"/>
        <v>53.021978021978022</v>
      </c>
      <c r="N105" s="53">
        <f t="shared" ref="N105:V105" si="212">N48/(N48+N49)%</f>
        <v>50</v>
      </c>
      <c r="O105" s="54">
        <f t="shared" si="212"/>
        <v>44.736842105263165</v>
      </c>
      <c r="P105" s="54">
        <f t="shared" si="212"/>
        <v>45.117428924598272</v>
      </c>
      <c r="Q105" s="54">
        <f t="shared" si="212"/>
        <v>44.398907103825138</v>
      </c>
      <c r="R105" s="54">
        <f t="shared" si="212"/>
        <v>44.428571428571431</v>
      </c>
      <c r="S105" s="54">
        <f t="shared" si="212"/>
        <v>44.592592592592595</v>
      </c>
      <c r="T105" s="54">
        <f t="shared" si="212"/>
        <v>44.648318042813457</v>
      </c>
      <c r="U105" s="54">
        <f t="shared" si="212"/>
        <v>44.583987441130297</v>
      </c>
      <c r="V105" s="54">
        <f t="shared" si="212"/>
        <v>44.71153846153846</v>
      </c>
    </row>
    <row r="106" spans="1:22">
      <c r="A106" s="25">
        <v>5</v>
      </c>
      <c r="B106" s="1" t="s">
        <v>28</v>
      </c>
      <c r="E106" s="21"/>
      <c r="F106" s="21"/>
      <c r="G106" s="21">
        <f>AVERAGE(E105:G105)</f>
        <v>60.201710329891988</v>
      </c>
      <c r="H106" s="21">
        <f>AVERAGE(F105:H105)</f>
        <v>63.610106291479433</v>
      </c>
      <c r="I106" s="21">
        <f t="shared" ref="I106:M106" si="213">AVERAGE(G105:I105)</f>
        <v>63.068415005007388</v>
      </c>
      <c r="J106" s="21">
        <f t="shared" si="213"/>
        <v>60.677396725746213</v>
      </c>
      <c r="K106" s="21">
        <f t="shared" si="213"/>
        <v>60.78737533078624</v>
      </c>
      <c r="L106" s="21">
        <f t="shared" si="213"/>
        <v>60.459774625772148</v>
      </c>
      <c r="M106" s="21">
        <f t="shared" si="213"/>
        <v>58.509281703057006</v>
      </c>
      <c r="N106" s="53">
        <f t="shared" ref="N106" si="214">AVERAGE(L105:N105)</f>
        <v>53.961306106828488</v>
      </c>
      <c r="O106" s="54">
        <f t="shared" ref="O106" si="215">AVERAGE(M105:O105)</f>
        <v>49.252940042413719</v>
      </c>
      <c r="P106" s="54">
        <f t="shared" ref="P106" si="216">AVERAGE(N105:P105)</f>
        <v>46.618090343287143</v>
      </c>
      <c r="Q106" s="54">
        <f t="shared" ref="Q106" si="217">AVERAGE(O105:Q105)</f>
        <v>44.751059377895523</v>
      </c>
      <c r="R106" s="54">
        <f t="shared" ref="R106" si="218">AVERAGE(P105:R105)</f>
        <v>44.648302485664942</v>
      </c>
      <c r="S106" s="54">
        <f t="shared" ref="S106" si="219">AVERAGE(Q105:S105)</f>
        <v>44.473357041663057</v>
      </c>
      <c r="T106" s="54">
        <f t="shared" ref="T106" si="220">AVERAGE(R105:T105)</f>
        <v>44.556494021325825</v>
      </c>
      <c r="U106" s="54">
        <f t="shared" ref="U106" si="221">AVERAGE(S105:U105)</f>
        <v>44.60829935884545</v>
      </c>
      <c r="V106" s="54">
        <f t="shared" ref="V106" si="222">AVERAGE(T105:V105)</f>
        <v>44.6479479818274</v>
      </c>
    </row>
    <row r="107" spans="1:22">
      <c r="A107" s="25">
        <v>6</v>
      </c>
      <c r="B107" s="1" t="s">
        <v>29</v>
      </c>
      <c r="E107" s="21"/>
      <c r="F107" s="21"/>
      <c r="G107" s="21"/>
      <c r="H107" s="21"/>
      <c r="I107" s="21">
        <f>AVERAGE(E105:I105)</f>
        <v>60.752772875358232</v>
      </c>
      <c r="J107" s="21">
        <f>AVERAGE(F105:J105)</f>
        <v>61.909703615622298</v>
      </c>
      <c r="K107" s="21">
        <f t="shared" ref="K107:M107" si="223">AVERAGE(G105:K105)</f>
        <v>62.344525718766228</v>
      </c>
      <c r="L107" s="21">
        <f t="shared" si="223"/>
        <v>60.907611452886329</v>
      </c>
      <c r="M107" s="21">
        <f t="shared" si="223"/>
        <v>58.849208862568844</v>
      </c>
      <c r="N107" s="53">
        <f t="shared" ref="N107" si="224">AVERAGE(J105:N105)</f>
        <v>56.880260379858896</v>
      </c>
      <c r="O107" s="54">
        <f t="shared" ref="O107" si="225">AVERAGE(K105:O105)</f>
        <v>54.052937442886829</v>
      </c>
      <c r="P107" s="54">
        <f t="shared" ref="P107" si="226">AVERAGE(L105:P105)</f>
        <v>50.347637870069384</v>
      </c>
      <c r="Q107" s="54">
        <f t="shared" ref="Q107" si="227">AVERAGE(M105:Q105)</f>
        <v>47.455031231132914</v>
      </c>
      <c r="R107" s="54">
        <f t="shared" ref="R107" si="228">AVERAGE(N105:R105)</f>
        <v>45.736349912451601</v>
      </c>
      <c r="S107" s="54">
        <f t="shared" ref="S107" si="229">AVERAGE(O105:S105)</f>
        <v>44.654868430970126</v>
      </c>
      <c r="T107" s="54">
        <f t="shared" ref="T107" si="230">AVERAGE(P105:T105)</f>
        <v>44.63716361848018</v>
      </c>
      <c r="U107" s="54">
        <f t="shared" ref="U107" si="231">AVERAGE(Q105:U105)</f>
        <v>44.530475321786582</v>
      </c>
      <c r="V107" s="54">
        <f t="shared" ref="V107" si="232">AVERAGE(R105:V105)</f>
        <v>44.593001593329248</v>
      </c>
    </row>
    <row r="108" spans="1:22">
      <c r="N108" s="55"/>
      <c r="O108" s="56"/>
      <c r="P108" s="56"/>
      <c r="Q108" s="56"/>
      <c r="R108" s="56"/>
      <c r="S108" s="56"/>
      <c r="T108" s="56"/>
    </row>
    <row r="109" spans="1:22">
      <c r="B109" s="2" t="s">
        <v>40</v>
      </c>
      <c r="E109" s="21"/>
      <c r="F109" s="21"/>
      <c r="G109" s="21"/>
      <c r="H109" s="21"/>
      <c r="I109" s="21"/>
      <c r="J109" s="21"/>
      <c r="K109" s="21"/>
      <c r="L109" s="21"/>
      <c r="M109" s="21"/>
      <c r="N109" s="55"/>
      <c r="O109" s="56"/>
      <c r="P109" s="56"/>
      <c r="Q109" s="56"/>
      <c r="R109" s="56"/>
      <c r="S109" s="56"/>
      <c r="T109" s="56"/>
    </row>
    <row r="110" spans="1:22">
      <c r="A110" s="25">
        <v>7</v>
      </c>
      <c r="B110" s="1" t="s">
        <v>34</v>
      </c>
      <c r="E110" s="21">
        <f>(E43+E48)/(E43+E44+E48+E49)%</f>
        <v>51.166007905138336</v>
      </c>
      <c r="F110" s="21">
        <f t="shared" ref="F110:M110" si="233">(F43+F48)/(F43+F44+F48+F49)%</f>
        <v>60.48207413408953</v>
      </c>
      <c r="G110" s="21">
        <f t="shared" si="233"/>
        <v>65.948086229652446</v>
      </c>
      <c r="H110" s="21">
        <f t="shared" si="233"/>
        <v>63.587684069611782</v>
      </c>
      <c r="I110" s="21">
        <f t="shared" si="233"/>
        <v>63.240418118466899</v>
      </c>
      <c r="J110" s="21">
        <f t="shared" si="233"/>
        <v>64.162615996464879</v>
      </c>
      <c r="K110" s="21">
        <f t="shared" si="233"/>
        <v>63.906678865507779</v>
      </c>
      <c r="L110" s="21">
        <f t="shared" si="233"/>
        <v>58.356795495264912</v>
      </c>
      <c r="M110" s="21">
        <f t="shared" si="233"/>
        <v>54.594748858447488</v>
      </c>
      <c r="N110" s="53">
        <f t="shared" ref="N110:V110" si="234">(N43+N48)/(N43+N44+N48+N49)%</f>
        <v>52.230122818358112</v>
      </c>
      <c r="O110" s="54">
        <f t="shared" si="234"/>
        <v>44.482522275531188</v>
      </c>
      <c r="P110" s="54">
        <f t="shared" si="234"/>
        <v>44.28466076696165</v>
      </c>
      <c r="Q110" s="54">
        <f t="shared" si="234"/>
        <v>43.539325842696627</v>
      </c>
      <c r="R110" s="54">
        <f t="shared" si="234"/>
        <v>43.602693602693599</v>
      </c>
      <c r="S110" s="54">
        <f t="shared" si="234"/>
        <v>42.938347179711414</v>
      </c>
      <c r="T110" s="54">
        <f t="shared" si="234"/>
        <v>41.636528028933093</v>
      </c>
      <c r="U110" s="54">
        <f t="shared" si="234"/>
        <v>41.592920353982301</v>
      </c>
      <c r="V110" s="54">
        <f t="shared" si="234"/>
        <v>41.670644391408118</v>
      </c>
    </row>
    <row r="111" spans="1:22">
      <c r="A111" s="25">
        <v>8</v>
      </c>
      <c r="B111" s="1" t="s">
        <v>28</v>
      </c>
      <c r="E111" s="21"/>
      <c r="F111" s="21"/>
      <c r="G111" s="21">
        <f>AVERAGE(E110:G110)</f>
        <v>59.198722756293442</v>
      </c>
      <c r="H111" s="21">
        <f>AVERAGE(F110:H110)</f>
        <v>63.339281477784589</v>
      </c>
      <c r="I111" s="21">
        <f t="shared" ref="I111:M111" si="235">AVERAGE(G110:I110)</f>
        <v>64.258729472577045</v>
      </c>
      <c r="J111" s="21">
        <f t="shared" si="235"/>
        <v>63.66357272818118</v>
      </c>
      <c r="K111" s="21">
        <f t="shared" si="235"/>
        <v>63.76990432681319</v>
      </c>
      <c r="L111" s="21">
        <f t="shared" si="235"/>
        <v>62.142030119079188</v>
      </c>
      <c r="M111" s="21">
        <f t="shared" si="235"/>
        <v>58.952741073073391</v>
      </c>
      <c r="N111" s="53">
        <f t="shared" ref="N111" si="236">AVERAGE(L110:N110)</f>
        <v>55.060555724023494</v>
      </c>
      <c r="O111" s="54">
        <f t="shared" ref="O111" si="237">AVERAGE(M110:O110)</f>
        <v>50.435797984112263</v>
      </c>
      <c r="P111" s="54">
        <f t="shared" ref="P111" si="238">AVERAGE(N110:P110)</f>
        <v>46.999101953616986</v>
      </c>
      <c r="Q111" s="54">
        <f t="shared" ref="Q111" si="239">AVERAGE(O110:Q110)</f>
        <v>44.102169628396489</v>
      </c>
      <c r="R111" s="54">
        <f t="shared" ref="R111" si="240">AVERAGE(P110:R110)</f>
        <v>43.808893404117292</v>
      </c>
      <c r="S111" s="54">
        <f t="shared" ref="S111" si="241">AVERAGE(Q110:S110)</f>
        <v>43.360122208367216</v>
      </c>
      <c r="T111" s="54">
        <f t="shared" ref="T111" si="242">AVERAGE(R110:T110)</f>
        <v>42.725856270446037</v>
      </c>
      <c r="U111" s="54">
        <f t="shared" ref="U111" si="243">AVERAGE(S110:U110)</f>
        <v>42.055931854208929</v>
      </c>
      <c r="V111" s="54">
        <f t="shared" ref="V111" si="244">AVERAGE(T110:V110)</f>
        <v>41.633364258107839</v>
      </c>
    </row>
    <row r="112" spans="1:22">
      <c r="A112" s="25">
        <v>9</v>
      </c>
      <c r="B112" s="1" t="s">
        <v>29</v>
      </c>
      <c r="E112" s="21"/>
      <c r="F112" s="21"/>
      <c r="G112" s="21"/>
      <c r="H112" s="21"/>
      <c r="I112" s="21">
        <f>AVERAGE(E110:I110)</f>
        <v>60.884854091391801</v>
      </c>
      <c r="J112" s="21">
        <f>AVERAGE(F110:J110)</f>
        <v>63.484175709657109</v>
      </c>
      <c r="K112" s="21">
        <f t="shared" ref="K112:M112" si="245">AVERAGE(G110:K110)</f>
        <v>64.169096655940763</v>
      </c>
      <c r="L112" s="21">
        <f t="shared" si="245"/>
        <v>62.650838509063249</v>
      </c>
      <c r="M112" s="21">
        <f t="shared" si="245"/>
        <v>60.852251466830396</v>
      </c>
      <c r="N112" s="53">
        <f t="shared" ref="N112" si="246">AVERAGE(J110:N110)</f>
        <v>58.650192406808628</v>
      </c>
      <c r="O112" s="54">
        <f t="shared" ref="O112" si="247">AVERAGE(K110:O110)</f>
        <v>54.714173662621896</v>
      </c>
      <c r="P112" s="54">
        <f t="shared" ref="P112" si="248">AVERAGE(L110:P110)</f>
        <v>50.789770042912664</v>
      </c>
      <c r="Q112" s="54">
        <f t="shared" ref="Q112" si="249">AVERAGE(M110:Q110)</f>
        <v>47.826276112399015</v>
      </c>
      <c r="R112" s="54">
        <f t="shared" ref="R112" si="250">AVERAGE(N110:R110)</f>
        <v>45.627865061248237</v>
      </c>
      <c r="S112" s="54">
        <f t="shared" ref="S112" si="251">AVERAGE(O110:S110)</f>
        <v>43.769509933518897</v>
      </c>
      <c r="T112" s="54">
        <f t="shared" ref="T112" si="252">AVERAGE(P110:T110)</f>
        <v>43.200311084199271</v>
      </c>
      <c r="U112" s="54">
        <f t="shared" ref="U112" si="253">AVERAGE(Q110:U110)</f>
        <v>42.661963001603411</v>
      </c>
      <c r="V112" s="54">
        <f t="shared" ref="V112" si="254">AVERAGE(R110:V110)</f>
        <v>42.2882267113457</v>
      </c>
    </row>
    <row r="114" spans="1:22">
      <c r="B114" s="24" t="s">
        <v>156</v>
      </c>
      <c r="C114" s="22" t="s">
        <v>157</v>
      </c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57"/>
      <c r="O114" s="58"/>
      <c r="P114" s="58"/>
      <c r="Q114" s="58"/>
      <c r="R114" s="58"/>
      <c r="S114" s="58"/>
      <c r="T114" s="58"/>
      <c r="U114" s="58"/>
      <c r="V114" s="58"/>
    </row>
    <row r="115" spans="1:22">
      <c r="N115" s="55"/>
      <c r="O115" s="56"/>
      <c r="P115" s="56"/>
      <c r="Q115" s="56"/>
      <c r="R115" s="56"/>
      <c r="S115" s="56"/>
      <c r="T115" s="56"/>
    </row>
    <row r="116" spans="1:22">
      <c r="A116" s="25">
        <v>1</v>
      </c>
      <c r="B116" s="1" t="s">
        <v>164</v>
      </c>
      <c r="E116" s="59">
        <f>Population!C6</f>
        <v>4361.3999999999996</v>
      </c>
      <c r="F116" s="59">
        <f>Population!D6</f>
        <v>4398</v>
      </c>
      <c r="G116" s="59">
        <f>Population!E6</f>
        <v>4388.4000000000005</v>
      </c>
      <c r="H116" s="59">
        <f>Population!F6</f>
        <v>4383.8</v>
      </c>
      <c r="I116" s="59">
        <f>Population!G6</f>
        <v>4410.8999999999996</v>
      </c>
      <c r="J116" s="59">
        <f>Population!H6</f>
        <v>4452.8</v>
      </c>
      <c r="K116" s="59">
        <f>Population!I6</f>
        <v>4483.3499999999995</v>
      </c>
      <c r="L116" s="59">
        <f>Population!J6</f>
        <v>4490.7</v>
      </c>
      <c r="M116" s="59">
        <f>Population!K6</f>
        <v>4487.2</v>
      </c>
      <c r="N116" s="53">
        <f>Population!L6</f>
        <v>4362.8</v>
      </c>
      <c r="O116" s="54">
        <f>Population!M6</f>
        <v>3776.0240000000003</v>
      </c>
      <c r="P116" s="54">
        <f>3702.4</f>
        <v>3702.4</v>
      </c>
      <c r="Q116" s="54">
        <f>P116</f>
        <v>3702.4</v>
      </c>
      <c r="R116" s="54">
        <f t="shared" ref="R116" si="255">ROUND(Q116+Q116*(R117/100),1)</f>
        <v>3704.1</v>
      </c>
      <c r="S116" s="54">
        <f t="shared" ref="S116" si="256">ROUND(R116+R116*(S117/100),1)</f>
        <v>3703.7</v>
      </c>
      <c r="T116" s="54">
        <f t="shared" ref="T116" si="257">ROUND(S116+S116*(T117/100),1)</f>
        <v>3701.8</v>
      </c>
      <c r="U116" s="54">
        <f t="shared" ref="U116" si="258">ROUND(T116+T116*(U117/100),1)</f>
        <v>3699</v>
      </c>
      <c r="V116" s="54">
        <f t="shared" ref="V116" si="259">ROUND(U116+U116*(V117/100),1)</f>
        <v>3695.1</v>
      </c>
    </row>
    <row r="117" spans="1:22">
      <c r="A117" s="25">
        <v>2</v>
      </c>
      <c r="B117" s="1" t="s">
        <v>165</v>
      </c>
      <c r="E117" s="59"/>
      <c r="F117" s="60">
        <f>F116/E116%-100</f>
        <v>0.83918007979089282</v>
      </c>
      <c r="G117" s="60">
        <f t="shared" ref="G117:M117" si="260">G116/F116%-100</f>
        <v>-0.21828103683490951</v>
      </c>
      <c r="H117" s="60">
        <f t="shared" si="260"/>
        <v>-0.10482180293502097</v>
      </c>
      <c r="I117" s="60">
        <f t="shared" si="260"/>
        <v>0.61818513618321447</v>
      </c>
      <c r="J117" s="60">
        <f t="shared" si="260"/>
        <v>0.94991951755879711</v>
      </c>
      <c r="K117" s="60">
        <f t="shared" si="260"/>
        <v>0.68608515989937757</v>
      </c>
      <c r="L117" s="60">
        <f t="shared" si="260"/>
        <v>0.16393991100406424</v>
      </c>
      <c r="M117" s="60">
        <f t="shared" si="260"/>
        <v>-7.7938851404013576E-2</v>
      </c>
      <c r="N117" s="84">
        <f>Population!I167</f>
        <v>0.22339956731508437</v>
      </c>
      <c r="O117" s="85">
        <f>Population!J167</f>
        <v>0.17800430950651958</v>
      </c>
      <c r="P117" s="85">
        <f>Population!K167</f>
        <v>0.11069904707962053</v>
      </c>
      <c r="Q117" s="85">
        <f>Population!L167</f>
        <v>4.5783876174041893E-2</v>
      </c>
      <c r="R117" s="85">
        <f>Population!L167</f>
        <v>4.5783876174041893E-2</v>
      </c>
      <c r="S117" s="85">
        <f>Population!M167</f>
        <v>-1.1643820933358029E-2</v>
      </c>
      <c r="T117" s="85">
        <f>Population!N167</f>
        <v>-5.0868660233689411E-2</v>
      </c>
      <c r="U117" s="85">
        <f>Population!O167</f>
        <v>-7.6386983730245106E-2</v>
      </c>
      <c r="V117" s="85">
        <f>Population!P167</f>
        <v>-0.10437517032427479</v>
      </c>
    </row>
    <row r="119" spans="1:22">
      <c r="B119" s="24" t="s">
        <v>223</v>
      </c>
      <c r="C119" s="22" t="s">
        <v>224</v>
      </c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57"/>
      <c r="O119" s="58"/>
      <c r="P119" s="58"/>
      <c r="Q119" s="58"/>
      <c r="R119" s="58"/>
      <c r="S119" s="58"/>
      <c r="T119" s="58"/>
      <c r="U119" s="58"/>
      <c r="V119" s="58"/>
    </row>
    <row r="120" spans="1:22">
      <c r="B120" s="2" t="s">
        <v>229</v>
      </c>
      <c r="N120" s="55"/>
      <c r="O120" s="56"/>
      <c r="P120" s="56"/>
      <c r="Q120" s="56"/>
      <c r="R120" s="56"/>
      <c r="S120" s="56"/>
      <c r="T120" s="56"/>
    </row>
    <row r="121" spans="1:22">
      <c r="A121" s="25">
        <v>1</v>
      </c>
      <c r="B121" s="1" t="s">
        <v>13</v>
      </c>
      <c r="E121" s="21">
        <f>E53*100/E116</f>
        <v>147.40679598294128</v>
      </c>
      <c r="F121" s="21">
        <f t="shared" ref="F121:V121" si="261">F53*100/F116</f>
        <v>143.49704411095954</v>
      </c>
      <c r="G121" s="21">
        <f t="shared" si="261"/>
        <v>134.69601677148844</v>
      </c>
      <c r="H121" s="21">
        <f t="shared" si="261"/>
        <v>133.12651124595101</v>
      </c>
      <c r="I121" s="21">
        <f t="shared" si="261"/>
        <v>135.61858124192344</v>
      </c>
      <c r="J121" s="21">
        <f t="shared" si="261"/>
        <v>130.2102048149479</v>
      </c>
      <c r="K121" s="21">
        <f t="shared" si="261"/>
        <v>123.47909487325327</v>
      </c>
      <c r="L121" s="21">
        <f t="shared" si="261"/>
        <v>110.78451020998953</v>
      </c>
      <c r="M121" s="21">
        <f t="shared" si="261"/>
        <v>96.273845605277231</v>
      </c>
      <c r="N121" s="53">
        <f t="shared" si="261"/>
        <v>88.246080498762254</v>
      </c>
      <c r="O121" s="54">
        <f t="shared" si="261"/>
        <v>95.629688794350869</v>
      </c>
      <c r="P121" s="54">
        <f>P53*100/P116</f>
        <v>89.995678478824544</v>
      </c>
      <c r="Q121" s="54">
        <f t="shared" si="261"/>
        <v>82.351987899740706</v>
      </c>
      <c r="R121" s="54">
        <f t="shared" si="261"/>
        <v>78.318619907669884</v>
      </c>
      <c r="S121" s="54">
        <f t="shared" si="261"/>
        <v>75.168075168075177</v>
      </c>
      <c r="T121" s="54">
        <f t="shared" si="261"/>
        <v>72.53228159273867</v>
      </c>
      <c r="U121" s="54">
        <f t="shared" si="261"/>
        <v>70.370370370370367</v>
      </c>
      <c r="V121" s="54">
        <f t="shared" si="261"/>
        <v>68.631430813780412</v>
      </c>
    </row>
    <row r="122" spans="1:22">
      <c r="A122" s="25">
        <v>2</v>
      </c>
      <c r="B122" s="1" t="s">
        <v>225</v>
      </c>
      <c r="E122" s="21">
        <f>E46*100/E116</f>
        <v>97.033062778007064</v>
      </c>
      <c r="F122" s="21">
        <f t="shared" ref="F122:V122" si="262">F46*100/F116</f>
        <v>97.407912687585267</v>
      </c>
      <c r="G122" s="21">
        <f t="shared" si="262"/>
        <v>92.584996809771198</v>
      </c>
      <c r="H122" s="21">
        <f t="shared" si="262"/>
        <v>94.621104977416849</v>
      </c>
      <c r="I122" s="21">
        <f t="shared" si="262"/>
        <v>101.06780929062097</v>
      </c>
      <c r="J122" s="21">
        <f t="shared" si="262"/>
        <v>98.477362558390226</v>
      </c>
      <c r="K122" s="21">
        <f t="shared" si="262"/>
        <v>94.259872639878679</v>
      </c>
      <c r="L122" s="21">
        <f t="shared" si="262"/>
        <v>84.151691273075471</v>
      </c>
      <c r="M122" s="21">
        <f t="shared" si="262"/>
        <v>69.820823676234625</v>
      </c>
      <c r="N122" s="53">
        <f t="shared" si="262"/>
        <v>64.33941505455212</v>
      </c>
      <c r="O122" s="54">
        <f t="shared" si="262"/>
        <v>69.438117978063687</v>
      </c>
      <c r="P122" s="54">
        <f t="shared" si="262"/>
        <v>66.578435609334491</v>
      </c>
      <c r="Q122" s="54">
        <f t="shared" si="262"/>
        <v>61.284572169403631</v>
      </c>
      <c r="R122" s="54">
        <f t="shared" si="262"/>
        <v>58.205771982397884</v>
      </c>
      <c r="S122" s="54">
        <f t="shared" si="262"/>
        <v>55.863055863055862</v>
      </c>
      <c r="T122" s="54">
        <f t="shared" si="262"/>
        <v>53.919714733372949</v>
      </c>
      <c r="U122" s="54">
        <f t="shared" si="262"/>
        <v>52.311435523114355</v>
      </c>
      <c r="V122" s="54">
        <f t="shared" si="262"/>
        <v>51.013504370653031</v>
      </c>
    </row>
    <row r="123" spans="1:22">
      <c r="A123" s="25">
        <v>3</v>
      </c>
      <c r="B123" s="1" t="s">
        <v>226</v>
      </c>
      <c r="E123" s="21">
        <f>E43*100/E116</f>
        <v>34.140413628651352</v>
      </c>
      <c r="F123" s="21">
        <f t="shared" ref="F123:V123" si="263">F43*100/F116</f>
        <v>41.268758526603001</v>
      </c>
      <c r="G123" s="21">
        <f t="shared" si="263"/>
        <v>42.430042840215108</v>
      </c>
      <c r="H123" s="21">
        <f t="shared" si="263"/>
        <v>42.61143300333044</v>
      </c>
      <c r="I123" s="21">
        <f t="shared" si="263"/>
        <v>46.611802579972348</v>
      </c>
      <c r="J123" s="21">
        <f t="shared" si="263"/>
        <v>48.082105641394179</v>
      </c>
      <c r="K123" s="21">
        <f t="shared" si="263"/>
        <v>45.25633733703593</v>
      </c>
      <c r="L123" s="21">
        <f t="shared" si="263"/>
        <v>36.720333132919144</v>
      </c>
      <c r="M123" s="21">
        <f t="shared" si="263"/>
        <v>29.729006953111071</v>
      </c>
      <c r="N123" s="53">
        <f t="shared" si="263"/>
        <v>26.175850371321168</v>
      </c>
      <c r="O123" s="54">
        <f t="shared" si="263"/>
        <v>23.569765446406059</v>
      </c>
      <c r="P123" s="54">
        <f t="shared" si="263"/>
        <v>22.579948141745895</v>
      </c>
      <c r="Q123" s="54">
        <f t="shared" si="263"/>
        <v>20.527225583405357</v>
      </c>
      <c r="R123" s="54">
        <f t="shared" si="263"/>
        <v>19.5729056990902</v>
      </c>
      <c r="S123" s="54">
        <f t="shared" si="263"/>
        <v>18.387018387018387</v>
      </c>
      <c r="T123" s="54">
        <f t="shared" si="263"/>
        <v>16.991733751148089</v>
      </c>
      <c r="U123" s="54">
        <f t="shared" si="263"/>
        <v>16.463909164639091</v>
      </c>
      <c r="V123" s="54">
        <f t="shared" si="263"/>
        <v>16.075343021839736</v>
      </c>
    </row>
    <row r="124" spans="1:22">
      <c r="E124" s="21"/>
      <c r="F124" s="21"/>
      <c r="G124" s="21"/>
      <c r="H124" s="21"/>
      <c r="I124" s="21"/>
      <c r="J124" s="21"/>
      <c r="K124" s="21"/>
      <c r="L124" s="21"/>
      <c r="M124" s="21"/>
      <c r="N124" s="86"/>
      <c r="O124" s="87"/>
      <c r="P124" s="87"/>
      <c r="Q124" s="87"/>
      <c r="R124" s="87"/>
      <c r="S124" s="87"/>
      <c r="T124" s="87"/>
    </row>
    <row r="125" spans="1:22">
      <c r="B125" s="2" t="s">
        <v>227</v>
      </c>
      <c r="E125" s="21"/>
      <c r="F125" s="21"/>
      <c r="G125" s="21"/>
      <c r="H125" s="21"/>
      <c r="I125" s="21"/>
      <c r="J125" s="21"/>
      <c r="K125" s="21"/>
      <c r="L125" s="21"/>
      <c r="M125" s="21"/>
      <c r="N125" s="86"/>
      <c r="O125" s="87"/>
      <c r="P125" s="87"/>
      <c r="Q125" s="87"/>
      <c r="R125" s="87"/>
      <c r="S125" s="87"/>
      <c r="T125" s="87"/>
    </row>
    <row r="126" spans="1:22">
      <c r="A126" s="25">
        <v>4</v>
      </c>
      <c r="B126" s="1" t="s">
        <v>13</v>
      </c>
      <c r="E126" s="21"/>
      <c r="F126" s="21"/>
      <c r="G126" s="21"/>
      <c r="H126" s="21"/>
      <c r="I126" s="21"/>
      <c r="J126" s="21"/>
      <c r="K126" s="21"/>
      <c r="L126" s="21"/>
      <c r="M126" s="21"/>
      <c r="N126" s="53">
        <f>N121/$M121%-100</f>
        <v>-8.3384693486004693</v>
      </c>
      <c r="O126" s="54">
        <f t="shared" ref="O126:T126" si="264">O121/$M121%-100</f>
        <v>-0.66908806527517584</v>
      </c>
      <c r="P126" s="54">
        <f t="shared" si="264"/>
        <v>-6.5211554467172448</v>
      </c>
      <c r="Q126" s="54">
        <f t="shared" si="264"/>
        <v>-14.460685161176741</v>
      </c>
      <c r="R126" s="54">
        <f t="shared" si="264"/>
        <v>-18.650159432940669</v>
      </c>
      <c r="S126" s="54">
        <f t="shared" si="264"/>
        <v>-21.922641922641915</v>
      </c>
      <c r="T126" s="54">
        <f t="shared" si="264"/>
        <v>-24.660450471542362</v>
      </c>
    </row>
    <row r="127" spans="1:22">
      <c r="A127" s="25">
        <v>5</v>
      </c>
      <c r="B127" s="1" t="s">
        <v>225</v>
      </c>
      <c r="E127" s="21"/>
      <c r="F127" s="21"/>
      <c r="G127" s="21"/>
      <c r="H127" s="21"/>
      <c r="I127" s="21"/>
      <c r="J127" s="21"/>
      <c r="K127" s="21"/>
      <c r="L127" s="21"/>
      <c r="M127" s="21"/>
      <c r="N127" s="53">
        <f>N122/$M122%-100</f>
        <v>-7.8506788277094586</v>
      </c>
      <c r="O127" s="54">
        <f t="shared" ref="O127:T127" si="265">O122/$M122%-100</f>
        <v>-0.54812544169570288</v>
      </c>
      <c r="P127" s="54">
        <f t="shared" si="265"/>
        <v>-4.6438696884118258</v>
      </c>
      <c r="Q127" s="54">
        <f t="shared" si="265"/>
        <v>-12.225939279110122</v>
      </c>
      <c r="R127" s="54">
        <f t="shared" si="265"/>
        <v>-16.635512275960494</v>
      </c>
      <c r="S127" s="54">
        <f t="shared" si="265"/>
        <v>-19.990838088508056</v>
      </c>
      <c r="T127" s="54">
        <f t="shared" si="265"/>
        <v>-22.774164075457676</v>
      </c>
    </row>
    <row r="128" spans="1:22">
      <c r="A128" s="25">
        <v>6</v>
      </c>
      <c r="B128" s="1" t="s">
        <v>226</v>
      </c>
      <c r="E128" s="21"/>
      <c r="F128" s="21"/>
      <c r="G128" s="21"/>
      <c r="H128" s="21"/>
      <c r="I128" s="21"/>
      <c r="J128" s="21"/>
      <c r="K128" s="21"/>
      <c r="L128" s="21"/>
      <c r="M128" s="21"/>
      <c r="N128" s="53">
        <f>N123/$M123%-100</f>
        <v>-11.951817251729878</v>
      </c>
      <c r="O128" s="54">
        <f t="shared" ref="O128:T128" si="266">O123/$M123%-100</f>
        <v>-20.717952390469804</v>
      </c>
      <c r="P128" s="54">
        <f t="shared" si="266"/>
        <v>-24.04741881436118</v>
      </c>
      <c r="Q128" s="54">
        <f t="shared" si="266"/>
        <v>-30.952198922146536</v>
      </c>
      <c r="R128" s="54">
        <f t="shared" si="266"/>
        <v>-34.162262029267211</v>
      </c>
      <c r="S128" s="54">
        <f t="shared" si="266"/>
        <v>-38.151252693981327</v>
      </c>
      <c r="T128" s="54">
        <f t="shared" si="266"/>
        <v>-42.844596935418508</v>
      </c>
    </row>
    <row r="129" spans="1:20">
      <c r="E129" s="21"/>
      <c r="F129" s="21"/>
      <c r="G129" s="21"/>
      <c r="H129" s="21"/>
      <c r="I129" s="21"/>
      <c r="J129" s="21"/>
      <c r="K129" s="21"/>
      <c r="L129" s="21"/>
      <c r="M129" s="21"/>
      <c r="N129" s="86"/>
      <c r="O129" s="87"/>
      <c r="P129" s="87"/>
      <c r="Q129" s="87"/>
      <c r="R129" s="87"/>
      <c r="S129" s="87"/>
      <c r="T129" s="87"/>
    </row>
    <row r="130" spans="1:20">
      <c r="B130" s="2" t="s">
        <v>228</v>
      </c>
      <c r="N130" s="88"/>
      <c r="O130" s="88"/>
      <c r="P130" s="88"/>
      <c r="Q130" s="88"/>
      <c r="R130" s="88"/>
      <c r="S130" s="88"/>
      <c r="T130" s="88"/>
    </row>
    <row r="131" spans="1:20">
      <c r="A131" s="25">
        <v>7</v>
      </c>
      <c r="B131" s="1" t="s">
        <v>13</v>
      </c>
      <c r="E131" s="21"/>
      <c r="F131" s="21"/>
      <c r="G131" s="21"/>
      <c r="H131" s="21"/>
      <c r="I131" s="21"/>
      <c r="J131" s="21"/>
      <c r="K131" s="21"/>
      <c r="L131" s="21"/>
      <c r="M131" s="21"/>
      <c r="N131" s="53"/>
      <c r="O131" s="54">
        <f>O121/$N121%-100</f>
        <v>8.3670665641542854</v>
      </c>
      <c r="P131" s="54">
        <f t="shared" ref="P131:T131" si="267">P121/$N121%-100</f>
        <v>1.9826353421859011</v>
      </c>
      <c r="Q131" s="54">
        <f t="shared" si="267"/>
        <v>-6.6791551145483652</v>
      </c>
      <c r="R131" s="54">
        <f t="shared" si="267"/>
        <v>-11.24974677060203</v>
      </c>
      <c r="S131" s="54">
        <f t="shared" si="267"/>
        <v>-14.81992770304457</v>
      </c>
      <c r="T131" s="54">
        <f t="shared" si="267"/>
        <v>-17.806795290181739</v>
      </c>
    </row>
    <row r="132" spans="1:20">
      <c r="A132" s="25">
        <v>8</v>
      </c>
      <c r="B132" s="1" t="s">
        <v>225</v>
      </c>
      <c r="E132" s="21"/>
      <c r="F132" s="21"/>
      <c r="G132" s="21"/>
      <c r="H132" s="21"/>
      <c r="I132" s="21"/>
      <c r="J132" s="21"/>
      <c r="K132" s="21"/>
      <c r="L132" s="21"/>
      <c r="M132" s="21"/>
      <c r="N132" s="53"/>
      <c r="O132" s="54">
        <f t="shared" ref="O132:T133" si="268">O122/$N122%-100</f>
        <v>7.9246958014593076</v>
      </c>
      <c r="P132" s="54">
        <f t="shared" si="268"/>
        <v>3.4800138498056725</v>
      </c>
      <c r="Q132" s="54">
        <f t="shared" si="268"/>
        <v>-4.748011592207277</v>
      </c>
      <c r="R132" s="54">
        <f t="shared" si="268"/>
        <v>-9.5332589936567445</v>
      </c>
      <c r="S132" s="54">
        <f t="shared" si="268"/>
        <v>-13.174442422750218</v>
      </c>
      <c r="T132" s="54">
        <f t="shared" si="268"/>
        <v>-16.194894393031873</v>
      </c>
    </row>
    <row r="133" spans="1:20">
      <c r="A133" s="25">
        <v>9</v>
      </c>
      <c r="B133" s="1" t="s">
        <v>226</v>
      </c>
      <c r="E133" s="21"/>
      <c r="F133" s="21"/>
      <c r="G133" s="21"/>
      <c r="H133" s="21"/>
      <c r="I133" s="21"/>
      <c r="J133" s="21"/>
      <c r="K133" s="21"/>
      <c r="L133" s="21"/>
      <c r="M133" s="21"/>
      <c r="N133" s="53"/>
      <c r="O133" s="54">
        <f t="shared" si="268"/>
        <v>-9.9560659460767482</v>
      </c>
      <c r="P133" s="54">
        <f t="shared" si="268"/>
        <v>-13.737480076349385</v>
      </c>
      <c r="Q133" s="54">
        <f t="shared" si="268"/>
        <v>-21.579527342135819</v>
      </c>
      <c r="R133" s="54">
        <f t="shared" si="268"/>
        <v>-25.225330136610566</v>
      </c>
      <c r="S133" s="54">
        <f t="shared" si="268"/>
        <v>-29.755793503604366</v>
      </c>
      <c r="T133" s="54">
        <f t="shared" si="268"/>
        <v>-35.086220657172603</v>
      </c>
    </row>
  </sheetData>
  <mergeCells count="7">
    <mergeCell ref="N9:N10"/>
    <mergeCell ref="O9:O10"/>
    <mergeCell ref="C5:E5"/>
    <mergeCell ref="B9:B10"/>
    <mergeCell ref="C9:G9"/>
    <mergeCell ref="H9:L9"/>
    <mergeCell ref="M9:M10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</vt:i4>
      </vt:variant>
    </vt:vector>
  </HeadingPairs>
  <TitlesOfParts>
    <vt:vector size="25" baseType="lpstr">
      <vt:lpstr>NSP Summary Budget (19-22)</vt:lpstr>
      <vt:lpstr>NSP Summary Budget (16-18)</vt:lpstr>
      <vt:lpstr>NSP Detailed Budget</vt:lpstr>
      <vt:lpstr>CALCULATIONS</vt:lpstr>
      <vt:lpstr>TB data from NTP</vt:lpstr>
      <vt:lpstr>Population</vt:lpstr>
      <vt:lpstr>Civilian sector</vt:lpstr>
      <vt:lpstr>Penitentiary sector</vt:lpstr>
      <vt:lpstr>All country</vt:lpstr>
      <vt:lpstr>DST-1 (2010-2016)</vt:lpstr>
      <vt:lpstr>DST-2 (2013)</vt:lpstr>
      <vt:lpstr>Lab tests (2013)</vt:lpstr>
      <vt:lpstr>Xpert needs</vt:lpstr>
      <vt:lpstr>Xpert instruments &amp; tests (2)</vt:lpstr>
      <vt:lpstr>TB drugs cost</vt:lpstr>
      <vt:lpstr>GDFPCSXL_61201861412AM</vt:lpstr>
      <vt:lpstr>TB-HIV</vt:lpstr>
      <vt:lpstr>Diabetes</vt:lpstr>
      <vt:lpstr>Govt &amp; External</vt:lpstr>
      <vt:lpstr>Unit costs</vt:lpstr>
      <vt:lpstr>TA</vt:lpstr>
      <vt:lpstr>Training</vt:lpstr>
      <vt:lpstr>Tx outcomes (all)</vt:lpstr>
      <vt:lpstr>'TB data from NTP'!_ftn1</vt:lpstr>
      <vt:lpstr>'Xpert needs'!Print_Area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Mosneaga</dc:creator>
  <cp:lastModifiedBy>Nino Vakhania</cp:lastModifiedBy>
  <cp:lastPrinted>2015-02-09T14:12:38Z</cp:lastPrinted>
  <dcterms:created xsi:type="dcterms:W3CDTF">2015-01-26T09:23:51Z</dcterms:created>
  <dcterms:modified xsi:type="dcterms:W3CDTF">2019-05-31T10:35:18Z</dcterms:modified>
</cp:coreProperties>
</file>