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Override PartName="/xl/threadedComments/threadedComment1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tsotsoria\Desktop\საქმე\18.08.20\who\"/>
    </mc:Choice>
  </mc:AlternateContent>
  <bookViews>
    <workbookView xWindow="0" yWindow="0" windowWidth="26235" windowHeight="10950" tabRatio="898" activeTab="16"/>
  </bookViews>
  <sheets>
    <sheet name="Capitation Summary" sheetId="26" r:id="rId1"/>
    <sheet name="Minimum Costs" sheetId="28" r:id="rId2"/>
    <sheet name="Diabetes" sheetId="13" r:id="rId3"/>
    <sheet name="Hypertension" sheetId="14" r:id="rId4"/>
    <sheet name="Child Health" sheetId="6" r:id="rId5"/>
    <sheet name="Asthma" sheetId="15" r:id="rId6"/>
    <sheet name="NCD Summary" sheetId="12" r:id="rId7"/>
    <sheet name="Sheet1" sheetId="42" r:id="rId8"/>
    <sheet name="Tests" sheetId="25" r:id="rId9"/>
    <sheet name="Premises" sheetId="30" r:id="rId10"/>
    <sheet name="Specialists" sheetId="38" r:id="rId11"/>
    <sheet name="Medical Equipment" sheetId="31" r:id="rId12"/>
    <sheet name="Medicines" sheetId="32" r:id="rId13"/>
    <sheet name="Visit Costs" sheetId="33" r:id="rId14"/>
    <sheet name="Population Distribution" sheetId="10" r:id="rId15"/>
    <sheet name="Scenario Analysis" sheetId="39" r:id="rId16"/>
    <sheet name="Payment Design" sheetId="41" r:id="rId17"/>
  </sheets>
  <definedNames>
    <definedName name="_xlnm._FilterDatabase" localSheetId="4" hidden="1">'Child Health'!$A$26:$J$52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1" i="15" l="1"/>
  <c r="F7" i="41" l="1"/>
  <c r="C3" i="33" l="1"/>
  <c r="E3" i="33" s="1"/>
  <c r="F13" i="39"/>
  <c r="F6" i="39"/>
  <c r="F7" i="39"/>
  <c r="F5" i="39"/>
  <c r="E5" i="39"/>
  <c r="E6" i="39"/>
  <c r="E7" i="39"/>
  <c r="E13" i="39"/>
  <c r="E15" i="39"/>
  <c r="E4" i="39"/>
  <c r="C55" i="39"/>
  <c r="C56" i="39"/>
  <c r="C54" i="39"/>
  <c r="B13" i="30"/>
  <c r="B18" i="26" s="1"/>
  <c r="D18" i="26" s="1"/>
  <c r="D49" i="39"/>
  <c r="D50" i="39"/>
  <c r="D51" i="39"/>
  <c r="D30" i="28"/>
  <c r="D48" i="39"/>
  <c r="F14" i="28"/>
  <c r="F13" i="28"/>
  <c r="D32" i="39"/>
  <c r="D33" i="39"/>
  <c r="D34" i="39"/>
  <c r="D35" i="39"/>
  <c r="D31" i="39"/>
  <c r="D39" i="39"/>
  <c r="D38" i="39"/>
  <c r="D26" i="39"/>
  <c r="C5" i="26"/>
  <c r="J18" i="39"/>
  <c r="J19" i="39"/>
  <c r="J20" i="39"/>
  <c r="J21" i="39"/>
  <c r="J17" i="39"/>
  <c r="P12" i="13"/>
  <c r="P9" i="14"/>
  <c r="H31" i="28"/>
  <c r="B15" i="26"/>
  <c r="G15" i="26" s="1"/>
  <c r="C6" i="41" s="1"/>
  <c r="C5" i="38"/>
  <c r="C6" i="38"/>
  <c r="C7" i="38"/>
  <c r="C8" i="38"/>
  <c r="C9" i="38"/>
  <c r="C10" i="38"/>
  <c r="C11" i="38"/>
  <c r="C4" i="38"/>
  <c r="B26" i="10"/>
  <c r="B27" i="10"/>
  <c r="B25" i="10"/>
  <c r="B28" i="10" s="1"/>
  <c r="D5" i="38" l="1"/>
  <c r="D6" i="38"/>
  <c r="D7" i="38"/>
  <c r="D8" i="38"/>
  <c r="D9" i="38"/>
  <c r="D10" i="38"/>
  <c r="D11" i="38"/>
  <c r="D4" i="38"/>
  <c r="D3" i="33"/>
  <c r="AB22" i="6"/>
  <c r="AA22" i="6"/>
  <c r="Z22" i="6"/>
  <c r="R3" i="15"/>
  <c r="AC22" i="6" l="1"/>
  <c r="R4" i="15"/>
  <c r="R5" i="15"/>
  <c r="R6" i="15"/>
  <c r="R7" i="15"/>
  <c r="R8" i="15"/>
  <c r="R9" i="15"/>
  <c r="R10" i="15"/>
  <c r="R12" i="15"/>
  <c r="R5" i="14"/>
  <c r="R6" i="14"/>
  <c r="R7" i="14"/>
  <c r="R8" i="14"/>
  <c r="R9" i="14"/>
  <c r="R10" i="14"/>
  <c r="R11" i="14"/>
  <c r="R12" i="14"/>
  <c r="R13" i="14"/>
  <c r="S13" i="14" s="1"/>
  <c r="R14" i="14"/>
  <c r="R15" i="14"/>
  <c r="R16" i="14"/>
  <c r="R3" i="14"/>
  <c r="B4" i="12" s="1"/>
  <c r="R4" i="14"/>
  <c r="R13" i="13"/>
  <c r="R14" i="13"/>
  <c r="R15" i="13"/>
  <c r="R16" i="13"/>
  <c r="T16" i="13" s="1"/>
  <c r="R17" i="13"/>
  <c r="T17" i="13" s="1"/>
  <c r="R18" i="13"/>
  <c r="T18" i="13" s="1"/>
  <c r="R19" i="13"/>
  <c r="T19" i="13" s="1"/>
  <c r="R20" i="13"/>
  <c r="R12" i="13"/>
  <c r="R4" i="13"/>
  <c r="R11" i="13" s="1"/>
  <c r="R5" i="13"/>
  <c r="R6" i="13"/>
  <c r="R7" i="13"/>
  <c r="R8" i="13"/>
  <c r="R9" i="13"/>
  <c r="R3" i="13"/>
  <c r="B3" i="12" s="1"/>
  <c r="B5" i="12"/>
  <c r="T14" i="13"/>
  <c r="T15" i="13"/>
  <c r="C57" i="30"/>
  <c r="C58" i="30"/>
  <c r="C59" i="30"/>
  <c r="C60" i="30"/>
  <c r="C61" i="30"/>
  <c r="C64" i="30"/>
  <c r="C56" i="30"/>
  <c r="C71" i="30"/>
  <c r="C70" i="30"/>
  <c r="C69" i="30"/>
  <c r="C68" i="30"/>
  <c r="C67" i="30"/>
  <c r="C66" i="30"/>
  <c r="C65" i="30"/>
  <c r="B63" i="30"/>
  <c r="C63" i="30" s="1"/>
  <c r="D17" i="28"/>
  <c r="D16" i="28"/>
  <c r="M10" i="6"/>
  <c r="L10" i="6"/>
  <c r="C28" i="25"/>
  <c r="C27" i="25"/>
  <c r="C26" i="25"/>
  <c r="C25" i="25"/>
  <c r="C24" i="25"/>
  <c r="C23" i="25"/>
  <c r="C22" i="25"/>
  <c r="C21" i="25"/>
  <c r="C20" i="25"/>
  <c r="C19" i="25"/>
  <c r="C18" i="25"/>
  <c r="C17" i="25"/>
  <c r="C16" i="25"/>
  <c r="C15" i="25"/>
  <c r="C14" i="25"/>
  <c r="C13" i="25"/>
  <c r="C12" i="25"/>
  <c r="C11" i="25"/>
  <c r="C10" i="25"/>
  <c r="C9" i="25"/>
  <c r="C8" i="25"/>
  <c r="C7" i="25"/>
  <c r="C6" i="25"/>
  <c r="C5" i="25"/>
  <c r="C4" i="25"/>
  <c r="L4" i="25" s="1"/>
  <c r="B4" i="26"/>
  <c r="C43" i="39" l="1"/>
  <c r="C44" i="39"/>
  <c r="C45" i="39"/>
  <c r="C42" i="39"/>
  <c r="D11" i="39"/>
  <c r="D12" i="39"/>
  <c r="B5" i="26"/>
  <c r="D9" i="26"/>
  <c r="D10" i="26"/>
  <c r="D11" i="26"/>
  <c r="R10" i="13"/>
  <c r="N10" i="6"/>
  <c r="E33" i="31"/>
  <c r="E5" i="31"/>
  <c r="E6" i="31"/>
  <c r="B27" i="32"/>
  <c r="B28" i="32" s="1"/>
  <c r="E32" i="31"/>
  <c r="F12" i="39" l="1"/>
  <c r="E12" i="39"/>
  <c r="F11" i="39"/>
  <c r="E11" i="39"/>
  <c r="D12" i="26"/>
  <c r="P16" i="14"/>
  <c r="S16" i="14" s="1"/>
  <c r="P20" i="13"/>
  <c r="T20" i="13" s="1"/>
  <c r="G24" i="25"/>
  <c r="G14" i="25"/>
  <c r="E31" i="31" l="1"/>
  <c r="E30" i="31"/>
  <c r="G24" i="28" l="1"/>
  <c r="H24" i="28" s="1"/>
  <c r="G18" i="28"/>
  <c r="G13" i="28"/>
  <c r="F15" i="28"/>
  <c r="D59" i="31"/>
  <c r="B62" i="30"/>
  <c r="F18" i="28" l="1"/>
  <c r="H18" i="28"/>
  <c r="E13" i="28"/>
  <c r="E16" i="28" s="1"/>
  <c r="G16" i="28" s="1"/>
  <c r="F16" i="28" s="1"/>
  <c r="H13" i="28"/>
  <c r="C62" i="30"/>
  <c r="C72" i="30" s="1"/>
  <c r="B72" i="30"/>
  <c r="F29" i="28" s="1"/>
  <c r="E27" i="31"/>
  <c r="D45" i="31" l="1"/>
  <c r="D44" i="31"/>
  <c r="D42" i="31"/>
  <c r="D41" i="31"/>
  <c r="D40" i="31"/>
  <c r="D39" i="31"/>
  <c r="E29" i="31"/>
  <c r="E28" i="31"/>
  <c r="E26" i="31"/>
  <c r="E25" i="31"/>
  <c r="E24" i="31"/>
  <c r="E23" i="31"/>
  <c r="E22" i="31"/>
  <c r="E21" i="31"/>
  <c r="E20" i="31"/>
  <c r="E19" i="31"/>
  <c r="E18" i="31"/>
  <c r="E17" i="31"/>
  <c r="E16" i="31"/>
  <c r="E15" i="31"/>
  <c r="E14" i="31"/>
  <c r="E13" i="31"/>
  <c r="E12" i="31"/>
  <c r="E11" i="31"/>
  <c r="E10" i="31"/>
  <c r="E9" i="31"/>
  <c r="E8" i="31"/>
  <c r="E7" i="31"/>
  <c r="E4" i="31"/>
  <c r="E35" i="31" s="1"/>
  <c r="E34" i="31" s="1"/>
  <c r="C26" i="30"/>
  <c r="E26" i="30" s="1"/>
  <c r="F26" i="28" l="1"/>
  <c r="E27" i="30"/>
  <c r="E23" i="30"/>
  <c r="E22" i="30"/>
  <c r="E25" i="30"/>
  <c r="S12" i="13" l="1"/>
  <c r="S5" i="13"/>
  <c r="S6" i="13"/>
  <c r="S7" i="13"/>
  <c r="S8" i="13"/>
  <c r="S9" i="13"/>
  <c r="S4" i="13"/>
  <c r="T12" i="13"/>
  <c r="B6" i="12"/>
  <c r="C61" i="31"/>
  <c r="C60" i="31"/>
  <c r="C3" i="12"/>
  <c r="C4" i="12" l="1"/>
  <c r="C5" i="12"/>
  <c r="P7" i="14" l="1"/>
  <c r="P6" i="14"/>
  <c r="P5" i="14"/>
  <c r="P4" i="15"/>
  <c r="P10" i="13"/>
  <c r="P5" i="13"/>
  <c r="T5" i="13" s="1"/>
  <c r="P4" i="14"/>
  <c r="T10" i="13" l="1"/>
  <c r="T11" i="13"/>
  <c r="P3" i="13"/>
  <c r="T3" i="13" s="1"/>
  <c r="F31" i="28" l="1"/>
  <c r="E31" i="30"/>
  <c r="E30" i="30"/>
  <c r="E29" i="30"/>
  <c r="E28" i="30"/>
  <c r="D38" i="30"/>
  <c r="E33" i="30" l="1"/>
  <c r="E34" i="30" s="1"/>
  <c r="F27" i="28" s="1"/>
  <c r="B16" i="30" l="1"/>
  <c r="E30" i="28" s="1"/>
  <c r="G27" i="28"/>
  <c r="H27" i="28" s="1"/>
  <c r="D64" i="31"/>
  <c r="D62" i="31"/>
  <c r="D61" i="31"/>
  <c r="D60" i="31"/>
  <c r="F24" i="28"/>
  <c r="D54" i="31"/>
  <c r="D53" i="31"/>
  <c r="D52" i="31"/>
  <c r="D51" i="31"/>
  <c r="D50" i="31"/>
  <c r="D49" i="31"/>
  <c r="D48" i="31"/>
  <c r="D47" i="31"/>
  <c r="D46" i="31"/>
  <c r="D43" i="31"/>
  <c r="D51" i="30"/>
  <c r="D50" i="30"/>
  <c r="D49" i="30"/>
  <c r="D48" i="30"/>
  <c r="D47" i="30"/>
  <c r="D46" i="30"/>
  <c r="D45" i="30"/>
  <c r="D44" i="30"/>
  <c r="D43" i="30"/>
  <c r="D42" i="30"/>
  <c r="D41" i="30"/>
  <c r="D40" i="30"/>
  <c r="D39" i="30"/>
  <c r="D52" i="30" l="1"/>
  <c r="G28" i="28" s="1"/>
  <c r="D65" i="31"/>
  <c r="F25" i="28" s="1"/>
  <c r="G25" i="28" s="1"/>
  <c r="H25" i="28" s="1"/>
  <c r="G26" i="28"/>
  <c r="H26" i="28" s="1"/>
  <c r="D55" i="31"/>
  <c r="F23" i="28" s="1"/>
  <c r="F28" i="28" l="1"/>
  <c r="H28" i="28"/>
  <c r="G9" i="28"/>
  <c r="G8" i="28"/>
  <c r="F10" i="28"/>
  <c r="F9" i="28"/>
  <c r="F8" i="28"/>
  <c r="B15" i="30" l="1"/>
  <c r="B18" i="30"/>
  <c r="P8" i="14" l="1"/>
  <c r="C4" i="33" l="1"/>
  <c r="E4" i="33" l="1"/>
  <c r="F4" i="33" s="1"/>
  <c r="D4" i="33"/>
  <c r="B7" i="33" l="1"/>
  <c r="D7" i="33" s="1"/>
  <c r="E7" i="33" s="1"/>
  <c r="B11" i="33"/>
  <c r="F3" i="33"/>
  <c r="G23" i="28"/>
  <c r="H23" i="28" s="1"/>
  <c r="G29" i="28"/>
  <c r="H29" i="28" s="1"/>
  <c r="G19" i="28"/>
  <c r="G14" i="28"/>
  <c r="G15" i="28"/>
  <c r="P13" i="13" l="1"/>
  <c r="T13" i="13" s="1"/>
  <c r="P10" i="14"/>
  <c r="F19" i="28"/>
  <c r="H19" i="28"/>
  <c r="E15" i="28"/>
  <c r="H15" i="28"/>
  <c r="E14" i="28"/>
  <c r="H14" i="28"/>
  <c r="J5" i="6"/>
  <c r="L5" i="6" s="1"/>
  <c r="Y17" i="6"/>
  <c r="E11" i="33"/>
  <c r="Y19" i="6" s="1"/>
  <c r="B15" i="33"/>
  <c r="S10" i="14"/>
  <c r="P6" i="15"/>
  <c r="B8" i="33"/>
  <c r="D8" i="33" s="1"/>
  <c r="E8" i="33" s="1"/>
  <c r="B12" i="33"/>
  <c r="E17" i="28"/>
  <c r="G17" i="28" s="1"/>
  <c r="H17" i="28" s="1"/>
  <c r="F30" i="28"/>
  <c r="G30" i="28" s="1"/>
  <c r="H30" i="28" s="1"/>
  <c r="E21" i="28"/>
  <c r="G21" i="28" s="1"/>
  <c r="F21" i="28" l="1"/>
  <c r="H21" i="28"/>
  <c r="M5" i="6"/>
  <c r="AA19" i="6"/>
  <c r="AB19" i="6"/>
  <c r="Z19" i="6"/>
  <c r="J4" i="6"/>
  <c r="L4" i="6" s="1"/>
  <c r="Y16" i="6"/>
  <c r="AA17" i="6"/>
  <c r="AB17" i="6"/>
  <c r="Z17" i="6"/>
  <c r="E12" i="33"/>
  <c r="B16" i="33"/>
  <c r="P3" i="15"/>
  <c r="S3" i="15" s="1"/>
  <c r="P5" i="15"/>
  <c r="D15" i="33"/>
  <c r="E15" i="33"/>
  <c r="J8" i="6" s="1"/>
  <c r="S9" i="14"/>
  <c r="G32" i="28"/>
  <c r="H32" i="28" s="1"/>
  <c r="F32" i="28"/>
  <c r="G35" i="28"/>
  <c r="F17" i="28"/>
  <c r="F35" i="28" s="1"/>
  <c r="E20" i="28"/>
  <c r="G20" i="28" s="1"/>
  <c r="H16" i="28"/>
  <c r="F20" i="28" l="1"/>
  <c r="H20" i="28"/>
  <c r="M4" i="6"/>
  <c r="AB16" i="6"/>
  <c r="Z16" i="6"/>
  <c r="AA16" i="6"/>
  <c r="J6" i="6"/>
  <c r="M6" i="6" s="1"/>
  <c r="Y18" i="6"/>
  <c r="M8" i="6"/>
  <c r="L8" i="6"/>
  <c r="E16" i="33"/>
  <c r="D16" i="33"/>
  <c r="G22" i="28"/>
  <c r="G33" i="28" l="1"/>
  <c r="I19" i="28" s="1"/>
  <c r="H22" i="28"/>
  <c r="C10" i="39" s="1"/>
  <c r="D10" i="39" s="1"/>
  <c r="Z18" i="6"/>
  <c r="AB18" i="6"/>
  <c r="AA18" i="6"/>
  <c r="J7" i="6"/>
  <c r="M7" i="6" s="1"/>
  <c r="M9" i="6" s="1"/>
  <c r="Y20" i="6"/>
  <c r="L6" i="6"/>
  <c r="F22" i="28"/>
  <c r="F33" i="28" s="1"/>
  <c r="E10" i="39" l="1"/>
  <c r="F10" i="39"/>
  <c r="D42" i="39"/>
  <c r="D43" i="39"/>
  <c r="D45" i="39"/>
  <c r="D44" i="39"/>
  <c r="L7" i="6"/>
  <c r="L11" i="6" s="1"/>
  <c r="I16" i="28"/>
  <c r="I18" i="28"/>
  <c r="I27" i="28"/>
  <c r="I25" i="28"/>
  <c r="I23" i="28"/>
  <c r="I15" i="28"/>
  <c r="I22" i="28"/>
  <c r="I14" i="28"/>
  <c r="I35" i="28"/>
  <c r="I17" i="28"/>
  <c r="I32" i="28"/>
  <c r="I26" i="28"/>
  <c r="I30" i="28"/>
  <c r="I24" i="28"/>
  <c r="E4" i="26"/>
  <c r="F4" i="26" s="1"/>
  <c r="D3" i="41" s="1"/>
  <c r="I21" i="28"/>
  <c r="I29" i="28"/>
  <c r="I20" i="28"/>
  <c r="I28" i="28"/>
  <c r="I13" i="28"/>
  <c r="H33" i="28"/>
  <c r="AB20" i="6"/>
  <c r="AB21" i="6" s="1"/>
  <c r="AB23" i="6" s="1"/>
  <c r="Z20" i="6"/>
  <c r="Z21" i="6" s="1"/>
  <c r="Z23" i="6" s="1"/>
  <c r="AA20" i="6"/>
  <c r="AA21" i="6" s="1"/>
  <c r="AA23" i="6" s="1"/>
  <c r="M11" i="6"/>
  <c r="P8" i="13"/>
  <c r="T8" i="13" s="1"/>
  <c r="L9" i="6" l="1"/>
  <c r="AA25" i="6"/>
  <c r="AC25" i="6" s="1"/>
  <c r="AA24" i="6"/>
  <c r="AC24" i="6" s="1"/>
  <c r="M12" i="6"/>
  <c r="N12" i="6" s="1"/>
  <c r="E15" i="26" s="1"/>
  <c r="F15" i="26" s="1"/>
  <c r="H4" i="38"/>
  <c r="N4" i="38"/>
  <c r="H11" i="38"/>
  <c r="N11" i="38"/>
  <c r="H10" i="38"/>
  <c r="N10" i="38"/>
  <c r="H9" i="38"/>
  <c r="N9" i="38"/>
  <c r="H8" i="38"/>
  <c r="N8" i="38"/>
  <c r="H7" i="38"/>
  <c r="N7" i="38"/>
  <c r="H6" i="38"/>
  <c r="N6" i="38"/>
  <c r="H5" i="38"/>
  <c r="N5" i="38"/>
  <c r="B12" i="26"/>
  <c r="P9" i="13"/>
  <c r="T9" i="13" s="1"/>
  <c r="P7" i="13"/>
  <c r="T7" i="13" s="1"/>
  <c r="P4" i="13"/>
  <c r="T4" i="13" s="1"/>
  <c r="P3" i="14"/>
  <c r="P6" i="13"/>
  <c r="T6" i="13" s="1"/>
  <c r="H15" i="26" l="1"/>
  <c r="F6" i="41" s="1"/>
  <c r="E6" i="41"/>
  <c r="N12" i="38"/>
  <c r="S4" i="15"/>
  <c r="T22" i="13"/>
  <c r="S4" i="14"/>
  <c r="S5" i="14"/>
  <c r="S6" i="14"/>
  <c r="S8" i="14"/>
  <c r="S11" i="14"/>
  <c r="S12" i="14"/>
  <c r="S14" i="14"/>
  <c r="S15" i="14"/>
  <c r="T23" i="13" l="1"/>
  <c r="D3" i="12" s="1"/>
  <c r="E3" i="12" s="1"/>
  <c r="S5" i="15"/>
  <c r="I15" i="26"/>
  <c r="S7" i="14"/>
  <c r="J24" i="39" l="1"/>
  <c r="S6" i="15"/>
  <c r="G4" i="26"/>
  <c r="S8" i="15"/>
  <c r="J26" i="39" l="1"/>
  <c r="J27" i="39"/>
  <c r="J25" i="39"/>
  <c r="S7" i="15"/>
  <c r="I8" i="38"/>
  <c r="J8" i="38" s="1"/>
  <c r="K8" i="38" s="1"/>
  <c r="L8" i="38" s="1"/>
  <c r="M8" i="38"/>
  <c r="O8" i="38" s="1"/>
  <c r="P8" i="38"/>
  <c r="Q8" i="38" s="1"/>
  <c r="I5" i="38"/>
  <c r="J5" i="38" s="1"/>
  <c r="K5" i="38" s="1"/>
  <c r="L5" i="38" s="1"/>
  <c r="P5" i="38"/>
  <c r="Q5" i="38" s="1"/>
  <c r="M5" i="38"/>
  <c r="O5" i="38" s="1"/>
  <c r="I7" i="38"/>
  <c r="J7" i="38" s="1"/>
  <c r="K7" i="38" s="1"/>
  <c r="L7" i="38" s="1"/>
  <c r="M7" i="38"/>
  <c r="O7" i="38" s="1"/>
  <c r="P7" i="38"/>
  <c r="Q7" i="38" s="1"/>
  <c r="I9" i="38"/>
  <c r="J9" i="38" s="1"/>
  <c r="K9" i="38" s="1"/>
  <c r="L9" i="38" s="1"/>
  <c r="P9" i="38"/>
  <c r="Q9" i="38" s="1"/>
  <c r="M9" i="38"/>
  <c r="O9" i="38" s="1"/>
  <c r="I11" i="38"/>
  <c r="J11" i="38" s="1"/>
  <c r="K11" i="38" s="1"/>
  <c r="L11" i="38" s="1"/>
  <c r="P11" i="38"/>
  <c r="Q11" i="38" s="1"/>
  <c r="M11" i="38"/>
  <c r="O11" i="38" s="1"/>
  <c r="I4" i="38"/>
  <c r="J4" i="38" s="1"/>
  <c r="K4" i="38" s="1"/>
  <c r="P4" i="38"/>
  <c r="M4" i="38"/>
  <c r="I10" i="38"/>
  <c r="J10" i="38" s="1"/>
  <c r="K10" i="38" s="1"/>
  <c r="L10" i="38" s="1"/>
  <c r="P10" i="38"/>
  <c r="Q10" i="38" s="1"/>
  <c r="M10" i="38"/>
  <c r="O10" i="38" s="1"/>
  <c r="I6" i="38"/>
  <c r="J6" i="38" s="1"/>
  <c r="K6" i="38" s="1"/>
  <c r="L6" i="38" s="1"/>
  <c r="M6" i="38"/>
  <c r="O6" i="38" s="1"/>
  <c r="P6" i="38"/>
  <c r="Q6" i="38" s="1"/>
  <c r="P4" i="25"/>
  <c r="Q4" i="25" s="1"/>
  <c r="M4" i="25"/>
  <c r="N4" i="25" s="1"/>
  <c r="P26" i="25"/>
  <c r="Q26" i="25" s="1"/>
  <c r="L10" i="25"/>
  <c r="M10" i="25" s="1"/>
  <c r="N10" i="25" s="1"/>
  <c r="P10" i="25"/>
  <c r="Q10" i="25" s="1"/>
  <c r="L9" i="25"/>
  <c r="M9" i="25" s="1"/>
  <c r="N9" i="25" s="1"/>
  <c r="P9" i="25"/>
  <c r="Q9" i="25" s="1"/>
  <c r="L8" i="25"/>
  <c r="M8" i="25" s="1"/>
  <c r="N8" i="25" s="1"/>
  <c r="P8" i="25"/>
  <c r="Q8" i="25" s="1"/>
  <c r="L23" i="25"/>
  <c r="M23" i="25" s="1"/>
  <c r="N23" i="25" s="1"/>
  <c r="P23" i="25"/>
  <c r="Q23" i="25" s="1"/>
  <c r="L22" i="25"/>
  <c r="M22" i="25" s="1"/>
  <c r="N22" i="25" s="1"/>
  <c r="P22" i="25"/>
  <c r="Q22" i="25" s="1"/>
  <c r="L14" i="25"/>
  <c r="M14" i="25" s="1"/>
  <c r="N14" i="25" s="1"/>
  <c r="P14" i="25"/>
  <c r="Q14" i="25" s="1"/>
  <c r="L6" i="25"/>
  <c r="M6" i="25" s="1"/>
  <c r="N6" i="25" s="1"/>
  <c r="P6" i="25"/>
  <c r="Q6" i="25" s="1"/>
  <c r="L21" i="25"/>
  <c r="M21" i="25" s="1"/>
  <c r="N21" i="25" s="1"/>
  <c r="P21" i="25"/>
  <c r="Q21" i="25" s="1"/>
  <c r="L13" i="25"/>
  <c r="M13" i="25" s="1"/>
  <c r="N13" i="25" s="1"/>
  <c r="P13" i="25"/>
  <c r="Q13" i="25" s="1"/>
  <c r="L5" i="25"/>
  <c r="M5" i="25" s="1"/>
  <c r="N5" i="25" s="1"/>
  <c r="P5" i="25"/>
  <c r="Q5" i="25" s="1"/>
  <c r="L17" i="25"/>
  <c r="M17" i="25" s="1"/>
  <c r="N17" i="25" s="1"/>
  <c r="P17" i="25"/>
  <c r="Q17" i="25" s="1"/>
  <c r="L16" i="25"/>
  <c r="M16" i="25" s="1"/>
  <c r="N16" i="25" s="1"/>
  <c r="P16" i="25"/>
  <c r="Q16" i="25" s="1"/>
  <c r="L7" i="25"/>
  <c r="M7" i="25" s="1"/>
  <c r="N7" i="25" s="1"/>
  <c r="P7" i="25"/>
  <c r="Q7" i="25" s="1"/>
  <c r="L12" i="25"/>
  <c r="M12" i="25" s="1"/>
  <c r="N12" i="25" s="1"/>
  <c r="P12" i="25"/>
  <c r="Q12" i="25" s="1"/>
  <c r="L25" i="25"/>
  <c r="M25" i="25" s="1"/>
  <c r="N25" i="25" s="1"/>
  <c r="P25" i="25"/>
  <c r="Q25" i="25" s="1"/>
  <c r="L24" i="25"/>
  <c r="M24" i="25" s="1"/>
  <c r="N24" i="25" s="1"/>
  <c r="P24" i="25"/>
  <c r="Q24" i="25" s="1"/>
  <c r="L15" i="25"/>
  <c r="M15" i="25" s="1"/>
  <c r="N15" i="25" s="1"/>
  <c r="P15" i="25"/>
  <c r="Q15" i="25" s="1"/>
  <c r="L28" i="25"/>
  <c r="M28" i="25" s="1"/>
  <c r="N28" i="25" s="1"/>
  <c r="P28" i="25"/>
  <c r="Q28" i="25" s="1"/>
  <c r="L19" i="25"/>
  <c r="M19" i="25" s="1"/>
  <c r="N19" i="25" s="1"/>
  <c r="P19" i="25"/>
  <c r="Q19" i="25" s="1"/>
  <c r="L20" i="25"/>
  <c r="M20" i="25" s="1"/>
  <c r="N20" i="25" s="1"/>
  <c r="P20" i="25"/>
  <c r="Q20" i="25" s="1"/>
  <c r="L27" i="25"/>
  <c r="M27" i="25" s="1"/>
  <c r="N27" i="25" s="1"/>
  <c r="P27" i="25"/>
  <c r="Q27" i="25" s="1"/>
  <c r="L18" i="25"/>
  <c r="M18" i="25" s="1"/>
  <c r="N18" i="25" s="1"/>
  <c r="P18" i="25"/>
  <c r="Q18" i="25" s="1"/>
  <c r="L11" i="25"/>
  <c r="M11" i="25" s="1"/>
  <c r="N11" i="25" s="1"/>
  <c r="P11" i="25"/>
  <c r="Q11" i="25" s="1"/>
  <c r="F10" i="26"/>
  <c r="F9" i="26"/>
  <c r="F11" i="26"/>
  <c r="L26" i="25"/>
  <c r="M26" i="25" s="1"/>
  <c r="N26" i="25" s="1"/>
  <c r="S9" i="15"/>
  <c r="S3" i="14"/>
  <c r="J12" i="38" l="1"/>
  <c r="D15" i="26"/>
  <c r="K12" i="38"/>
  <c r="M12" i="38"/>
  <c r="N13" i="38" s="1"/>
  <c r="O4" i="38"/>
  <c r="O12" i="38" s="1"/>
  <c r="O13" i="38" s="1"/>
  <c r="Q4" i="38"/>
  <c r="Q12" i="38" s="1"/>
  <c r="Q13" i="38" s="1"/>
  <c r="P12" i="38"/>
  <c r="L4" i="38"/>
  <c r="Q29" i="25"/>
  <c r="Q30" i="25" s="1"/>
  <c r="P29" i="25"/>
  <c r="M29" i="25"/>
  <c r="N29" i="25"/>
  <c r="N30" i="25" s="1"/>
  <c r="F5" i="26" s="1"/>
  <c r="D4" i="41" s="1"/>
  <c r="E18" i="26"/>
  <c r="F18" i="26" s="1"/>
  <c r="F12" i="26"/>
  <c r="C5" i="41" s="1"/>
  <c r="S18" i="14"/>
  <c r="S19" i="14" s="1"/>
  <c r="D4" i="12" s="1"/>
  <c r="S10" i="15"/>
  <c r="E3" i="41" l="1"/>
  <c r="F3" i="41" s="1"/>
  <c r="P13" i="38"/>
  <c r="L12" i="38"/>
  <c r="O4" i="25"/>
  <c r="F6" i="26"/>
  <c r="O28" i="25"/>
  <c r="O27" i="25"/>
  <c r="O25" i="25"/>
  <c r="O24" i="25"/>
  <c r="O23" i="25"/>
  <c r="O22" i="25"/>
  <c r="O21" i="25"/>
  <c r="O19" i="25"/>
  <c r="O18" i="25"/>
  <c r="O17" i="25"/>
  <c r="O16" i="25"/>
  <c r="O15" i="25"/>
  <c r="O14" i="25"/>
  <c r="O13" i="25"/>
  <c r="O12" i="25"/>
  <c r="O11" i="25"/>
  <c r="O10" i="25"/>
  <c r="O9" i="25"/>
  <c r="O6" i="25"/>
  <c r="O5" i="25"/>
  <c r="O20" i="25"/>
  <c r="O7" i="25"/>
  <c r="O8" i="25"/>
  <c r="O26" i="25"/>
  <c r="G5" i="26" l="1"/>
  <c r="S12" i="15"/>
  <c r="S11" i="15"/>
  <c r="E5" i="26" l="1"/>
  <c r="S14" i="15"/>
  <c r="S15" i="15" s="1"/>
  <c r="D5" i="12" s="1"/>
  <c r="E5" i="12" s="1"/>
  <c r="G6" i="26"/>
  <c r="G18" i="26" l="1"/>
  <c r="D27" i="39"/>
  <c r="D28" i="39"/>
  <c r="J15" i="26"/>
  <c r="E4" i="12"/>
  <c r="E6" i="12" s="1"/>
  <c r="E12" i="26" s="1"/>
  <c r="G12" i="26" s="1"/>
  <c r="F5" i="41" s="1"/>
  <c r="F8" i="41" l="1"/>
  <c r="G5" i="41"/>
  <c r="D19" i="39"/>
  <c r="D21" i="39"/>
  <c r="D20" i="39"/>
  <c r="D22" i="39"/>
  <c r="D23" i="39"/>
  <c r="G4" i="41" l="1"/>
  <c r="G6" i="41"/>
  <c r="G3" i="41"/>
  <c r="G7" i="41"/>
  <c r="H12" i="26"/>
  <c r="E6" i="26"/>
  <c r="D21" i="26" l="1"/>
  <c r="H5" i="26"/>
  <c r="H4" i="26"/>
  <c r="I12" i="26" l="1"/>
  <c r="D19" i="25" l="1"/>
  <c r="D18" i="25" l="1"/>
  <c r="Y18" i="25" s="1"/>
  <c r="Z18" i="25" s="1"/>
  <c r="D11" i="25"/>
  <c r="W11" i="25" s="1"/>
  <c r="X11" i="25" s="1"/>
  <c r="D21" i="25"/>
  <c r="J21" i="25" s="1"/>
  <c r="R21" i="25" s="1"/>
  <c r="T21" i="25" s="1"/>
  <c r="D22" i="25"/>
  <c r="V22" i="25" s="1"/>
  <c r="D6" i="25"/>
  <c r="AA6" i="25" s="1"/>
  <c r="AB6" i="25" s="1"/>
  <c r="D28" i="25"/>
  <c r="J28" i="25" s="1"/>
  <c r="R28" i="25" s="1"/>
  <c r="T28" i="25" s="1"/>
  <c r="D13" i="25"/>
  <c r="W13" i="25" s="1"/>
  <c r="X13" i="25" s="1"/>
  <c r="D26" i="25"/>
  <c r="K26" i="25" s="1"/>
  <c r="S26" i="25" s="1"/>
  <c r="U26" i="25" s="1"/>
  <c r="Y19" i="25"/>
  <c r="Z19" i="25" s="1"/>
  <c r="V19" i="25"/>
  <c r="AA19" i="25"/>
  <c r="AB19" i="25" s="1"/>
  <c r="J19" i="25"/>
  <c r="R19" i="25" s="1"/>
  <c r="T19" i="25" s="1"/>
  <c r="W19" i="25"/>
  <c r="X19" i="25" s="1"/>
  <c r="K19" i="25"/>
  <c r="S19" i="25" s="1"/>
  <c r="U19" i="25" s="1"/>
  <c r="W21" i="25"/>
  <c r="X21" i="25" s="1"/>
  <c r="K18" i="25"/>
  <c r="S18" i="25" s="1"/>
  <c r="U18" i="25" s="1"/>
  <c r="D15" i="25"/>
  <c r="D25" i="25"/>
  <c r="Y21" i="25"/>
  <c r="Z21" i="25" s="1"/>
  <c r="D10" i="25"/>
  <c r="D16" i="25"/>
  <c r="D17" i="25"/>
  <c r="D23" i="25"/>
  <c r="D4" i="25"/>
  <c r="V18" i="25"/>
  <c r="W18" i="25"/>
  <c r="X18" i="25" s="1"/>
  <c r="J11" i="25"/>
  <c r="R11" i="25" s="1"/>
  <c r="T11" i="25" s="1"/>
  <c r="Y11" i="25"/>
  <c r="Z11" i="25" s="1"/>
  <c r="AA11" i="25"/>
  <c r="AB11" i="25" s="1"/>
  <c r="V21" i="25"/>
  <c r="D8" i="25"/>
  <c r="AA21" i="25"/>
  <c r="AB21" i="25" s="1"/>
  <c r="D14" i="25"/>
  <c r="D9" i="25"/>
  <c r="D20" i="25"/>
  <c r="D27" i="25"/>
  <c r="AA18" i="25"/>
  <c r="AB18" i="25" s="1"/>
  <c r="K21" i="25"/>
  <c r="S21" i="25" s="1"/>
  <c r="U21" i="25" s="1"/>
  <c r="K11" i="25"/>
  <c r="S11" i="25" s="1"/>
  <c r="U11" i="25" s="1"/>
  <c r="D7" i="25"/>
  <c r="D5" i="25"/>
  <c r="D12" i="25"/>
  <c r="D24" i="25"/>
  <c r="K22" i="25"/>
  <c r="S22" i="25" s="1"/>
  <c r="U22" i="25" s="1"/>
  <c r="J18" i="25"/>
  <c r="R18" i="25" s="1"/>
  <c r="T18" i="25" s="1"/>
  <c r="V11" i="25"/>
  <c r="AA13" i="25" l="1"/>
  <c r="AB13" i="25" s="1"/>
  <c r="W28" i="25"/>
  <c r="X28" i="25" s="1"/>
  <c r="J13" i="25"/>
  <c r="R13" i="25" s="1"/>
  <c r="T13" i="25" s="1"/>
  <c r="K13" i="25"/>
  <c r="S13" i="25" s="1"/>
  <c r="U13" i="25" s="1"/>
  <c r="V28" i="25"/>
  <c r="V6" i="25"/>
  <c r="Y28" i="25"/>
  <c r="Z28" i="25" s="1"/>
  <c r="Y6" i="25"/>
  <c r="Z6" i="25" s="1"/>
  <c r="W6" i="25"/>
  <c r="X6" i="25" s="1"/>
  <c r="K6" i="25"/>
  <c r="S6" i="25" s="1"/>
  <c r="U6" i="25" s="1"/>
  <c r="J6" i="25"/>
  <c r="R6" i="25" s="1"/>
  <c r="T6" i="25" s="1"/>
  <c r="K28" i="25"/>
  <c r="S28" i="25" s="1"/>
  <c r="U28" i="25" s="1"/>
  <c r="J26" i="25"/>
  <c r="R26" i="25" s="1"/>
  <c r="T26" i="25" s="1"/>
  <c r="W26" i="25"/>
  <c r="X26" i="25" s="1"/>
  <c r="V13" i="25"/>
  <c r="W22" i="25"/>
  <c r="X22" i="25" s="1"/>
  <c r="AA22" i="25"/>
  <c r="AB22" i="25" s="1"/>
  <c r="J22" i="25"/>
  <c r="R22" i="25" s="1"/>
  <c r="T22" i="25" s="1"/>
  <c r="Y22" i="25"/>
  <c r="Z22" i="25" s="1"/>
  <c r="V26" i="25"/>
  <c r="Y26" i="25"/>
  <c r="Z26" i="25" s="1"/>
  <c r="AA26" i="25"/>
  <c r="AB26" i="25" s="1"/>
  <c r="AA28" i="25"/>
  <c r="AB28" i="25" s="1"/>
  <c r="Y13" i="25"/>
  <c r="Z13" i="25" s="1"/>
  <c r="Y5" i="25"/>
  <c r="Z5" i="25" s="1"/>
  <c r="V5" i="25"/>
  <c r="W5" i="25"/>
  <c r="X5" i="25" s="1"/>
  <c r="AA5" i="25"/>
  <c r="AB5" i="25" s="1"/>
  <c r="J5" i="25"/>
  <c r="R5" i="25" s="1"/>
  <c r="T5" i="25" s="1"/>
  <c r="K5" i="25"/>
  <c r="S5" i="25" s="1"/>
  <c r="U5" i="25" s="1"/>
  <c r="J7" i="25"/>
  <c r="R7" i="25" s="1"/>
  <c r="T7" i="25" s="1"/>
  <c r="V7" i="25"/>
  <c r="AA7" i="25"/>
  <c r="AB7" i="25" s="1"/>
  <c r="Y7" i="25"/>
  <c r="Z7" i="25" s="1"/>
  <c r="W7" i="25"/>
  <c r="X7" i="25" s="1"/>
  <c r="K7" i="25"/>
  <c r="S7" i="25" s="1"/>
  <c r="U7" i="25" s="1"/>
  <c r="K8" i="25"/>
  <c r="S8" i="25" s="1"/>
  <c r="U8" i="25" s="1"/>
  <c r="W8" i="25"/>
  <c r="X8" i="25" s="1"/>
  <c r="V8" i="25"/>
  <c r="J8" i="25"/>
  <c r="R8" i="25" s="1"/>
  <c r="T8" i="25" s="1"/>
  <c r="AA8" i="25"/>
  <c r="AB8" i="25" s="1"/>
  <c r="Y8" i="25"/>
  <c r="Z8" i="25" s="1"/>
  <c r="W10" i="25"/>
  <c r="X10" i="25" s="1"/>
  <c r="K10" i="25"/>
  <c r="S10" i="25" s="1"/>
  <c r="U10" i="25" s="1"/>
  <c r="Y10" i="25"/>
  <c r="Z10" i="25" s="1"/>
  <c r="AA10" i="25"/>
  <c r="AB10" i="25" s="1"/>
  <c r="V10" i="25"/>
  <c r="J10" i="25"/>
  <c r="R10" i="25" s="1"/>
  <c r="T10" i="25" s="1"/>
  <c r="AA25" i="25"/>
  <c r="AB25" i="25" s="1"/>
  <c r="J25" i="25"/>
  <c r="R25" i="25" s="1"/>
  <c r="T25" i="25" s="1"/>
  <c r="W25" i="25"/>
  <c r="X25" i="25" s="1"/>
  <c r="K25" i="25"/>
  <c r="S25" i="25" s="1"/>
  <c r="U25" i="25" s="1"/>
  <c r="Y25" i="25"/>
  <c r="Z25" i="25" s="1"/>
  <c r="V25" i="25"/>
  <c r="K27" i="25"/>
  <c r="S27" i="25" s="1"/>
  <c r="U27" i="25" s="1"/>
  <c r="Y27" i="25"/>
  <c r="Z27" i="25" s="1"/>
  <c r="V27" i="25"/>
  <c r="W27" i="25"/>
  <c r="X27" i="25" s="1"/>
  <c r="J27" i="25"/>
  <c r="R27" i="25" s="1"/>
  <c r="T27" i="25" s="1"/>
  <c r="AA27" i="25"/>
  <c r="AB27" i="25" s="1"/>
  <c r="V4" i="25"/>
  <c r="K4" i="25"/>
  <c r="S4" i="25" s="1"/>
  <c r="AA4" i="25"/>
  <c r="W4" i="25"/>
  <c r="Y4" i="25"/>
  <c r="J4" i="25"/>
  <c r="R4" i="25" s="1"/>
  <c r="W24" i="25"/>
  <c r="X24" i="25" s="1"/>
  <c r="V24" i="25"/>
  <c r="K24" i="25"/>
  <c r="S24" i="25" s="1"/>
  <c r="U24" i="25" s="1"/>
  <c r="J24" i="25"/>
  <c r="R24" i="25" s="1"/>
  <c r="T24" i="25" s="1"/>
  <c r="Y24" i="25"/>
  <c r="Z24" i="25" s="1"/>
  <c r="AA24" i="25"/>
  <c r="AB24" i="25" s="1"/>
  <c r="Y23" i="25"/>
  <c r="Z23" i="25" s="1"/>
  <c r="W23" i="25"/>
  <c r="X23" i="25" s="1"/>
  <c r="K23" i="25"/>
  <c r="S23" i="25" s="1"/>
  <c r="U23" i="25" s="1"/>
  <c r="AA23" i="25"/>
  <c r="AB23" i="25" s="1"/>
  <c r="V23" i="25"/>
  <c r="J23" i="25"/>
  <c r="R23" i="25" s="1"/>
  <c r="T23" i="25" s="1"/>
  <c r="Y20" i="25"/>
  <c r="Z20" i="25" s="1"/>
  <c r="AA20" i="25"/>
  <c r="AB20" i="25" s="1"/>
  <c r="W20" i="25"/>
  <c r="X20" i="25" s="1"/>
  <c r="V20" i="25"/>
  <c r="K20" i="25"/>
  <c r="S20" i="25" s="1"/>
  <c r="U20" i="25" s="1"/>
  <c r="J20" i="25"/>
  <c r="R20" i="25" s="1"/>
  <c r="T20" i="25" s="1"/>
  <c r="J17" i="25"/>
  <c r="R17" i="25" s="1"/>
  <c r="T17" i="25" s="1"/>
  <c r="Y17" i="25"/>
  <c r="Z17" i="25" s="1"/>
  <c r="AA17" i="25"/>
  <c r="AB17" i="25" s="1"/>
  <c r="W17" i="25"/>
  <c r="X17" i="25" s="1"/>
  <c r="V17" i="25"/>
  <c r="K17" i="25"/>
  <c r="S17" i="25" s="1"/>
  <c r="U17" i="25" s="1"/>
  <c r="Y15" i="25"/>
  <c r="Z15" i="25" s="1"/>
  <c r="J15" i="25"/>
  <c r="R15" i="25" s="1"/>
  <c r="T15" i="25" s="1"/>
  <c r="W15" i="25"/>
  <c r="X15" i="25" s="1"/>
  <c r="AA15" i="25"/>
  <c r="AB15" i="25" s="1"/>
  <c r="K15" i="25"/>
  <c r="S15" i="25" s="1"/>
  <c r="U15" i="25" s="1"/>
  <c r="V15" i="25"/>
  <c r="W12" i="25"/>
  <c r="X12" i="25" s="1"/>
  <c r="V12" i="25"/>
  <c r="Y12" i="25"/>
  <c r="Z12" i="25" s="1"/>
  <c r="J12" i="25"/>
  <c r="R12" i="25" s="1"/>
  <c r="T12" i="25" s="1"/>
  <c r="K12" i="25"/>
  <c r="S12" i="25" s="1"/>
  <c r="U12" i="25" s="1"/>
  <c r="AA12" i="25"/>
  <c r="AB12" i="25" s="1"/>
  <c r="Y9" i="25"/>
  <c r="Z9" i="25" s="1"/>
  <c r="V9" i="25"/>
  <c r="AA9" i="25"/>
  <c r="AB9" i="25" s="1"/>
  <c r="J9" i="25"/>
  <c r="R9" i="25" s="1"/>
  <c r="T9" i="25" s="1"/>
  <c r="W9" i="25"/>
  <c r="X9" i="25" s="1"/>
  <c r="K9" i="25"/>
  <c r="S9" i="25" s="1"/>
  <c r="U9" i="25" s="1"/>
  <c r="W14" i="25"/>
  <c r="X14" i="25" s="1"/>
  <c r="Y14" i="25"/>
  <c r="Z14" i="25" s="1"/>
  <c r="V14" i="25"/>
  <c r="K14" i="25"/>
  <c r="S14" i="25" s="1"/>
  <c r="U14" i="25" s="1"/>
  <c r="AA14" i="25"/>
  <c r="AB14" i="25" s="1"/>
  <c r="J14" i="25"/>
  <c r="R14" i="25" s="1"/>
  <c r="T14" i="25" s="1"/>
  <c r="AA16" i="25"/>
  <c r="AB16" i="25" s="1"/>
  <c r="Y16" i="25"/>
  <c r="Z16" i="25" s="1"/>
  <c r="J16" i="25"/>
  <c r="R16" i="25" s="1"/>
  <c r="T16" i="25" s="1"/>
  <c r="W16" i="25"/>
  <c r="X16" i="25" s="1"/>
  <c r="V16" i="25"/>
  <c r="K16" i="25"/>
  <c r="S16" i="25" s="1"/>
  <c r="U16" i="25" s="1"/>
  <c r="AA29" i="25" l="1"/>
  <c r="AB4" i="25"/>
  <c r="AB29" i="25" s="1"/>
  <c r="AB30" i="25" s="1"/>
  <c r="S29" i="25"/>
  <c r="U4" i="25"/>
  <c r="U29" i="25" s="1"/>
  <c r="U30" i="25" s="1"/>
  <c r="V29" i="25"/>
  <c r="R29" i="25"/>
  <c r="S30" i="25" s="1"/>
  <c r="T4" i="25"/>
  <c r="T29" i="25" s="1"/>
  <c r="T30" i="25" s="1"/>
  <c r="W29" i="25"/>
  <c r="X4" i="25"/>
  <c r="X29" i="25" s="1"/>
  <c r="X30" i="25" s="1"/>
  <c r="Z4" i="25"/>
  <c r="Z29" i="25" s="1"/>
  <c r="Z30" i="25" s="1"/>
  <c r="Y29" i="25"/>
  <c r="W30" i="25" l="1"/>
  <c r="Y30" i="25"/>
  <c r="AA30" i="25"/>
</calcChain>
</file>

<file path=xl/comments1.xml><?xml version="1.0" encoding="utf-8"?>
<comments xmlns="http://schemas.openxmlformats.org/spreadsheetml/2006/main">
  <authors>
    <author>tc={E4B14F34-0C08-40FB-9DB3-F8F4C8488E9A}</author>
  </authors>
  <commentList>
    <comment ref="C4"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can be taken into account that the coverage of total population will not be imediate</t>
        </r>
      </text>
    </comment>
  </commentList>
</comments>
</file>

<file path=xl/comments10.xml><?xml version="1.0" encoding="utf-8"?>
<comments xmlns="http://schemas.openxmlformats.org/spreadsheetml/2006/main">
  <authors>
    <author>tc={7A041E19-C1BB-47CB-B524-BA2557627BF2}</author>
    <author>tc={107903FE-214D-4E93-A433-4E6DDCF0819F}</author>
  </authors>
  <commentList>
    <comment ref="D3"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Amortization periods are adjusted too maximum to reduce cost, actual amortization should be lower</t>
        </r>
      </text>
    </comment>
    <comment ref="C38" authorId="1"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may need to be reviewed</t>
        </r>
      </text>
    </comment>
  </commentList>
</comments>
</file>

<file path=xl/comments11.xml><?xml version="1.0" encoding="utf-8"?>
<comments xmlns="http://schemas.openxmlformats.org/spreadsheetml/2006/main">
  <authors>
    <author>tc={EADDB75F-E17F-435E-9A82-429B511C465A}</author>
  </authors>
  <commentList>
    <comment ref="B3"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clarify with the ministry</t>
        </r>
      </text>
    </comment>
  </commentList>
</comments>
</file>

<file path=xl/comments12.xml><?xml version="1.0" encoding="utf-8"?>
<comments xmlns="http://schemas.openxmlformats.org/spreadsheetml/2006/main">
  <authors>
    <author>tc={ACAD7C86-E9D0-411E-AADF-80A828178D88}</author>
  </authors>
  <commentList>
    <comment ref="H9"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Cardiologist and endocrinologist for hypertension and diabetes patients</t>
        </r>
      </text>
    </comment>
  </commentList>
</comments>
</file>

<file path=xl/comments2.xml><?xml version="1.0" encoding="utf-8"?>
<comments xmlns="http://schemas.openxmlformats.org/spreadsheetml/2006/main">
  <authors>
    <author>tc={D61524F0-A3D3-4E93-8111-FC315F476E02}</author>
  </authors>
  <commentList>
    <comment ref="E8"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MoSA alary to rural doctors
without taxation
Reply:
    was increased in july 2020</t>
        </r>
      </text>
    </comment>
  </commentList>
</comments>
</file>

<file path=xl/comments3.xml><?xml version="1.0" encoding="utf-8"?>
<comments xmlns="http://schemas.openxmlformats.org/spreadsheetml/2006/main">
  <authors>
    <author>tc={069464C0-C595-45E0-9A4E-4B53749D8D70}</author>
    <author>tc={E9C6BF36-B172-4760-A8D9-28609675409F}</author>
    <author>tc={4A033966-18D6-4069-8A7A-8C6E5C903BDC}</author>
    <author>tc={558F8B16-3F59-4AF8-89A7-DB27AFE81622}</author>
    <author>tc={D8CBBCC7-2295-4EB1-A6BD-DEFFC78DBA5A}</author>
  </authors>
  <commentList>
    <comment ref="R2"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Based on statistical Yearbook 2018 prevalence of Type 1 diabetes 379.5 and Type2 diabetes 1681.6/per 100000. Total population of Georgia 3720200, So eligible number of diabetic patients will be (3720200/100000)*(379.5+1681.6)=76672</t>
        </r>
      </text>
    </comment>
    <comment ref="S2" authorId="1"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taken into account 20% of target group, because 80% has olso hypertension and test costs are included in this target group.</t>
        </r>
      </text>
    </comment>
    <comment ref="R10" authorId="2"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only for uncontrolled, 30%</t>
        </r>
      </text>
    </comment>
    <comment ref="R11" authorId="3"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only for uncontrolled, 30%</t>
        </r>
      </text>
    </comment>
    <comment ref="P14" authorId="4"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these services are included in the nurses visit</t>
        </r>
      </text>
    </comment>
  </commentList>
</comments>
</file>

<file path=xl/comments4.xml><?xml version="1.0" encoding="utf-8"?>
<comments xmlns="http://schemas.openxmlformats.org/spreadsheetml/2006/main">
  <authors>
    <author>tc={96BC1916-11A0-486C-B831-3C5654672FB4}</author>
    <author>tc={321F89F8-13D1-4957-B27A-073A74D8EE7A}</author>
    <author>tc={ED4CE6EB-5693-4009-90B3-A6096A02034C}</author>
  </authors>
  <commentList>
    <comment ref="R2"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Hypertension prevalence is 37.7%. Eligible population over 15 - 2964968. calculation: 2964968*37.7%=1117792, target coverage 70%</t>
        </r>
      </text>
    </comment>
    <comment ref="P10" authorId="1"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all counceling done during one visit to the nurse</t>
        </r>
      </text>
    </comment>
    <comment ref="P11" authorId="2"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these services are included in the nurses visit</t>
        </r>
      </text>
    </comment>
  </commentList>
</comments>
</file>

<file path=xl/comments5.xml><?xml version="1.0" encoding="utf-8"?>
<comments xmlns="http://schemas.openxmlformats.org/spreadsheetml/2006/main">
  <authors>
    <author>tc={F671FCDD-DCA9-44B0-9CC2-D090D2AA1D1F}</author>
    <author>tc={A1659216-F397-4901-9D1E-1096BBB6940A}</author>
  </authors>
  <commentList>
    <comment ref="A6"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on the 1st year, all the rest of visits can be done remotely and are not included in the payment</t>
        </r>
      </text>
    </comment>
    <comment ref="A16" authorId="1"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Assuming that all necessary services are providede to the patient during one visit exept vaccinations, which require a sepratae nurse visit if consultation by doctor is done remotely</t>
        </r>
      </text>
    </comment>
  </commentList>
</comments>
</file>

<file path=xl/comments6.xml><?xml version="1.0" encoding="utf-8"?>
<comments xmlns="http://schemas.openxmlformats.org/spreadsheetml/2006/main">
  <authors>
    <author>tc={CAC64782-5744-4B2D-9A35-704F38AAA81D}</author>
    <author>tc={FD9209B2-C38E-477F-ADB0-B463DBD85B8D}</author>
    <author>tc={3D5DE1FB-3C6C-45F8-B85E-AE6D97BDB66D}</author>
    <author>tc={AE0B514C-16D0-411B-8607-B0F9C8CDB466}</author>
  </authors>
  <commentList>
    <comment ref="R2"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Based on statistical yearbook (ncdc.ge) prevalence of asthma is 316.5/100000. calculation: eligible population (n)=(3720200/100000)*316.5=11774</t>
        </r>
      </text>
    </comment>
    <comment ref="P5" authorId="1"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doctor or nurse can provide the service, average is taken into account</t>
        </r>
      </text>
    </comment>
    <comment ref="P7" authorId="2"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these services are included in the nurses visit</t>
        </r>
      </text>
    </comment>
    <comment ref="P12" authorId="3"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NCDC gives, 45 Lari</t>
        </r>
      </text>
    </comment>
  </commentList>
</comments>
</file>

<file path=xl/comments7.xml><?xml version="1.0" encoding="utf-8"?>
<comments xmlns="http://schemas.openxmlformats.org/spreadsheetml/2006/main">
  <authors>
    <author>tc={0370D439-CC8A-49F1-993B-7FC7C488C9F4}</author>
    <author>tc={C5F82BBB-CD37-4B94-96D6-3AFC9B0845F0}</author>
  </authors>
  <commentList>
    <comment ref="I3"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about 20%-30% lower than actual need</t>
        </r>
      </text>
    </comment>
    <comment ref="A22" authorId="1"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vertical proram includes</t>
        </r>
      </text>
    </comment>
  </commentList>
</comments>
</file>

<file path=xl/comments8.xml><?xml version="1.0" encoding="utf-8"?>
<comments xmlns="http://schemas.openxmlformats.org/spreadsheetml/2006/main">
  <authors>
    <author>tc={074FAA24-5C8E-4012-A01D-7B497AA7CABF}</author>
    <author>tc={2A1A4A46-204D-42E3-8F40-1157E08D6B79}</author>
  </authors>
  <commentList>
    <comment ref="B15"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In rural areas it is up to 500 GEL</t>
        </r>
      </text>
    </comment>
    <comment ref="C37" authorId="1"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may need to be rechecked</t>
        </r>
      </text>
    </comment>
  </commentList>
</comments>
</file>

<file path=xl/comments9.xml><?xml version="1.0" encoding="utf-8"?>
<comments xmlns="http://schemas.openxmlformats.org/spreadsheetml/2006/main">
  <authors>
    <author>tc={983015C1-0BBF-4912-976F-D6A161880FAB}</author>
  </authors>
  <commentList>
    <comment ref="A3" authorId="0" shapeId="0">
      <text>
        <r>
          <rPr>
            <sz val="11"/>
            <color rgb="FF000000"/>
            <rFont val="Calibri"/>
          </rPr>
          <t>[Threaded comment]
Your version of Excel allows you to read this threaded comment; however, any edits to it will get removed if the file is opened in a newer version of Excel. Learn more: https://go.microsoft.com/fwlink/?linkid=870924
Comment:
    which should be available at the point of care?</t>
        </r>
      </text>
    </comment>
  </commentList>
</comments>
</file>

<file path=xl/sharedStrings.xml><?xml version="1.0" encoding="utf-8"?>
<sst xmlns="http://schemas.openxmlformats.org/spreadsheetml/2006/main" count="943" uniqueCount="638">
  <si>
    <t>CAPIATION SUMMARY</t>
  </si>
  <si>
    <t>Capitation covering basic costs</t>
  </si>
  <si>
    <t>Target population 
(national level)</t>
  </si>
  <si>
    <t>Minimum practice</t>
  </si>
  <si>
    <t>Total annual costs per FD and nurse</t>
  </si>
  <si>
    <t xml:space="preserve">Monthly cost per enrollee </t>
  </si>
  <si>
    <t xml:space="preserve">Total annual cost </t>
  </si>
  <si>
    <t>% of total capitation</t>
  </si>
  <si>
    <t>Total population</t>
  </si>
  <si>
    <t>Coverage %</t>
  </si>
  <si>
    <t>Minimum costs</t>
  </si>
  <si>
    <t xml:space="preserve"> </t>
  </si>
  <si>
    <t>Laboratory tests</t>
  </si>
  <si>
    <t>Total</t>
  </si>
  <si>
    <t>Target group</t>
  </si>
  <si>
    <t>Share of total population</t>
  </si>
  <si>
    <t>Total monthly per capita</t>
  </si>
  <si>
    <t>Persons per FD and nurse on average</t>
  </si>
  <si>
    <t>On averge per practice per year</t>
  </si>
  <si>
    <t>Total budget prognosis</t>
  </si>
  <si>
    <t>% of  basic capitation</t>
  </si>
  <si>
    <t>Asthma</t>
  </si>
  <si>
    <t>Diabetes</t>
  </si>
  <si>
    <t>Hypertension</t>
  </si>
  <si>
    <t>Total NCDs</t>
  </si>
  <si>
    <t>Total costs</t>
  </si>
  <si>
    <t>Per capita monthly</t>
  </si>
  <si>
    <t>On averge payment per practice per year</t>
  </si>
  <si>
    <t>Budget prognosis</t>
  </si>
  <si>
    <t>Child health 0-5</t>
  </si>
  <si>
    <t>Average m2 per FD and nurse</t>
  </si>
  <si>
    <t>Rent/capitalization per m2 monthly</t>
  </si>
  <si>
    <t>Total rent costs per FD and nurse monthly</t>
  </si>
  <si>
    <t>Providers</t>
  </si>
  <si>
    <t>Annual budget prognosis</t>
  </si>
  <si>
    <t>% of basic capitation</t>
  </si>
  <si>
    <t>Rent or capitalization costs</t>
  </si>
  <si>
    <t>Reduced capitation</t>
  </si>
  <si>
    <t>share of providers  having no nurse</t>
  </si>
  <si>
    <t>Annual budget impact</t>
  </si>
  <si>
    <t>Providers working without a nurse</t>
  </si>
  <si>
    <t>MINIMUM COST CALCULATIONS</t>
  </si>
  <si>
    <t>days</t>
  </si>
  <si>
    <t>Working days in a year</t>
  </si>
  <si>
    <t>Official holidays (amount)</t>
  </si>
  <si>
    <t>Salary</t>
  </si>
  <si>
    <t>with tax</t>
  </si>
  <si>
    <t>without taxation</t>
  </si>
  <si>
    <t>Baseline scenario</t>
  </si>
  <si>
    <t>scenario 1, average salary</t>
  </si>
  <si>
    <t>scenario 2, salaries with bonus</t>
  </si>
  <si>
    <t>doctor's wage (including taxes) GEL</t>
  </si>
  <si>
    <t>nurse's wage (including taxes) GEL</t>
  </si>
  <si>
    <t>assistants wage (including taxes) GEL</t>
  </si>
  <si>
    <t>Cost</t>
  </si>
  <si>
    <t>Cost object</t>
  </si>
  <si>
    <t>unit</t>
  </si>
  <si>
    <t>amount</t>
  </si>
  <si>
    <t xml:space="preserve">per unit </t>
  </si>
  <si>
    <t>Monthly costs</t>
  </si>
  <si>
    <t>yearly costs</t>
  </si>
  <si>
    <t>Per capita costs</t>
  </si>
  <si>
    <t xml:space="preserve">Share of minimum costs </t>
  </si>
  <si>
    <t>comment</t>
  </si>
  <si>
    <t>Wokforce</t>
  </si>
  <si>
    <t>Familydoctor</t>
  </si>
  <si>
    <t>month</t>
  </si>
  <si>
    <t>Family nurse</t>
  </si>
  <si>
    <t>Assistant</t>
  </si>
  <si>
    <t>Doctors substitute for holdays</t>
  </si>
  <si>
    <t>day</t>
  </si>
  <si>
    <t>Nurses substitute for holidays</t>
  </si>
  <si>
    <t>Training doctors</t>
  </si>
  <si>
    <t>10 day in a year, 1 day 100 Lari</t>
  </si>
  <si>
    <t>Training nurses</t>
  </si>
  <si>
    <t>Substitute for training (doctor)</t>
  </si>
  <si>
    <t>Substitute for training (nurse)</t>
  </si>
  <si>
    <t>Total workforce costs</t>
  </si>
  <si>
    <t>Disposable medical devices and medicines</t>
  </si>
  <si>
    <t>Medical devices</t>
  </si>
  <si>
    <t>pcs may need to be reviewed</t>
  </si>
  <si>
    <t>Pharmaceuticals</t>
  </si>
  <si>
    <t>COVID related</t>
  </si>
  <si>
    <t>Needs to be decided ifthere is a need to keep COVID related costs in the capitation model or to finance separately if the need raises</t>
  </si>
  <si>
    <t>Resuable medical devices</t>
  </si>
  <si>
    <t>amortization periods may need to be reviewed</t>
  </si>
  <si>
    <t>Office equipment</t>
  </si>
  <si>
    <t>Office supplies</t>
  </si>
  <si>
    <t>Communication, utilities, electricity, IT related and other services</t>
  </si>
  <si>
    <t>Room maintanance and heating</t>
  </si>
  <si>
    <t>m2</t>
  </si>
  <si>
    <t>Needs to be if maintananace and heating costs would need to be taken into account separately jointly with the rent costs as an allowance</t>
  </si>
  <si>
    <t>MS office license</t>
  </si>
  <si>
    <t>For MS office annual renewl 3500 USD for 30 computer. For first time 30 computer 10 000 USD. To be discussed with ministry if state can purchase these licenses as for education system.</t>
  </si>
  <si>
    <t>Total capitation</t>
  </si>
  <si>
    <t>Nurse related costs</t>
  </si>
  <si>
    <t>If FP has no nurse, a coeficient of 0,75 should be applied to the minimu capitation costs, because 24% of minimum costs are related tonurses salary</t>
  </si>
  <si>
    <t>DIABETES</t>
  </si>
  <si>
    <t>Service</t>
  </si>
  <si>
    <t>National Standard</t>
  </si>
  <si>
    <t>Unit cost 
(GEL)</t>
  </si>
  <si>
    <t>Units 
(annual)</t>
  </si>
  <si>
    <t>Population</t>
  </si>
  <si>
    <t>Comorbidity Adjustment 
(annual)</t>
  </si>
  <si>
    <t>Total cost</t>
  </si>
  <si>
    <t xml:space="preserve"> HbA1c Test</t>
  </si>
  <si>
    <t xml:space="preserve">  HbA1c minimum 2X during last 12 months </t>
  </si>
  <si>
    <t>X</t>
  </si>
  <si>
    <t>Fasting Glucose</t>
  </si>
  <si>
    <t xml:space="preserve">Fasting glucose minimum 2X during last 12 months </t>
  </si>
  <si>
    <t>Dyslipidemia screening</t>
  </si>
  <si>
    <t>Lipid panel during last 12 months</t>
  </si>
  <si>
    <t>Nephropathy screening</t>
  </si>
  <si>
    <t>Creatinine</t>
  </si>
  <si>
    <t>Urinalysis</t>
  </si>
  <si>
    <t>Albumin</t>
  </si>
  <si>
    <t>Heart disease screening</t>
  </si>
  <si>
    <t>ECG</t>
  </si>
  <si>
    <t>C - Peptide</t>
  </si>
  <si>
    <t>HOMA2</t>
  </si>
  <si>
    <t>Eye examination</t>
  </si>
  <si>
    <t>Eye examination with dilated pupils during last 12 months</t>
  </si>
  <si>
    <t>BP measurement</t>
  </si>
  <si>
    <t>BP measured during last 12 months</t>
  </si>
  <si>
    <t>BMI or waist circumference</t>
  </si>
  <si>
    <t>BMI or waist circumference measured during last 12 months</t>
  </si>
  <si>
    <r>
      <t xml:space="preserve">Foot examination </t>
    </r>
    <r>
      <rPr>
        <b/>
        <sz val="10"/>
        <rFont val="Calibri"/>
        <family val="2"/>
      </rPr>
      <t>(including referring for ABI )</t>
    </r>
  </si>
  <si>
    <t>Foot examination during last year</t>
  </si>
  <si>
    <t>Tobacco counseling</t>
  </si>
  <si>
    <t>Tobacco counseling during last 12 months</t>
  </si>
  <si>
    <t xml:space="preserve">X </t>
  </si>
  <si>
    <t>Risky acohol consumprion counseling</t>
  </si>
  <si>
    <t>Risky alcohol consumprion counseling during last 12 months</t>
  </si>
  <si>
    <t>Dietary advices</t>
  </si>
  <si>
    <t>Dietary advices given during last 12 months</t>
  </si>
  <si>
    <t>Exercise advices</t>
  </si>
  <si>
    <t>Excercise advices given during last 12 months</t>
  </si>
  <si>
    <t>Endocrinologist
 consultation</t>
  </si>
  <si>
    <t>Total in GEL</t>
  </si>
  <si>
    <t>Per target group</t>
  </si>
  <si>
    <t>HYPERTENSION</t>
  </si>
  <si>
    <t>Standard</t>
  </si>
  <si>
    <t>Unit cost (GEL)</t>
  </si>
  <si>
    <t>Fasting glucose</t>
  </si>
  <si>
    <t xml:space="preserve">Fasting glucose  1X during last 12 months </t>
  </si>
  <si>
    <t>Dyslipidemia screening (LDL-C, TC, HDL or non_HDL)</t>
  </si>
  <si>
    <t>Lipid panel</t>
  </si>
  <si>
    <t>Hypertensive Heart disease screening</t>
  </si>
  <si>
    <t>BP Measurement</t>
  </si>
  <si>
    <t>BP measured during last year, at least once a year, measured during every visit, self measurement</t>
  </si>
  <si>
    <t>Cardiologist consultation</t>
  </si>
  <si>
    <t>Total per target group</t>
  </si>
  <si>
    <t>CHILD HEALTH UP TO 5 YEARS</t>
  </si>
  <si>
    <t>years</t>
  </si>
  <si>
    <t>1 year</t>
  </si>
  <si>
    <t>2 years</t>
  </si>
  <si>
    <t>3 years</t>
  </si>
  <si>
    <t>4 years</t>
  </si>
  <si>
    <t>5 years</t>
  </si>
  <si>
    <t>months</t>
  </si>
  <si>
    <t>2 weeks</t>
  </si>
  <si>
    <t>1-3 moths</t>
  </si>
  <si>
    <t>4-6 months</t>
  </si>
  <si>
    <t>9-12 months</t>
  </si>
  <si>
    <t>18-24 months</t>
  </si>
  <si>
    <t>30-36 months</t>
  </si>
  <si>
    <t>Visit cost (GEL)</t>
  </si>
  <si>
    <t>2 to 5 years</t>
  </si>
  <si>
    <t>Doctors visits on site</t>
  </si>
  <si>
    <t>nurse visits on site</t>
  </si>
  <si>
    <t>doctors supervision (remote consultation)</t>
  </si>
  <si>
    <t>doctors home visit</t>
  </si>
  <si>
    <t>Nurse home visit</t>
  </si>
  <si>
    <t>Cost per child</t>
  </si>
  <si>
    <t>Total cost annually</t>
  </si>
  <si>
    <t>Total cost per child monthly</t>
  </si>
  <si>
    <t>Visit cost in GEL</t>
  </si>
  <si>
    <t>1years</t>
  </si>
  <si>
    <t>2years</t>
  </si>
  <si>
    <t>3 to 14</t>
  </si>
  <si>
    <t>Nurse</t>
  </si>
  <si>
    <t>Doctor</t>
  </si>
  <si>
    <t>Remote doctor</t>
  </si>
  <si>
    <t>Remote nurse</t>
  </si>
  <si>
    <t>Total visits</t>
  </si>
  <si>
    <t>Total target group</t>
  </si>
  <si>
    <t>Total annual costs</t>
  </si>
  <si>
    <t>Total cost per child monthly (up to 14)</t>
  </si>
  <si>
    <t>Total cost per child monthly (up to 2)</t>
  </si>
  <si>
    <t>Criteria</t>
  </si>
  <si>
    <t>Standard (based on national guidelines)</t>
  </si>
  <si>
    <t>Years</t>
  </si>
  <si>
    <t>family doctor/nurse?</t>
  </si>
  <si>
    <t>on site or remote service</t>
  </si>
  <si>
    <t>Length/Weight/Height measurement</t>
  </si>
  <si>
    <t>Child's length/weight/height measured during last year</t>
  </si>
  <si>
    <t>At least 10 X per year until 1st  year then, 3X per the second year, and then once per year</t>
  </si>
  <si>
    <t>nurse</t>
  </si>
  <si>
    <t xml:space="preserve">1st visit at home, from the 2nd on site </t>
  </si>
  <si>
    <t>Screening for hearing problems</t>
  </si>
  <si>
    <t>Screening for hearing conducted at 3 months and at each survailence visits</t>
  </si>
  <si>
    <t>5 X per 1st year</t>
  </si>
  <si>
    <t>doctor</t>
  </si>
  <si>
    <t>on site</t>
  </si>
  <si>
    <t>Screening for eye problems</t>
  </si>
  <si>
    <t>Screening for eye problems conducted at each surveilence visit</t>
  </si>
  <si>
    <t>7 X per year, 1st year</t>
  </si>
  <si>
    <t>Screening for hip displacement</t>
  </si>
  <si>
    <t>Screening for hip displacement problems conducted at each surveilence visit</t>
  </si>
  <si>
    <t xml:space="preserve"> Developmental and behavioral screening</t>
  </si>
  <si>
    <t>Child development assessed according to recommended criteria</t>
  </si>
  <si>
    <t>9, 12, 18, 24, 36, 48, 60 months</t>
  </si>
  <si>
    <t>Coverage by DPT vaccine</t>
  </si>
  <si>
    <t>Number of children aged 12 months given three shots of DPT vaccine</t>
  </si>
  <si>
    <t>2,3,4 months</t>
  </si>
  <si>
    <t>Coverage by MMR vaccine</t>
  </si>
  <si>
    <t>Number of children aged 5-6 years months given recommended dose of combined vaccine</t>
  </si>
  <si>
    <t>1 year, 5 years</t>
  </si>
  <si>
    <t xml:space="preserve">Control breast -feeding </t>
  </si>
  <si>
    <t>Breast feeding advised and monitored during check-up visits</t>
  </si>
  <si>
    <t xml:space="preserve">At least 7 X per year until 1st  year </t>
  </si>
  <si>
    <t>hygien santitary conditions</t>
  </si>
  <si>
    <t>Hygien and sanitary conditions assessed and parental counseling provided</t>
  </si>
  <si>
    <t>At the first home visit and then periodically by nurse</t>
  </si>
  <si>
    <t xml:space="preserve">socio-economis conditions </t>
  </si>
  <si>
    <t>Socio-economic conditions assessed and parental counseling provided</t>
  </si>
  <si>
    <t xml:space="preserve">1st visit at home, then needs based </t>
  </si>
  <si>
    <t xml:space="preserve">safety at home </t>
  </si>
  <si>
    <t>Safety at home assessed and parental counseling provided</t>
  </si>
  <si>
    <t>autism control test 18 months</t>
  </si>
  <si>
    <t>Screened specifically for ASD during regular well-child doctor visits at:
18 months
24 months                                                                                       Additional screening might be needed if a child is at high risk for ASD (e.g., having a sister, brother or other family member with an ASD) or if behaviors sometimes associated with ASD are present</t>
  </si>
  <si>
    <t>At 18 moths, 24 months</t>
  </si>
  <si>
    <t>nutrition, vit D</t>
  </si>
  <si>
    <t>Assess risk factors for vitamin D deficiency:           Anticonvulsant medication therapy
Chronic diseases associated with fat malabsorption
Darker skin pigmentation
Exclusive breastfeeding without vitamin D supplementation
Insufficient sunlight exposure
Low maternal vitamin D levels (risk factor for infants)</t>
  </si>
  <si>
    <t>At every follow up visit</t>
  </si>
  <si>
    <t>Visits at 6, 7, 8, 9, 10, 11 years</t>
  </si>
  <si>
    <t>History, examination, developmental screening,
vision, hearing tests, child abuse, immunization calendar</t>
  </si>
  <si>
    <t>1 X per  year</t>
  </si>
  <si>
    <t>Blood pressure measurement at 6 ,7, 8, 9, 10, 11, 12, 13, 14, 15  years</t>
  </si>
  <si>
    <t>BP measured</t>
  </si>
  <si>
    <t>Visits at 12, 13, 14, 15 years</t>
  </si>
  <si>
    <t>Signs of biological maturity, child abuse assessment, social relationships with friends and parents, learning difficulties</t>
  </si>
  <si>
    <t>Counseling at 12, 13, 14, 15 years visits</t>
  </si>
  <si>
    <t>Tobacco, alcohol, STD, Child-parent relationship, consultation of psychologist if needed</t>
  </si>
  <si>
    <t>Immunization</t>
  </si>
  <si>
    <t>Hepatitis B</t>
  </si>
  <si>
    <t>The medical institution carries out routine vaccination according to the National Vaccine Prevention callendar. The  staff is obliged to register the vaccinations, refusal of vaccinations, contraindications to vaccinations and post-vaccination complications. Prior to vaccination, medical personnel are required to assess the child's general condition, measure their temperature, and determine any contraindications to vaccination. If there is no documented confirmation of the child's vaccination status, all missed vaccinations should be given to the child on the day of the visit with appropriate vaccine and age.
Vaccinations are carried out according to vaccination techniques and rules, as well as by medical personnel who are in need of emergency medical care in case of complications, who are obliged to warn the patient / parent about possible adverse events of the vaccine and to provide appropriate consultation.
The immunization room must have first aid and anti-shock means. For example, corticosteroid hormones (adrenaline, prednisolone, hydrocortisone), antihistamines (Suprastin, Dimedrol, Pipolfen), cardiac drugs (Cordiamine, Caffeine, these drugs, anaphylaxis, anaphylaxis, saline), Corglycone, glucose solution , cup etc.
After vaccination, the child should be under the supervision of a doctor (nurse) for 30 minutes (in special cases - when vaccinated at home).</t>
  </si>
  <si>
    <t>per visit</t>
  </si>
  <si>
    <t>Penta (DPT, Hib, Hepatitis B)</t>
  </si>
  <si>
    <t>IPV</t>
  </si>
  <si>
    <t>OPV</t>
  </si>
  <si>
    <t>PCV 13</t>
  </si>
  <si>
    <t>Measles</t>
  </si>
  <si>
    <t>MMR</t>
  </si>
  <si>
    <t>DPT</t>
  </si>
  <si>
    <t>Td</t>
  </si>
  <si>
    <t>ASTHMA</t>
  </si>
  <si>
    <t>Unit cost
 (GEL)</t>
  </si>
  <si>
    <t>Symptoms assessment</t>
  </si>
  <si>
    <t>Asthma symptoms assessed based on ACT  test</t>
  </si>
  <si>
    <t>Spirometry</t>
  </si>
  <si>
    <t>FEV1  assessed during last year</t>
  </si>
  <si>
    <t>Asthma control assessment</t>
  </si>
  <si>
    <t>Asthma control assessed based on combined assessment during last year</t>
  </si>
  <si>
    <t>BMI measured</t>
  </si>
  <si>
    <t>BMI measured during last 12 months</t>
  </si>
  <si>
    <t>Inhalation technique checked and advice is given</t>
  </si>
  <si>
    <t>Inhalation technique checked and advice given during last year</t>
  </si>
  <si>
    <t>Pneumonia/Flu prevention</t>
  </si>
  <si>
    <t>Flu vaccination done during last year</t>
  </si>
  <si>
    <t>NCD WEIGTED AVERAGE CAPITATION</t>
  </si>
  <si>
    <t>Sub-package</t>
  </si>
  <si>
    <t>Target population</t>
  </si>
  <si>
    <t>Share of chronic patients</t>
  </si>
  <si>
    <t>Cost per capita per condition monthly</t>
  </si>
  <si>
    <t>Weighted 
capitation monthly</t>
  </si>
  <si>
    <t>Total diabetes patients having also hypertension</t>
  </si>
  <si>
    <t>Laboratory tests to be considered to include to the updated UHC program</t>
  </si>
  <si>
    <t>Baseline scenario 1 minimum without using copayment</t>
  </si>
  <si>
    <t>Scenario 2 actual need  without using copayment</t>
  </si>
  <si>
    <t>Scenario 3 minimum with copayment (exept vulnerable)</t>
  </si>
  <si>
    <t>Scenario 4 actual need with copayment (exept vulnerable)</t>
  </si>
  <si>
    <t>scenario 5 minimum fixed copayment except vulnerable</t>
  </si>
  <si>
    <t>scenario 6 actual need with fixed copayment except vulnerable</t>
  </si>
  <si>
    <t>Tests</t>
  </si>
  <si>
    <t>Minimum unit price (total, GEL)</t>
  </si>
  <si>
    <t>Target Population (n)</t>
  </si>
  <si>
    <t>Wounerable population</t>
  </si>
  <si>
    <t>Share of OOPs</t>
  </si>
  <si>
    <t>Priority</t>
  </si>
  <si>
    <t>Fixed copayment per test according to test priority</t>
  </si>
  <si>
    <t>Population in need (% of target population) (ingreased 25%)</t>
  </si>
  <si>
    <t>Population in need according to pervious analysis (% of target population)</t>
  </si>
  <si>
    <t>Total vounerable population in need</t>
  </si>
  <si>
    <t>Populatin except vunerable in need</t>
  </si>
  <si>
    <t>Total Population in need</t>
  </si>
  <si>
    <t>Cost per capita annually (add percentage)</t>
  </si>
  <si>
    <t>Share from the total cost</t>
  </si>
  <si>
    <t>Total cost for vunerable</t>
  </si>
  <si>
    <t>Total cost for population with copayment</t>
  </si>
  <si>
    <t>Per person cost for vunerable</t>
  </si>
  <si>
    <t xml:space="preserve">Per eprson cots for population with copayment </t>
  </si>
  <si>
    <t>CBC (Complete Blood Count)</t>
  </si>
  <si>
    <t>high</t>
  </si>
  <si>
    <t>Urine test</t>
  </si>
  <si>
    <t>Glucose in peripheral blood  </t>
  </si>
  <si>
    <t>Serum Creatinine</t>
  </si>
  <si>
    <t>Haemoglobin  </t>
  </si>
  <si>
    <t>Cholesterol in blood  </t>
  </si>
  <si>
    <t>Coagulation Time/Prothrombin time/ International Normalized ratio (INR)</t>
  </si>
  <si>
    <t>Lipid Profile</t>
  </si>
  <si>
    <t>Thyroid stimulating hormone - TSH</t>
  </si>
  <si>
    <t>Liver Function Tests - ALT, AST</t>
  </si>
  <si>
    <t>average</t>
  </si>
  <si>
    <t>FOB</t>
  </si>
  <si>
    <t>low</t>
  </si>
  <si>
    <t xml:space="preserve">Chest x-ray </t>
  </si>
  <si>
    <t>Transabdominal ultrasound (Ultrasound of the digestive system, genitourinary system and small pelvic organs (transabdominal)</t>
  </si>
  <si>
    <t xml:space="preserve">HbA1C </t>
  </si>
  <si>
    <t>C-reactive protein rapid test</t>
  </si>
  <si>
    <t>Rapid Streptococcus A-test</t>
  </si>
  <si>
    <t>Fetal ultrasound (for antenatal care in rural)</t>
  </si>
  <si>
    <t>ESR (Erythrocyte sedimentation rate)</t>
  </si>
  <si>
    <t>Serum Glucose</t>
  </si>
  <si>
    <t>Urine microscopy</t>
  </si>
  <si>
    <t>C- peptide</t>
  </si>
  <si>
    <t>Homa 2</t>
  </si>
  <si>
    <t>Minimum requirements for a single practitioner working jointly with a nurse</t>
  </si>
  <si>
    <t>A family doctor should have at least the following necessary premises per one fmaily doctor and nurse:</t>
  </si>
  <si>
    <t>Name of the room</t>
  </si>
  <si>
    <t>Area, m2</t>
  </si>
  <si>
    <t>Reception room</t>
  </si>
  <si>
    <t>12 x 2 or 16</t>
  </si>
  <si>
    <t>Procedure room</t>
  </si>
  <si>
    <t>Waiting room</t>
  </si>
  <si>
    <t>WC</t>
  </si>
  <si>
    <t>Auxiliary room</t>
  </si>
  <si>
    <t>2 × 2</t>
  </si>
  <si>
    <t>The area of premises may be up to 10% less than the permitted size.</t>
  </si>
  <si>
    <t>Family doctors working together shall have at least one procedure room for three family doctors.</t>
  </si>
  <si>
    <t>Costs related to rooms</t>
  </si>
  <si>
    <t>Rent/capitalization costs per m2</t>
  </si>
  <si>
    <t>Total rent/capitalization costs</t>
  </si>
  <si>
    <t>Maintanance</t>
  </si>
  <si>
    <t>Heating per m2</t>
  </si>
  <si>
    <t>Total facility costs per m2</t>
  </si>
  <si>
    <t>Item</t>
  </si>
  <si>
    <t xml:space="preserve"> Price in GEL </t>
  </si>
  <si>
    <t>pc/L</t>
  </si>
  <si>
    <t>amortization</t>
  </si>
  <si>
    <t>PC computer  კომპიუტერი without programms</t>
  </si>
  <si>
    <t>Printer multifunctional  with scaner</t>
  </si>
  <si>
    <t>Transportation</t>
  </si>
  <si>
    <t>Generator გენერატორი</t>
  </si>
  <si>
    <t>Fuel for car/generator (transportation)</t>
  </si>
  <si>
    <t>Refrigerator მაცივარი</t>
  </si>
  <si>
    <t>Tables/benches მაგიდა/მერხი</t>
  </si>
  <si>
    <t>Chairs სკამები</t>
  </si>
  <si>
    <t>Air conditioning კონდიციონერი</t>
  </si>
  <si>
    <t>Filtration/Climat/Control System ( კლინატ კონტროლის სისტემა)</t>
  </si>
  <si>
    <t>Other furniture სხვა ავეჯი (office cabinet, blinds, safes, shelves, , Standing coat/Clothes hangers etc.) (საოფისე კაბინეტი, ჟალუზები, სეიფები, თაროები, კარადები/ ტანსაცმლის საკიდები და ა.შ.)</t>
  </si>
  <si>
    <t>Total monthly costs</t>
  </si>
  <si>
    <t>Office  supplies per month</t>
  </si>
  <si>
    <t xml:space="preserve">Price in GEL </t>
  </si>
  <si>
    <t>pc annual</t>
  </si>
  <si>
    <t>exercise book ჟურნალი</t>
  </si>
  <si>
    <t>pen  კალამი</t>
  </si>
  <si>
    <t>towel პირსახოცი (ქაღალდის) ერთჯერადი</t>
  </si>
  <si>
    <t>toilet paper ტუალეტის ქაღალდი</t>
  </si>
  <si>
    <t>soap საპონი</t>
  </si>
  <si>
    <t>calculator კალკულატორი</t>
  </si>
  <si>
    <t>Folder ფოლდერი</t>
  </si>
  <si>
    <t>File ფაილი</t>
  </si>
  <si>
    <t>cartridge კარტრეჯი</t>
  </si>
  <si>
    <t>cartridge for printers combine</t>
  </si>
  <si>
    <t>pencils for white board დაფის საწერი</t>
  </si>
  <si>
    <t>papers in pack. ქაღალდები</t>
  </si>
  <si>
    <t>paper case ქაღალდების ბაინდერები</t>
  </si>
  <si>
    <t>paper glue წებო</t>
  </si>
  <si>
    <t>monthly cost</t>
  </si>
  <si>
    <t>Communication, utilities and services recurrent costs</t>
  </si>
  <si>
    <t xml:space="preserve">Average monthly cost </t>
  </si>
  <si>
    <t xml:space="preserve">Average  cost annually </t>
  </si>
  <si>
    <t>Voice communication-fixed line ხაზის სატელეფონო კომუნიკაცია</t>
  </si>
  <si>
    <t>Voice communication-mobile მობილურით კომუნიკაცია</t>
  </si>
  <si>
    <t>Internet  ინტერნეტი</t>
  </si>
  <si>
    <t>Electricity-consumption ელენერგია</t>
  </si>
  <si>
    <t>Water &amp; sewerage წყალი და კანალიზაცია</t>
  </si>
  <si>
    <t>Waste removal ნაგვის გატანა/ბიონარჩენების ჩათვლით</t>
  </si>
  <si>
    <t>Cleaning დასუფთავება (everyday&amp;general  cleaning, organic cleaning etc.)</t>
  </si>
  <si>
    <t>Accounting ბუღალტერია</t>
  </si>
  <si>
    <t>Audit აუდიტი</t>
  </si>
  <si>
    <t>Deratization/disinfection - დერატიზაცია/დეზინფექცია</t>
  </si>
  <si>
    <t>Labor safety- შრომის უსაფრთხოება</t>
  </si>
  <si>
    <t>Calibration/Metrology (State Standard control) - კალიბრაცია/მეტროლოგია</t>
  </si>
  <si>
    <t>Medical card software provision - სამედიცინო რუქა - ლოკალური EMR</t>
  </si>
  <si>
    <t>Medical card software update - გახალება/მომსახურება</t>
  </si>
  <si>
    <t>IT technical service - საინფომრაციო ტექნიკური მომსახურება</t>
  </si>
  <si>
    <t>Data storage - cloud - მონაცემთა შენახვა ქლაუდში</t>
  </si>
  <si>
    <t>SPECIALIST SERVICES</t>
  </si>
  <si>
    <t>Specialist services currentl included in the UHC program</t>
  </si>
  <si>
    <t>scenario 1</t>
  </si>
  <si>
    <t>Scenario 2. Listed specialist included (as today) with 30% copayment (except vunerable)</t>
  </si>
  <si>
    <t>Scenario 3. Listed specialist included (as today) with fixed copayment 10 lari (except vunerable)</t>
  </si>
  <si>
    <t>minimum market unit price (total, lari)</t>
  </si>
  <si>
    <t>Vunerable population</t>
  </si>
  <si>
    <t>Copayment as a %</t>
  </si>
  <si>
    <t>Copayment as ficed price</t>
  </si>
  <si>
    <t>Population in need (% of target population)</t>
  </si>
  <si>
    <t>Total vunerable population in need</t>
  </si>
  <si>
    <t>Cost per capita annually</t>
  </si>
  <si>
    <t>Cost per capita monthly</t>
  </si>
  <si>
    <t>total vunerable with no copayment</t>
  </si>
  <si>
    <t>Cost per capita annually with copayment</t>
  </si>
  <si>
    <t>Endocrinologist</t>
  </si>
  <si>
    <t>Oculist</t>
  </si>
  <si>
    <t>Cardiologist</t>
  </si>
  <si>
    <t>Neurologist</t>
  </si>
  <si>
    <t>Otorhinolaryngologist</t>
  </si>
  <si>
    <t>Gynecologist</t>
  </si>
  <si>
    <t>Urologist</t>
  </si>
  <si>
    <t>Surgeon</t>
  </si>
  <si>
    <t>Medical equipment</t>
  </si>
  <si>
    <t>Reusable medical equipment</t>
  </si>
  <si>
    <t>pc</t>
  </si>
  <si>
    <t xml:space="preserve">Total cost </t>
  </si>
  <si>
    <t>Instrument table ( ინსტრუმენტების მაგიდა)</t>
  </si>
  <si>
    <t>pulse oximeter</t>
  </si>
  <si>
    <t>Kidney basin (თირკმლის ფორმის იარეღების ჩასადები)</t>
  </si>
  <si>
    <t>Steriliser drum ( გასტერიზებული მასალის ჩასადები  სპეციალური რკინის მრგვალი თავსახურიანი )</t>
  </si>
  <si>
    <t>Vaccine Refridgerator ( მაცივარი)for cold chain</t>
  </si>
  <si>
    <t>Adult scale  ( მოზრდილთა სასწორი)</t>
  </si>
  <si>
    <t>Infant scale ( ახალშობილთა სასწორი)</t>
  </si>
  <si>
    <t>Height Measuring ( სიმაღლის საზომი)</t>
  </si>
  <si>
    <t>Infant Measuring  ( ახალშობილთა საზომი)</t>
  </si>
  <si>
    <t>Tape measure ( მეტრიანი)</t>
  </si>
  <si>
    <t>Stethoscope (A) ( სტეტოსკოპი)</t>
  </si>
  <si>
    <t>Stethoscope (F)</t>
  </si>
  <si>
    <t>Thermometer (თერმომეტრი)</t>
  </si>
  <si>
    <t>Opthalmoscope (ოფთალმოსკოპი)</t>
  </si>
  <si>
    <t>Vision Chart  ( მხედველობის ტაბულა)</t>
  </si>
  <si>
    <t>Flashlight ( სანათი)</t>
  </si>
  <si>
    <t>Reflex hammer ( ნევროლოგიური ჩაქუჩი)</t>
  </si>
  <si>
    <t>Otoscope ( ოტოსკოპი)</t>
  </si>
  <si>
    <t>Sphygmomanometer, aneroid ( წნევის აპარატი)</t>
  </si>
  <si>
    <t xml:space="preserve">Cuff, spare, for sphygmom.,child size ( ბავშვის ზომა, მანჟეტი, მილი) </t>
  </si>
  <si>
    <t>Electrocardiograph  (ელექტროკარდიოგრაფი)</t>
  </si>
  <si>
    <t>Negatoscope ( ნეგატოსკოპი)</t>
  </si>
  <si>
    <t>Tuning folk ( კამერტონი)</t>
  </si>
  <si>
    <t xml:space="preserve">Simple ear syringing equipment </t>
  </si>
  <si>
    <t>Nebuliser ( ნებულაიზერი)</t>
  </si>
  <si>
    <t>Peakflow meters ( პიკფლოუმეტრი)</t>
  </si>
  <si>
    <t>Medical-covered screen - სამედიცინო შირმები</t>
  </si>
  <si>
    <t>Examination coach გასასინჯი ტახტი</t>
  </si>
  <si>
    <t>Stative for incusion system</t>
  </si>
  <si>
    <t>FD and nurse clothing and doctors bag</t>
  </si>
  <si>
    <t>Total cost monthly</t>
  </si>
  <si>
    <t>Disposable medical equipment</t>
  </si>
  <si>
    <t>pc monthly</t>
  </si>
  <si>
    <t xml:space="preserve">total </t>
  </si>
  <si>
    <t>Disposable gloves ერთჯერადი ხელთათმანი</t>
  </si>
  <si>
    <t>Assorted syringes and needles შპრიცები/ნემსები</t>
  </si>
  <si>
    <t>Spadel (შპადელი)  # 100 1ც</t>
  </si>
  <si>
    <t>Surgical masks ( ქირურგიული ნიღაბი)</t>
  </si>
  <si>
    <t>retention Bandages ( დამჭერი ბანდაჟი)წელის</t>
  </si>
  <si>
    <t>support and compression bandages ( ელასტიური ბინტი)</t>
  </si>
  <si>
    <t>Wound dressing pads (ჭრილობის პლასტერი)</t>
  </si>
  <si>
    <t>Sterile Dressings (სტერილური ბინტი)</t>
  </si>
  <si>
    <t>Adhesive tapes ( წებოვანი ლენტა)</t>
  </si>
  <si>
    <t>surgical absorbents ( ქირურგიული შემწოვი ქსოვილი) კეტგუტი</t>
  </si>
  <si>
    <t xml:space="preserve">Mediswabs  </t>
  </si>
  <si>
    <t>Cotton wool ბამბა 50გ</t>
  </si>
  <si>
    <t>Antiseptics ანტისეპტიკური ხსნარი  betadine  120 mg</t>
  </si>
  <si>
    <t>Iodine იოდი</t>
  </si>
  <si>
    <t>Spiritus vini - 1 litres</t>
  </si>
  <si>
    <t>Hydrogen peroxide წყალბადის ზეჟანგი</t>
  </si>
  <si>
    <t>PPE equpment for service providers (COVID related)</t>
  </si>
  <si>
    <t>pc per month</t>
  </si>
  <si>
    <t xml:space="preserve">Total </t>
  </si>
  <si>
    <t>Surgical masks</t>
  </si>
  <si>
    <t>FFP2</t>
  </si>
  <si>
    <t>Gowns</t>
  </si>
  <si>
    <t xml:space="preserve">Disposable gloves </t>
  </si>
  <si>
    <t>Desinfectant 1 litres with dispenser</t>
  </si>
  <si>
    <t>Locally acting, oral and rectal drugs for urgent care, annually</t>
  </si>
  <si>
    <t>Metoprolol   50mg N 30</t>
  </si>
  <si>
    <t>Calcium channel blockers, Antiarrhythmic drugs</t>
  </si>
  <si>
    <t>Nifedipine 10mg  N 30</t>
  </si>
  <si>
    <t>ACE inhibitors</t>
  </si>
  <si>
    <t xml:space="preserve">Captopril 25mg  N 20 </t>
  </si>
  <si>
    <t>Antihypotensive agents</t>
  </si>
  <si>
    <t xml:space="preserve">Caffeine #10 </t>
  </si>
  <si>
    <t>Diuretic medications</t>
  </si>
  <si>
    <t>Frusemide 20mg/2ml  N 10</t>
  </si>
  <si>
    <t xml:space="preserve">Non-Narcotic, analgesic, antipyretic and anti-inflammatory drugs </t>
  </si>
  <si>
    <t>Paracetamol  250mg N10 in supp</t>
  </si>
  <si>
    <t>Peripheral vasodilator agents</t>
  </si>
  <si>
    <t>Glyceryl trinitrate (administered sublingually) 0,5mg N 40</t>
  </si>
  <si>
    <t>Bronchodilators</t>
  </si>
  <si>
    <t>Salbutamol sulfate  Inhalation  aerosol formulation 100mcg 200 dose  N 1</t>
  </si>
  <si>
    <t>Anti spasm drugs</t>
  </si>
  <si>
    <t>Drotaverine hydrochloride 2ml N 25</t>
  </si>
  <si>
    <t xml:space="preserve">Centrally acting antianalgesic agents </t>
  </si>
  <si>
    <t xml:space="preserve">Catorolac Solution 3% 1ml N10 </t>
  </si>
  <si>
    <t>Antianalgesic - Adrenostimulants</t>
  </si>
  <si>
    <t>Adrenaline  0.18% - 1ml  N 10</t>
  </si>
  <si>
    <t>Sodium Chloride Intravenous Infusion  0,9%</t>
  </si>
  <si>
    <t>Glucocorticoids  and Mineralocorticoids</t>
  </si>
  <si>
    <t>Dexamethasone 4mg/ml  N25</t>
  </si>
  <si>
    <t>Consumables infusion systems</t>
  </si>
  <si>
    <t>Total annual cost</t>
  </si>
  <si>
    <t>VISIT COST CALCULATIONS</t>
  </si>
  <si>
    <t xml:space="preserve">Staff </t>
  </si>
  <si>
    <t>Working hours/week</t>
  </si>
  <si>
    <t>Monthly salary (GEL)</t>
  </si>
  <si>
    <t>Annual salary (GEL)</t>
  </si>
  <si>
    <t>Hourly rate</t>
  </si>
  <si>
    <t>Rate per minutes</t>
  </si>
  <si>
    <t>Family Doctor</t>
  </si>
  <si>
    <t>Costing a GP/nurse consultation</t>
  </si>
  <si>
    <t>Health worker</t>
  </si>
  <si>
    <t>Cost per minute</t>
  </si>
  <si>
    <t>Consultation (in minutes)</t>
  </si>
  <si>
    <t>Labor cost per consultation</t>
  </si>
  <si>
    <t>with overhead, room cost (15% mark up)</t>
  </si>
  <si>
    <t xml:space="preserve">Nurse </t>
  </si>
  <si>
    <t>Costing a GP/nurse remote consultation</t>
  </si>
  <si>
    <t>Costing a GP/nurse home visit</t>
  </si>
  <si>
    <t>with overhead, transportation cost (20% mark up)</t>
  </si>
  <si>
    <t>POPULATION DISTRIBUTION</t>
  </si>
  <si>
    <t>Age Interval</t>
  </si>
  <si>
    <t>Male</t>
  </si>
  <si>
    <t>Female</t>
  </si>
  <si>
    <t>up to 1</t>
  </si>
  <si>
    <t>25,7</t>
  </si>
  <si>
    <t>23,9</t>
  </si>
  <si>
    <t>28,9</t>
  </si>
  <si>
    <t>27,0</t>
  </si>
  <si>
    <t>33,7</t>
  </si>
  <si>
    <t>31,1</t>
  </si>
  <si>
    <t>29,6</t>
  </si>
  <si>
    <t>26,6</t>
  </si>
  <si>
    <t>27,3</t>
  </si>
  <si>
    <t>24,1</t>
  </si>
  <si>
    <t>15 to 18</t>
  </si>
  <si>
    <t>81,8</t>
  </si>
  <si>
    <t>72,4</t>
  </si>
  <si>
    <t>19 to 39</t>
  </si>
  <si>
    <t>507,6</t>
  </si>
  <si>
    <t>492,8</t>
  </si>
  <si>
    <t>40 to 49</t>
  </si>
  <si>
    <t>234,2</t>
  </si>
  <si>
    <t>240,5</t>
  </si>
  <si>
    <t>50 to 64</t>
  </si>
  <si>
    <t>335,1</t>
  </si>
  <si>
    <t>390,4</t>
  </si>
  <si>
    <t>&gt;64</t>
  </si>
  <si>
    <t>210,1</t>
  </si>
  <si>
    <t>347,1</t>
  </si>
  <si>
    <t>1790,6</t>
  </si>
  <si>
    <t>1929,6</t>
  </si>
  <si>
    <t>Group</t>
  </si>
  <si>
    <t>Number of beneficiaries</t>
  </si>
  <si>
    <t>% of population</t>
  </si>
  <si>
    <t>I Households below the poverty line (&lt;70,000 points on the social assistance scale), teachers, public artistes, children in foster care, settled internally displaced people</t>
  </si>
  <si>
    <t>II Pensioners, children aged 0-5 years, students, people registered as disabled</t>
  </si>
  <si>
    <t>III Veterans</t>
  </si>
  <si>
    <t>SCENARIO ANALYSIS</t>
  </si>
  <si>
    <t>Assumptions</t>
  </si>
  <si>
    <t>Per capita</t>
  </si>
  <si>
    <t>budget</t>
  </si>
  <si>
    <t>% of total budget</t>
  </si>
  <si>
    <t>%of basic capitation</t>
  </si>
  <si>
    <t>Baseline scenarios for priority service programs</t>
  </si>
  <si>
    <t>Population coverage</t>
  </si>
  <si>
    <t>Coverage</t>
  </si>
  <si>
    <t>Patient list size</t>
  </si>
  <si>
    <t xml:space="preserve">Priority NCDs </t>
  </si>
  <si>
    <t>Total minimum costs</t>
  </si>
  <si>
    <t>Asthma coverage</t>
  </si>
  <si>
    <t>Diabetes coverage</t>
  </si>
  <si>
    <t>Specialist services</t>
  </si>
  <si>
    <t>not included</t>
  </si>
  <si>
    <t>Hypertension coverage</t>
  </si>
  <si>
    <t>Doctor monthly salary (with taxes)</t>
  </si>
  <si>
    <t>Baseline scenario including salary component</t>
  </si>
  <si>
    <t>Nurse monthly salary (with taxes)</t>
  </si>
  <si>
    <t>Baseline scenario excluding specialist visit</t>
  </si>
  <si>
    <t>Workforce related costs</t>
  </si>
  <si>
    <t>Scenarios for child health programs</t>
  </si>
  <si>
    <t>Premises</t>
  </si>
  <si>
    <t>0 to 5 years</t>
  </si>
  <si>
    <t>COVID related PPE costs</t>
  </si>
  <si>
    <t>included</t>
  </si>
  <si>
    <t>0 to 2 years</t>
  </si>
  <si>
    <t>0 to 14 years</t>
  </si>
  <si>
    <t>Room rent or capitalization costs (m2)</t>
  </si>
  <si>
    <t>Total budget impact</t>
  </si>
  <si>
    <t xml:space="preserve">Assumed coverage for NCD programs </t>
  </si>
  <si>
    <t xml:space="preserve">Budget </t>
  </si>
  <si>
    <t>Impact</t>
  </si>
  <si>
    <t>Share of population enrolled</t>
  </si>
  <si>
    <t>Budget impact</t>
  </si>
  <si>
    <t>Assumed coverage children up to 5</t>
  </si>
  <si>
    <t>Size of patient list</t>
  </si>
  <si>
    <t>Scenario 2. Actual need for tests to be covered at PHC level</t>
  </si>
  <si>
    <t>Scenario 3. Minimum need with a 30% copayment (excluding vunerable)</t>
  </si>
  <si>
    <t>Scenario 4. Actual needwith a 30% copayment (excluding vunerable)</t>
  </si>
  <si>
    <t>Scenario 5. Minimum need with a fixed copayment according to the priority of the test (excluding vunerable)</t>
  </si>
  <si>
    <t>Scenario 6. Actual need fixed copayment according to the priority of the test (excluding vunerable)</t>
  </si>
  <si>
    <t>Workforce</t>
  </si>
  <si>
    <t>Average salary (with taxes)</t>
  </si>
  <si>
    <t>Average salary with bonus payments (with taxes)</t>
  </si>
  <si>
    <t>excluding assistant</t>
  </si>
  <si>
    <t>excluding training</t>
  </si>
  <si>
    <t>Room costs</t>
  </si>
  <si>
    <t>rent included in the capitation</t>
  </si>
  <si>
    <t>maintanance and heating excluded</t>
  </si>
  <si>
    <t>Minimum of  62 m2 including rent</t>
  </si>
  <si>
    <t>Minimum of  62 m2 for maintanance and heating</t>
  </si>
  <si>
    <t>Rent or capitalization</t>
  </si>
  <si>
    <t>Budget</t>
  </si>
  <si>
    <t>40m2</t>
  </si>
  <si>
    <t>60m2</t>
  </si>
  <si>
    <t>70m2</t>
  </si>
  <si>
    <t>PAYMENT DESIGN</t>
  </si>
  <si>
    <t>Sub-packages</t>
  </si>
  <si>
    <t>Average population per FD and nurse</t>
  </si>
  <si>
    <t>Monthly cost Per Enrollee</t>
  </si>
  <si>
    <t>Unified monthly per capita cost</t>
  </si>
  <si>
    <t>Annual budget per FD and nurse</t>
  </si>
  <si>
    <t>% of total annual budget</t>
  </si>
  <si>
    <t>Basic capitation</t>
  </si>
  <si>
    <t>Priority packages</t>
  </si>
  <si>
    <t>NCD package (asthma, diabetes and hypertension)</t>
  </si>
  <si>
    <t>Child health (0-5) package</t>
  </si>
  <si>
    <t>Room rent or capitalization allowance</t>
  </si>
  <si>
    <t>Total annual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</si>
</sst>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_-* #,##0.00_-;\-* #,##0.00_-;_-* &quot;-&quot;??_-;_-@_-"/>
    <numFmt numFmtId="165" formatCode="_-* #,##0.00\ _€_-;\-* #,##0.00\ _€_-;_-* &quot;-&quot;??\ _€_-;_-@_-"/>
    <numFmt numFmtId="166" formatCode="_(* #,##0_);_(* \(#,##0\);_(* &quot;-&quot;??_);_(@_)"/>
    <numFmt numFmtId="167" formatCode="_(&quot;$&quot;* #,##0.0_);_(&quot;$&quot;* \(#,##0.0\);_(&quot;$&quot;* &quot;-&quot;??_);_(@_)"/>
    <numFmt numFmtId="168" formatCode="0.0%"/>
    <numFmt numFmtId="169" formatCode="_-* #,##0_-;\-* #,##0_-;_-* &quot;-&quot;??_-;_-@"/>
    <numFmt numFmtId="170" formatCode="_-* #,##0.00_-;\-* #,##0.00_-;_-* &quot;-&quot;??_-;_-@"/>
    <numFmt numFmtId="171" formatCode="_-* #,##0_-;\-* #,##0_-;_-* &quot;-&quot;??_-;_-@_-"/>
    <numFmt numFmtId="172" formatCode="_-&quot;€&quot;* #,##0.00_-;\-&quot;€&quot;* #,##0.00_-;_-&quot;€&quot;* &quot;-&quot;??_-;_-@_-"/>
    <numFmt numFmtId="173" formatCode="0.0"/>
    <numFmt numFmtId="174" formatCode="#,##0.00_ ;\-#,##0.00\ "/>
    <numFmt numFmtId="175" formatCode="#,##0.0000"/>
    <numFmt numFmtId="176" formatCode="#,##0_ ;\-#,##0\ "/>
  </numFmts>
  <fonts count="40">
    <font>
      <sz val="11"/>
      <color rgb="FF000000"/>
      <name val="Calibri"/>
    </font>
    <font>
      <b/>
      <sz val="11"/>
      <color rgb="FF000000"/>
      <name val="Calibri"/>
      <family val="2"/>
      <charset val="186"/>
    </font>
    <font>
      <sz val="11"/>
      <name val="Calibri"/>
      <family val="2"/>
      <charset val="186"/>
    </font>
    <font>
      <b/>
      <i/>
      <sz val="11"/>
      <color rgb="FF000000"/>
      <name val="Calibri"/>
      <family val="2"/>
      <charset val="186"/>
    </font>
    <font>
      <sz val="12"/>
      <color rgb="FF000000"/>
      <name val="Calibri"/>
      <family val="2"/>
      <charset val="186"/>
    </font>
    <font>
      <sz val="10"/>
      <name val="Arial"/>
      <family val="2"/>
      <charset val="186"/>
    </font>
    <font>
      <sz val="11"/>
      <color rgb="FF000000"/>
      <name val="Calibri"/>
      <family val="2"/>
      <charset val="186"/>
    </font>
    <font>
      <sz val="12"/>
      <color theme="1"/>
      <name val="Calibri"/>
      <family val="2"/>
      <scheme val="minor"/>
    </font>
    <font>
      <b/>
      <sz val="10"/>
      <name val="Calibri"/>
      <family val="2"/>
    </font>
    <font>
      <sz val="11"/>
      <color theme="1"/>
      <name val="Arial"/>
      <family val="2"/>
      <charset val="186"/>
    </font>
    <font>
      <sz val="10"/>
      <color theme="1"/>
      <name val="Calibri"/>
      <family val="2"/>
      <charset val="186"/>
    </font>
    <font>
      <sz val="11"/>
      <color rgb="FFFF0000"/>
      <name val="Calibri"/>
      <family val="2"/>
      <charset val="186"/>
    </font>
    <font>
      <sz val="11"/>
      <color rgb="FF000000"/>
      <name val="Calibri"/>
      <family val="2"/>
      <charset val="186"/>
    </font>
    <font>
      <sz val="10"/>
      <color rgb="FF000000"/>
      <name val="Calibri"/>
      <family val="2"/>
      <charset val="186"/>
    </font>
    <font>
      <b/>
      <sz val="10"/>
      <color rgb="FF000000"/>
      <name val="Calibri"/>
      <family val="2"/>
      <charset val="186"/>
    </font>
    <font>
      <sz val="10"/>
      <color rgb="FF000000"/>
      <name val="Times New Roman"/>
      <family val="1"/>
      <charset val="186"/>
    </font>
    <font>
      <b/>
      <i/>
      <sz val="10"/>
      <name val="Calibri"/>
      <family val="2"/>
      <charset val="186"/>
      <scheme val="minor"/>
    </font>
    <font>
      <sz val="10"/>
      <name val="Calibri"/>
      <family val="2"/>
      <charset val="186"/>
      <scheme val="minor"/>
    </font>
    <font>
      <b/>
      <sz val="10"/>
      <name val="Calibri"/>
      <family val="2"/>
      <charset val="186"/>
      <scheme val="minor"/>
    </font>
    <font>
      <sz val="10"/>
      <color rgb="FF000000"/>
      <name val="Calibri"/>
      <family val="2"/>
      <charset val="186"/>
      <scheme val="minor"/>
    </font>
    <font>
      <sz val="10"/>
      <color rgb="FFFF0000"/>
      <name val="Calibri"/>
      <family val="2"/>
      <charset val="186"/>
      <scheme val="minor"/>
    </font>
    <font>
      <sz val="10"/>
      <color rgb="FFFF0000"/>
      <name val="Calibri"/>
      <family val="2"/>
      <charset val="186"/>
    </font>
    <font>
      <sz val="10"/>
      <name val="Calibri"/>
      <family val="2"/>
      <charset val="186"/>
    </font>
    <font>
      <b/>
      <sz val="10"/>
      <name val="Calibri"/>
      <family val="2"/>
      <charset val="186"/>
    </font>
    <font>
      <b/>
      <sz val="10"/>
      <color theme="1"/>
      <name val="Calibri"/>
      <family val="2"/>
      <charset val="186"/>
    </font>
    <font>
      <sz val="10"/>
      <color theme="1"/>
      <name val="Arial"/>
      <family val="2"/>
      <charset val="186"/>
    </font>
    <font>
      <b/>
      <sz val="10"/>
      <color rgb="FF000000"/>
      <name val="Times New Roman"/>
      <family val="1"/>
      <charset val="186"/>
    </font>
    <font>
      <sz val="10"/>
      <color rgb="FF000000"/>
      <name val="Calibri "/>
      <charset val="186"/>
    </font>
    <font>
      <sz val="10"/>
      <name val="Calibri "/>
      <charset val="186"/>
    </font>
    <font>
      <b/>
      <sz val="10"/>
      <color rgb="FF000000"/>
      <name val="Calibri "/>
      <charset val="186"/>
    </font>
    <font>
      <b/>
      <sz val="11"/>
      <name val="Calibri"/>
      <family val="2"/>
      <charset val="186"/>
    </font>
    <font>
      <sz val="12"/>
      <name val="Calibri"/>
      <family val="2"/>
    </font>
    <font>
      <b/>
      <sz val="10"/>
      <color theme="1"/>
      <name val="Calibri"/>
      <family val="2"/>
      <charset val="186"/>
      <scheme val="minor"/>
    </font>
    <font>
      <sz val="10"/>
      <color theme="1"/>
      <name val="Calibri"/>
      <family val="2"/>
      <charset val="186"/>
      <scheme val="minor"/>
    </font>
    <font>
      <b/>
      <sz val="10"/>
      <color rgb="FF000000"/>
      <name val="Calibri"/>
      <family val="2"/>
      <charset val="186"/>
      <scheme val="minor"/>
    </font>
    <font>
      <b/>
      <i/>
      <sz val="10"/>
      <name val="Calibri "/>
      <charset val="186"/>
    </font>
    <font>
      <b/>
      <sz val="10"/>
      <name val="Calibri "/>
      <charset val="186"/>
    </font>
    <font>
      <b/>
      <sz val="10"/>
      <color rgb="FFFF0000"/>
      <name val="Calibri "/>
      <charset val="186"/>
    </font>
    <font>
      <b/>
      <sz val="10"/>
      <color rgb="FFFF0000"/>
      <name val="Calibri"/>
      <family val="2"/>
      <charset val="186"/>
      <scheme val="minor"/>
    </font>
    <font>
      <b/>
      <i/>
      <sz val="10"/>
      <color theme="1"/>
      <name val="Calibri"/>
      <family val="2"/>
      <charset val="186"/>
      <scheme val="minor"/>
    </font>
  </fonts>
  <fills count="21">
    <fill>
      <patternFill patternType="none"/>
    </fill>
    <fill>
      <patternFill patternType="gray125"/>
    </fill>
    <fill>
      <patternFill patternType="solid">
        <fgColor rgb="FFF2F2F2"/>
        <bgColor rgb="FFF2F2F2"/>
      </patternFill>
    </fill>
    <fill>
      <patternFill patternType="solid">
        <fgColor rgb="FF000000"/>
        <bgColor rgb="FF000000"/>
      </patternFill>
    </fill>
    <fill>
      <patternFill patternType="solid">
        <fgColor rgb="FFA5A5A5"/>
        <bgColor rgb="FFA5A5A5"/>
      </patternFill>
    </fill>
    <fill>
      <patternFill patternType="solid">
        <fgColor rgb="FFD0CECE"/>
        <bgColor rgb="FFD0CECE"/>
      </patternFill>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
      <patternFill patternType="solid">
        <fgColor rgb="FFBFBFBF"/>
        <bgColor rgb="FFBFBFBF"/>
      </patternFill>
    </fill>
    <fill>
      <patternFill patternType="solid">
        <fgColor theme="0"/>
        <bgColor theme="7"/>
      </patternFill>
    </fill>
    <fill>
      <patternFill patternType="solid">
        <fgColor theme="0"/>
        <bgColor rgb="FFFFFF00"/>
      </patternFill>
    </fill>
    <fill>
      <patternFill patternType="solid">
        <fgColor rgb="FFFFFFFF"/>
        <bgColor rgb="FF000000"/>
      </patternFill>
    </fill>
    <fill>
      <patternFill patternType="solid">
        <fgColor theme="0" tint="-0.14999847407452621"/>
        <bgColor indexed="64"/>
      </patternFill>
    </fill>
    <fill>
      <patternFill patternType="solid">
        <fgColor theme="0" tint="-0.14999847407452621"/>
        <bgColor rgb="FFFFC000"/>
      </patternFill>
    </fill>
    <fill>
      <patternFill patternType="solid">
        <fgColor theme="0" tint="-0.14999847407452621"/>
        <bgColor rgb="FFE2EFD9"/>
      </patternFill>
    </fill>
    <fill>
      <patternFill patternType="solid">
        <fgColor theme="0" tint="-0.14999847407452621"/>
        <bgColor rgb="FFF2F2F2"/>
      </patternFill>
    </fill>
    <fill>
      <patternFill patternType="solid">
        <fgColor theme="0" tint="-0.14999847407452621"/>
        <bgColor rgb="FFD9E2F3"/>
      </patternFill>
    </fill>
    <fill>
      <patternFill patternType="solid">
        <fgColor theme="0" tint="-0.499984740745262"/>
        <bgColor indexed="64"/>
      </patternFill>
    </fill>
  </fills>
  <borders count="52">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bottom style="thin">
        <color rgb="FF000000"/>
      </bottom>
      <diagonal/>
    </border>
    <border>
      <left style="medium">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medium">
        <color rgb="FF000000"/>
      </top>
      <bottom style="medium">
        <color rgb="FF000000"/>
      </bottom>
      <diagonal/>
    </border>
    <border>
      <left style="thin">
        <color rgb="FF000000"/>
      </left>
      <right/>
      <top style="thin">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bottom/>
      <diagonal/>
    </border>
    <border>
      <left/>
      <right/>
      <top style="medium">
        <color rgb="FF000000"/>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rgb="FF000000"/>
      </top>
      <bottom style="thin">
        <color rgb="FF000000"/>
      </bottom>
      <diagonal/>
    </border>
    <border>
      <left style="thin">
        <color indexed="64"/>
      </left>
      <right/>
      <top style="thin">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auto="1"/>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rgb="FF000000"/>
      </left>
      <right style="thin">
        <color rgb="FF000000"/>
      </right>
      <top style="thin">
        <color rgb="FF000000"/>
      </top>
      <bottom/>
      <diagonal/>
    </border>
    <border>
      <left/>
      <right style="thin">
        <color indexed="64"/>
      </right>
      <top style="thin">
        <color indexed="64"/>
      </top>
      <bottom/>
      <diagonal/>
    </border>
    <border>
      <left style="thin">
        <color indexed="64"/>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style="thin">
        <color rgb="FF000000"/>
      </right>
      <top/>
      <bottom/>
      <diagonal/>
    </border>
    <border>
      <left/>
      <right/>
      <top/>
      <bottom style="thin">
        <color auto="1"/>
      </bottom>
      <diagonal/>
    </border>
    <border>
      <left style="thin">
        <color rgb="FF000000"/>
      </left>
      <right/>
      <top/>
      <bottom/>
      <diagonal/>
    </border>
    <border>
      <left style="thin">
        <color rgb="FF000000"/>
      </left>
      <right/>
      <top style="thin">
        <color indexed="64"/>
      </top>
      <bottom style="thin">
        <color indexed="64"/>
      </bottom>
      <diagonal/>
    </border>
    <border>
      <left style="thin">
        <color rgb="FF000000"/>
      </left>
      <right style="medium">
        <color rgb="FF000000"/>
      </right>
      <top/>
      <bottom/>
      <diagonal/>
    </border>
  </borders>
  <cellStyleXfs count="7">
    <xf numFmtId="0" fontId="0" fillId="0" borderId="0"/>
    <xf numFmtId="0" fontId="7" fillId="0" borderId="20"/>
    <xf numFmtId="164" fontId="7" fillId="0" borderId="20" applyFont="0" applyFill="0" applyBorder="0" applyAlignment="0" applyProtection="0"/>
    <xf numFmtId="172" fontId="7" fillId="0" borderId="20" applyFont="0" applyFill="0" applyBorder="0" applyAlignment="0" applyProtection="0"/>
    <xf numFmtId="0" fontId="5" fillId="0" borderId="20"/>
    <xf numFmtId="0" fontId="9" fillId="0" borderId="20"/>
    <xf numFmtId="9" fontId="12" fillId="0" borderId="0" applyFont="0" applyFill="0" applyBorder="0" applyAlignment="0" applyProtection="0"/>
  </cellStyleXfs>
  <cellXfs count="570">
    <xf numFmtId="0" fontId="0" fillId="0" borderId="0" xfId="0" applyFont="1" applyAlignment="1"/>
    <xf numFmtId="0" fontId="0" fillId="0" borderId="0" xfId="0" applyFont="1"/>
    <xf numFmtId="0" fontId="0" fillId="0" borderId="0" xfId="0" applyFont="1" applyAlignment="1">
      <alignment wrapText="1"/>
    </xf>
    <xf numFmtId="0" fontId="0" fillId="0" borderId="1" xfId="0" applyFont="1" applyBorder="1"/>
    <xf numFmtId="0" fontId="1" fillId="0" borderId="1" xfId="0" applyFont="1" applyBorder="1"/>
    <xf numFmtId="3" fontId="0" fillId="0" borderId="0" xfId="0" applyNumberFormat="1" applyFont="1"/>
    <xf numFmtId="0" fontId="0" fillId="0" borderId="0" xfId="0" applyFont="1" applyAlignment="1">
      <alignment horizontal="left" wrapText="1"/>
    </xf>
    <xf numFmtId="0" fontId="0" fillId="0" borderId="0" xfId="0" applyFont="1" applyAlignment="1">
      <alignment horizontal="center"/>
    </xf>
    <xf numFmtId="0" fontId="0" fillId="0" borderId="0" xfId="0" applyFont="1" applyAlignment="1"/>
    <xf numFmtId="0" fontId="0" fillId="0" borderId="22" xfId="0" applyFont="1" applyBorder="1" applyAlignment="1"/>
    <xf numFmtId="0" fontId="3" fillId="5" borderId="22" xfId="0" applyFont="1" applyFill="1" applyBorder="1" applyAlignment="1">
      <alignment horizontal="left" wrapText="1"/>
    </xf>
    <xf numFmtId="0" fontId="0" fillId="0" borderId="22" xfId="0" applyFont="1" applyBorder="1" applyAlignment="1">
      <alignment horizontal="left" wrapText="1"/>
    </xf>
    <xf numFmtId="0" fontId="0" fillId="0" borderId="22" xfId="0" applyFont="1" applyFill="1" applyBorder="1" applyAlignment="1">
      <alignment horizontal="left" wrapText="1"/>
    </xf>
    <xf numFmtId="0" fontId="4" fillId="0" borderId="22" xfId="0" applyFont="1" applyBorder="1" applyAlignment="1">
      <alignment horizontal="left" wrapText="1"/>
    </xf>
    <xf numFmtId="0" fontId="6" fillId="0" borderId="1" xfId="0" applyFont="1" applyBorder="1"/>
    <xf numFmtId="3" fontId="0" fillId="0" borderId="0" xfId="0" applyNumberFormat="1" applyFont="1" applyAlignment="1"/>
    <xf numFmtId="0" fontId="11" fillId="0" borderId="0" xfId="0" applyFont="1" applyAlignment="1"/>
    <xf numFmtId="0" fontId="16" fillId="9" borderId="22" xfId="0" applyFont="1" applyFill="1" applyBorder="1" applyAlignment="1">
      <alignment horizontal="centerContinuous" vertical="center"/>
    </xf>
    <xf numFmtId="0" fontId="19" fillId="0" borderId="0" xfId="0" applyFont="1" applyAlignment="1"/>
    <xf numFmtId="0" fontId="19" fillId="0" borderId="0" xfId="0" applyFont="1"/>
    <xf numFmtId="0" fontId="13" fillId="0" borderId="0" xfId="0" applyFont="1" applyAlignment="1"/>
    <xf numFmtId="0" fontId="13" fillId="0" borderId="22" xfId="0" applyFont="1" applyBorder="1" applyAlignment="1">
      <alignment horizontal="center"/>
    </xf>
    <xf numFmtId="0" fontId="13" fillId="0" borderId="0" xfId="0" applyFont="1"/>
    <xf numFmtId="0" fontId="13" fillId="0" borderId="22" xfId="0" applyFont="1" applyBorder="1" applyAlignment="1">
      <alignment wrapText="1"/>
    </xf>
    <xf numFmtId="0" fontId="17" fillId="10" borderId="22" xfId="0" applyFont="1" applyFill="1" applyBorder="1" applyAlignment="1">
      <alignment horizontal="center" vertical="center" wrapText="1"/>
    </xf>
    <xf numFmtId="0" fontId="22" fillId="7" borderId="0" xfId="0" applyFont="1" applyFill="1" applyAlignment="1"/>
    <xf numFmtId="0" fontId="13" fillId="0" borderId="12" xfId="0" applyFont="1" applyBorder="1" applyAlignment="1">
      <alignment vertical="center"/>
    </xf>
    <xf numFmtId="0" fontId="13" fillId="0" borderId="13" xfId="0" applyFont="1" applyBorder="1" applyAlignment="1">
      <alignment vertical="center"/>
    </xf>
    <xf numFmtId="0" fontId="13" fillId="3" borderId="18" xfId="0" applyFont="1" applyFill="1" applyBorder="1" applyAlignment="1">
      <alignment vertical="center"/>
    </xf>
    <xf numFmtId="0" fontId="14" fillId="0" borderId="12" xfId="0" applyFont="1" applyBorder="1" applyAlignment="1">
      <alignment horizontal="center" vertical="center" wrapText="1"/>
    </xf>
    <xf numFmtId="3" fontId="14" fillId="0" borderId="12" xfId="0" applyNumberFormat="1" applyFont="1" applyBorder="1" applyAlignment="1">
      <alignment horizontal="center" vertical="center" wrapText="1"/>
    </xf>
    <xf numFmtId="0" fontId="14" fillId="0" borderId="12" xfId="0" applyFont="1" applyBorder="1" applyAlignment="1">
      <alignment horizontal="center" vertical="center"/>
    </xf>
    <xf numFmtId="0" fontId="23" fillId="13" borderId="1" xfId="5" applyFont="1" applyFill="1" applyBorder="1" applyAlignment="1">
      <alignment horizontal="center" vertical="top" wrapText="1"/>
    </xf>
    <xf numFmtId="0" fontId="13" fillId="3" borderId="19" xfId="0" applyFont="1" applyFill="1" applyBorder="1" applyAlignment="1">
      <alignment horizontal="center" vertical="center"/>
    </xf>
    <xf numFmtId="0" fontId="23" fillId="7" borderId="1" xfId="5" applyFont="1" applyFill="1" applyBorder="1" applyAlignment="1">
      <alignment horizontal="center" vertical="top" wrapText="1"/>
    </xf>
    <xf numFmtId="0" fontId="22" fillId="7" borderId="1" xfId="5" applyFont="1" applyFill="1" applyBorder="1" applyAlignment="1">
      <alignment horizontal="center" vertical="top" wrapText="1"/>
    </xf>
    <xf numFmtId="0" fontId="14" fillId="3" borderId="19" xfId="0" applyFont="1" applyFill="1" applyBorder="1" applyAlignment="1">
      <alignment horizontal="left"/>
    </xf>
    <xf numFmtId="0" fontId="13" fillId="3" borderId="19" xfId="0" applyFont="1" applyFill="1" applyBorder="1" applyAlignment="1">
      <alignment horizontal="center"/>
    </xf>
    <xf numFmtId="0" fontId="23" fillId="7" borderId="3" xfId="5" applyFont="1" applyFill="1" applyBorder="1" applyAlignment="1">
      <alignment horizontal="center" vertical="top" wrapText="1"/>
    </xf>
    <xf numFmtId="0" fontId="13" fillId="4" borderId="7" xfId="0" applyFont="1" applyFill="1" applyBorder="1" applyAlignment="1"/>
    <xf numFmtId="0" fontId="23" fillId="7" borderId="1" xfId="5" applyFont="1" applyFill="1" applyBorder="1" applyAlignment="1">
      <alignment horizontal="center" vertical="top"/>
    </xf>
    <xf numFmtId="0" fontId="13" fillId="0" borderId="21" xfId="0" applyFont="1" applyBorder="1" applyAlignment="1">
      <alignment horizontal="center"/>
    </xf>
    <xf numFmtId="0" fontId="13" fillId="0" borderId="21" xfId="0" applyFont="1" applyBorder="1"/>
    <xf numFmtId="0" fontId="23" fillId="13" borderId="22" xfId="5" applyFont="1" applyFill="1" applyBorder="1" applyAlignment="1">
      <alignment horizontal="center" vertical="top" wrapText="1"/>
    </xf>
    <xf numFmtId="0" fontId="22" fillId="7" borderId="22" xfId="5" applyFont="1" applyFill="1" applyBorder="1" applyAlignment="1">
      <alignment horizontal="center" vertical="top" wrapText="1"/>
    </xf>
    <xf numFmtId="0" fontId="13" fillId="3" borderId="19" xfId="0" applyFont="1" applyFill="1" applyBorder="1" applyAlignment="1">
      <alignment vertical="center"/>
    </xf>
    <xf numFmtId="0" fontId="13" fillId="0" borderId="5" xfId="0" applyFont="1" applyBorder="1"/>
    <xf numFmtId="0" fontId="23" fillId="7" borderId="22" xfId="5" applyFont="1" applyFill="1" applyBorder="1" applyAlignment="1">
      <alignment horizontal="center" vertical="top" wrapText="1"/>
    </xf>
    <xf numFmtId="0" fontId="24" fillId="0" borderId="22" xfId="5" applyFont="1" applyBorder="1" applyAlignment="1">
      <alignment horizontal="center" vertical="top" wrapText="1"/>
    </xf>
    <xf numFmtId="0" fontId="10" fillId="0" borderId="22" xfId="5" applyFont="1" applyBorder="1" applyAlignment="1">
      <alignment horizontal="center" vertical="top" wrapText="1"/>
    </xf>
    <xf numFmtId="0" fontId="24" fillId="0" borderId="22" xfId="5" applyFont="1" applyBorder="1" applyAlignment="1">
      <alignment horizontal="center" vertical="top"/>
    </xf>
    <xf numFmtId="0" fontId="25" fillId="0" borderId="20" xfId="5" applyFont="1"/>
    <xf numFmtId="0" fontId="22" fillId="13" borderId="22" xfId="5" applyFont="1" applyFill="1" applyBorder="1" applyAlignment="1">
      <alignment horizontal="center" vertical="top" wrapText="1"/>
    </xf>
    <xf numFmtId="0" fontId="13" fillId="0" borderId="0" xfId="0" applyFont="1" applyAlignment="1">
      <alignment horizontal="center"/>
    </xf>
    <xf numFmtId="0" fontId="13" fillId="0" borderId="1" xfId="0" applyFont="1" applyBorder="1" applyAlignment="1">
      <alignment horizontal="center"/>
    </xf>
    <xf numFmtId="170" fontId="13" fillId="0" borderId="5" xfId="0" applyNumberFormat="1" applyFont="1" applyFill="1" applyBorder="1" applyAlignment="1">
      <alignment horizontal="center"/>
    </xf>
    <xf numFmtId="170" fontId="13" fillId="0" borderId="1" xfId="0" applyNumberFormat="1" applyFont="1" applyBorder="1" applyAlignment="1">
      <alignment horizontal="center"/>
    </xf>
    <xf numFmtId="2" fontId="13" fillId="0" borderId="1" xfId="0" applyNumberFormat="1" applyFont="1" applyBorder="1" applyAlignment="1">
      <alignment horizontal="center"/>
    </xf>
    <xf numFmtId="0" fontId="22" fillId="7" borderId="5" xfId="0" applyFont="1" applyFill="1" applyBorder="1" applyAlignment="1">
      <alignment horizontal="center"/>
    </xf>
    <xf numFmtId="3" fontId="13" fillId="0" borderId="0" xfId="0" applyNumberFormat="1" applyFont="1" applyAlignment="1">
      <alignment horizontal="center"/>
    </xf>
    <xf numFmtId="3" fontId="13" fillId="0" borderId="1" xfId="0" applyNumberFormat="1" applyFont="1" applyBorder="1" applyAlignment="1">
      <alignment horizontal="center"/>
    </xf>
    <xf numFmtId="169" fontId="13" fillId="0" borderId="1" xfId="0" applyNumberFormat="1" applyFont="1" applyBorder="1" applyAlignment="1">
      <alignment horizontal="center"/>
    </xf>
    <xf numFmtId="169" fontId="13" fillId="0" borderId="1" xfId="0" applyNumberFormat="1" applyFont="1" applyFill="1" applyBorder="1" applyAlignment="1">
      <alignment horizontal="center" wrapText="1"/>
    </xf>
    <xf numFmtId="0" fontId="22" fillId="7" borderId="3" xfId="0" applyFont="1" applyFill="1" applyBorder="1" applyAlignment="1">
      <alignment horizontal="center"/>
    </xf>
    <xf numFmtId="0" fontId="13" fillId="0" borderId="3" xfId="0" applyFont="1" applyBorder="1" applyAlignment="1">
      <alignment horizontal="center"/>
    </xf>
    <xf numFmtId="170" fontId="13" fillId="0" borderId="42" xfId="0" applyNumberFormat="1" applyFont="1" applyBorder="1" applyAlignment="1">
      <alignment horizontal="center" wrapText="1"/>
    </xf>
    <xf numFmtId="0" fontId="13" fillId="0" borderId="15" xfId="0" applyFont="1" applyBorder="1" applyAlignment="1">
      <alignment horizontal="center"/>
    </xf>
    <xf numFmtId="3" fontId="14" fillId="0" borderId="1" xfId="0" applyNumberFormat="1" applyFont="1" applyBorder="1" applyAlignment="1">
      <alignment horizontal="center"/>
    </xf>
    <xf numFmtId="0" fontId="17" fillId="0" borderId="22" xfId="0" applyFont="1" applyFill="1" applyBorder="1" applyAlignment="1">
      <alignment wrapText="1"/>
    </xf>
    <xf numFmtId="3" fontId="14" fillId="0" borderId="15" xfId="0" applyNumberFormat="1" applyFont="1" applyBorder="1" applyAlignment="1">
      <alignment horizontal="center"/>
    </xf>
    <xf numFmtId="0" fontId="24" fillId="0" borderId="1" xfId="5" applyFont="1" applyBorder="1" applyAlignment="1">
      <alignment horizontal="center" vertical="top" wrapText="1"/>
    </xf>
    <xf numFmtId="0" fontId="10" fillId="0" borderId="1" xfId="5" applyFont="1" applyBorder="1" applyAlignment="1">
      <alignment horizontal="center" vertical="top" wrapText="1"/>
    </xf>
    <xf numFmtId="166" fontId="13" fillId="0" borderId="1" xfId="0" applyNumberFormat="1" applyFont="1" applyBorder="1" applyAlignment="1">
      <alignment horizontal="center"/>
    </xf>
    <xf numFmtId="0" fontId="24" fillId="0" borderId="3" xfId="5" applyFont="1" applyBorder="1" applyAlignment="1">
      <alignment horizontal="center" vertical="top" wrapText="1"/>
    </xf>
    <xf numFmtId="0" fontId="22" fillId="0" borderId="1" xfId="5" applyFont="1" applyFill="1" applyBorder="1" applyAlignment="1">
      <alignment horizontal="center" vertical="top" wrapText="1"/>
    </xf>
    <xf numFmtId="3" fontId="26" fillId="0" borderId="0" xfId="0" applyNumberFormat="1" applyFont="1" applyAlignment="1">
      <alignment horizontal="center" vertical="center"/>
    </xf>
    <xf numFmtId="0" fontId="24" fillId="0" borderId="1" xfId="5" applyFont="1" applyBorder="1" applyAlignment="1">
      <alignment horizontal="center" vertical="top"/>
    </xf>
    <xf numFmtId="0" fontId="27" fillId="0" borderId="0" xfId="0" applyFont="1" applyAlignment="1"/>
    <xf numFmtId="0" fontId="24" fillId="0" borderId="15" xfId="5" applyFont="1" applyFill="1" applyBorder="1" applyAlignment="1">
      <alignment vertical="top"/>
    </xf>
    <xf numFmtId="168" fontId="0" fillId="0" borderId="22" xfId="0" applyNumberFormat="1" applyFont="1" applyFill="1" applyBorder="1" applyAlignment="1">
      <alignment horizontal="center"/>
    </xf>
    <xf numFmtId="0" fontId="13" fillId="11" borderId="20" xfId="0" applyFont="1" applyFill="1" applyBorder="1"/>
    <xf numFmtId="0" fontId="14" fillId="0" borderId="11" xfId="0" applyFont="1" applyBorder="1" applyAlignment="1">
      <alignment wrapText="1"/>
    </xf>
    <xf numFmtId="4" fontId="14" fillId="0" borderId="12" xfId="0" applyNumberFormat="1" applyFont="1" applyBorder="1" applyAlignment="1">
      <alignment wrapText="1"/>
    </xf>
    <xf numFmtId="4" fontId="14" fillId="0" borderId="13" xfId="0" applyNumberFormat="1" applyFont="1" applyBorder="1" applyAlignment="1">
      <alignment horizontal="center" wrapText="1"/>
    </xf>
    <xf numFmtId="4" fontId="13" fillId="0" borderId="1" xfId="0" applyNumberFormat="1" applyFont="1" applyBorder="1" applyAlignment="1">
      <alignment horizontal="center"/>
    </xf>
    <xf numFmtId="4" fontId="13" fillId="0" borderId="6" xfId="0" applyNumberFormat="1" applyFont="1" applyBorder="1" applyAlignment="1">
      <alignment horizontal="center"/>
    </xf>
    <xf numFmtId="0" fontId="21" fillId="0" borderId="0" xfId="0" applyFont="1" applyAlignment="1"/>
    <xf numFmtId="0" fontId="13" fillId="0" borderId="22" xfId="0" applyFont="1" applyBorder="1" applyAlignment="1"/>
    <xf numFmtId="0" fontId="31" fillId="0" borderId="22" xfId="0" applyFont="1" applyFill="1" applyBorder="1" applyAlignment="1">
      <alignment horizontal="left" wrapText="1"/>
    </xf>
    <xf numFmtId="0" fontId="2" fillId="0" borderId="22" xfId="0" applyFont="1" applyFill="1" applyBorder="1" applyAlignment="1">
      <alignment horizontal="left" wrapText="1"/>
    </xf>
    <xf numFmtId="0" fontId="2" fillId="0" borderId="22" xfId="0" applyFont="1" applyBorder="1" applyAlignment="1">
      <alignment horizontal="left" wrapText="1"/>
    </xf>
    <xf numFmtId="0" fontId="3" fillId="5" borderId="22" xfId="0" applyFont="1" applyFill="1" applyBorder="1" applyAlignment="1">
      <alignment horizontal="center"/>
    </xf>
    <xf numFmtId="3" fontId="1" fillId="5" borderId="22" xfId="0" applyNumberFormat="1" applyFont="1" applyFill="1" applyBorder="1" applyAlignment="1">
      <alignment horizontal="center"/>
    </xf>
    <xf numFmtId="4" fontId="1" fillId="5" borderId="22" xfId="0" applyNumberFormat="1" applyFont="1" applyFill="1" applyBorder="1" applyAlignment="1">
      <alignment horizontal="center"/>
    </xf>
    <xf numFmtId="3" fontId="0" fillId="0" borderId="22" xfId="0" applyNumberFormat="1" applyFont="1" applyBorder="1" applyAlignment="1">
      <alignment horizontal="center"/>
    </xf>
    <xf numFmtId="3" fontId="0" fillId="0" borderId="22" xfId="0" applyNumberFormat="1" applyFont="1" applyBorder="1"/>
    <xf numFmtId="43" fontId="0" fillId="0" borderId="22" xfId="0" applyNumberFormat="1" applyFont="1" applyBorder="1"/>
    <xf numFmtId="0" fontId="19" fillId="0" borderId="0" xfId="0" applyFont="1" applyFill="1" applyAlignment="1"/>
    <xf numFmtId="0" fontId="13" fillId="0" borderId="20" xfId="0" applyFont="1" applyBorder="1" applyAlignment="1">
      <alignment wrapText="1"/>
    </xf>
    <xf numFmtId="0" fontId="17" fillId="0" borderId="22" xfId="0" applyFont="1" applyFill="1" applyBorder="1" applyAlignment="1">
      <alignment horizontal="left" vertical="center" wrapText="1"/>
    </xf>
    <xf numFmtId="4" fontId="13" fillId="0" borderId="22" xfId="0" applyNumberFormat="1" applyFont="1" applyBorder="1" applyAlignment="1">
      <alignment horizontal="center"/>
    </xf>
    <xf numFmtId="0" fontId="13" fillId="0" borderId="22" xfId="0" applyFont="1" applyFill="1" applyBorder="1" applyAlignment="1">
      <alignment wrapText="1"/>
    </xf>
    <xf numFmtId="0" fontId="13" fillId="0" borderId="22" xfId="0" applyFont="1" applyFill="1" applyBorder="1"/>
    <xf numFmtId="0" fontId="17" fillId="0" borderId="22" xfId="0" applyFont="1" applyFill="1" applyBorder="1"/>
    <xf numFmtId="0" fontId="18" fillId="0" borderId="22" xfId="0" applyFont="1" applyFill="1" applyBorder="1" applyAlignment="1">
      <alignment wrapText="1"/>
    </xf>
    <xf numFmtId="2" fontId="32" fillId="0" borderId="22" xfId="0" applyNumberFormat="1" applyFont="1" applyFill="1" applyBorder="1"/>
    <xf numFmtId="0" fontId="13" fillId="0" borderId="22" xfId="0" applyFont="1" applyBorder="1" applyAlignment="1">
      <alignment vertical="top"/>
    </xf>
    <xf numFmtId="0" fontId="18" fillId="0" borderId="22" xfId="0" applyFont="1" applyBorder="1" applyAlignment="1">
      <alignment vertical="top"/>
    </xf>
    <xf numFmtId="4" fontId="17" fillId="10" borderId="22" xfId="0" applyNumberFormat="1" applyFont="1" applyFill="1" applyBorder="1" applyAlignment="1">
      <alignment horizontal="center" vertical="center" wrapText="1"/>
    </xf>
    <xf numFmtId="4" fontId="17" fillId="0" borderId="22" xfId="0" applyNumberFormat="1" applyFont="1" applyFill="1" applyBorder="1" applyAlignment="1">
      <alignment horizontal="center"/>
    </xf>
    <xf numFmtId="0" fontId="14" fillId="2" borderId="22" xfId="1" applyFont="1" applyFill="1" applyBorder="1" applyAlignment="1">
      <alignment horizontal="center" vertical="center" wrapText="1"/>
    </xf>
    <xf numFmtId="0" fontId="33" fillId="0" borderId="20" xfId="1" applyFont="1"/>
    <xf numFmtId="2" fontId="14" fillId="6" borderId="22" xfId="1" applyNumberFormat="1" applyFont="1" applyFill="1" applyBorder="1" applyAlignment="1">
      <alignment horizontal="center" vertical="center"/>
    </xf>
    <xf numFmtId="0" fontId="13" fillId="0" borderId="22" xfId="1" applyFont="1" applyFill="1" applyBorder="1" applyAlignment="1">
      <alignment wrapText="1"/>
    </xf>
    <xf numFmtId="9" fontId="13" fillId="0" borderId="22" xfId="6" applyFont="1" applyFill="1" applyBorder="1" applyAlignment="1">
      <alignment horizontal="center"/>
    </xf>
    <xf numFmtId="167" fontId="13" fillId="0" borderId="22" xfId="1" applyNumberFormat="1" applyFont="1" applyBorder="1"/>
    <xf numFmtId="4" fontId="23" fillId="0" borderId="22" xfId="1" applyNumberFormat="1" applyFont="1" applyFill="1" applyBorder="1"/>
    <xf numFmtId="3" fontId="33" fillId="0" borderId="20" xfId="1" applyNumberFormat="1" applyFont="1"/>
    <xf numFmtId="0" fontId="14" fillId="0" borderId="22" xfId="1" applyFont="1" applyFill="1" applyBorder="1" applyAlignment="1">
      <alignment wrapText="1"/>
    </xf>
    <xf numFmtId="171" fontId="14" fillId="0" borderId="22" xfId="2" applyNumberFormat="1" applyFont="1" applyFill="1" applyBorder="1" applyAlignment="1">
      <alignment horizontal="left"/>
    </xf>
    <xf numFmtId="167" fontId="14" fillId="0" borderId="22" xfId="1" applyNumberFormat="1" applyFont="1" applyBorder="1"/>
    <xf numFmtId="3" fontId="23" fillId="0" borderId="22" xfId="1" applyNumberFormat="1" applyFont="1" applyFill="1" applyBorder="1"/>
    <xf numFmtId="0" fontId="33" fillId="0" borderId="20" xfId="1" applyFont="1" applyAlignment="1">
      <alignment wrapText="1"/>
    </xf>
    <xf numFmtId="0" fontId="33" fillId="0" borderId="20" xfId="1" applyFont="1" applyAlignment="1">
      <alignment horizontal="left"/>
    </xf>
    <xf numFmtId="0" fontId="23" fillId="2" borderId="22" xfId="1" applyFont="1" applyFill="1" applyBorder="1" applyAlignment="1">
      <alignment horizontal="center" vertical="center"/>
    </xf>
    <xf numFmtId="0" fontId="13" fillId="0" borderId="22" xfId="1" applyFont="1" applyBorder="1" applyAlignment="1">
      <alignment horizontal="left" vertical="center" wrapText="1"/>
    </xf>
    <xf numFmtId="3" fontId="13" fillId="0" borderId="22" xfId="1" applyNumberFormat="1" applyFont="1" applyBorder="1" applyAlignment="1">
      <alignment horizontal="center" vertical="center"/>
    </xf>
    <xf numFmtId="9" fontId="13" fillId="0" borderId="22" xfId="6" applyFont="1" applyBorder="1" applyAlignment="1">
      <alignment horizontal="center" vertical="center"/>
    </xf>
    <xf numFmtId="0" fontId="33" fillId="0" borderId="22" xfId="1" applyFont="1" applyBorder="1"/>
    <xf numFmtId="0" fontId="14" fillId="0" borderId="22" xfId="1" applyFont="1" applyBorder="1" applyAlignment="1">
      <alignment horizontal="left" vertical="center" wrapText="1"/>
    </xf>
    <xf numFmtId="3" fontId="14" fillId="0" borderId="22" xfId="1" applyNumberFormat="1" applyFont="1" applyBorder="1" applyAlignment="1">
      <alignment horizontal="center" vertical="center"/>
    </xf>
    <xf numFmtId="3" fontId="14" fillId="0" borderId="22" xfId="1" applyNumberFormat="1" applyFont="1" applyFill="1" applyBorder="1" applyAlignment="1">
      <alignment horizontal="center"/>
    </xf>
    <xf numFmtId="9" fontId="14" fillId="0" borderId="22" xfId="6" applyFont="1" applyFill="1" applyBorder="1" applyAlignment="1">
      <alignment horizontal="center"/>
    </xf>
    <xf numFmtId="9" fontId="14" fillId="0" borderId="22" xfId="6" applyFont="1" applyBorder="1" applyAlignment="1">
      <alignment horizontal="center" vertical="center"/>
    </xf>
    <xf numFmtId="4" fontId="14" fillId="0" borderId="22" xfId="1" applyNumberFormat="1" applyFont="1" applyFill="1" applyBorder="1" applyAlignment="1">
      <alignment horizontal="center"/>
    </xf>
    <xf numFmtId="4" fontId="14" fillId="0" borderId="22" xfId="6" applyNumberFormat="1" applyFont="1" applyFill="1" applyBorder="1" applyAlignment="1">
      <alignment horizontal="center"/>
    </xf>
    <xf numFmtId="3" fontId="14" fillId="0" borderId="22" xfId="2" applyNumberFormat="1" applyFont="1" applyBorder="1" applyAlignment="1">
      <alignment horizontal="center"/>
    </xf>
    <xf numFmtId="0" fontId="14" fillId="0" borderId="20" xfId="1" applyFont="1" applyFill="1" applyBorder="1" applyAlignment="1">
      <alignment wrapText="1"/>
    </xf>
    <xf numFmtId="4" fontId="14" fillId="0" borderId="20" xfId="1" applyNumberFormat="1" applyFont="1" applyFill="1" applyBorder="1" applyAlignment="1">
      <alignment horizontal="center"/>
    </xf>
    <xf numFmtId="4" fontId="14" fillId="0" borderId="20" xfId="6" applyNumberFormat="1" applyFont="1" applyFill="1" applyBorder="1" applyAlignment="1">
      <alignment horizontal="center"/>
    </xf>
    <xf numFmtId="4" fontId="14" fillId="0" borderId="20" xfId="6" applyNumberFormat="1" applyFont="1" applyBorder="1" applyAlignment="1">
      <alignment horizontal="center" vertical="center"/>
    </xf>
    <xf numFmtId="3" fontId="14" fillId="0" borderId="20" xfId="2" applyNumberFormat="1" applyFont="1" applyBorder="1" applyAlignment="1">
      <alignment horizontal="center"/>
    </xf>
    <xf numFmtId="4" fontId="32" fillId="0" borderId="20" xfId="1" applyNumberFormat="1" applyFont="1" applyBorder="1"/>
    <xf numFmtId="0" fontId="13" fillId="0" borderId="20" xfId="0" applyFont="1" applyBorder="1" applyAlignment="1"/>
    <xf numFmtId="0" fontId="26" fillId="0" borderId="1" xfId="0" applyFont="1" applyFill="1" applyBorder="1" applyAlignment="1">
      <alignment vertical="center"/>
    </xf>
    <xf numFmtId="4" fontId="22" fillId="0" borderId="1" xfId="0" applyNumberFormat="1" applyFont="1" applyFill="1" applyBorder="1" applyAlignment="1">
      <alignment horizontal="center"/>
    </xf>
    <xf numFmtId="0" fontId="22" fillId="0" borderId="22" xfId="0" applyFont="1" applyFill="1" applyBorder="1" applyAlignment="1">
      <alignment horizontal="center" vertical="center" wrapText="1"/>
    </xf>
    <xf numFmtId="4" fontId="23" fillId="0" borderId="22" xfId="1" applyNumberFormat="1" applyFont="1" applyFill="1" applyBorder="1" applyAlignment="1">
      <alignment horizontal="center"/>
    </xf>
    <xf numFmtId="3" fontId="22" fillId="0" borderId="22" xfId="1" applyNumberFormat="1" applyFont="1" applyFill="1" applyBorder="1" applyAlignment="1">
      <alignment horizontal="center"/>
    </xf>
    <xf numFmtId="3" fontId="33" fillId="0" borderId="20" xfId="1" applyNumberFormat="1" applyFont="1" applyAlignment="1">
      <alignment horizontal="center"/>
    </xf>
    <xf numFmtId="3" fontId="23" fillId="0" borderId="22" xfId="1" applyNumberFormat="1" applyFont="1" applyFill="1" applyBorder="1" applyAlignment="1">
      <alignment horizontal="center"/>
    </xf>
    <xf numFmtId="174" fontId="33" fillId="0" borderId="22" xfId="1" applyNumberFormat="1" applyFont="1" applyBorder="1" applyAlignment="1">
      <alignment horizontal="center"/>
    </xf>
    <xf numFmtId="176" fontId="33" fillId="0" borderId="22" xfId="1" applyNumberFormat="1" applyFont="1" applyBorder="1" applyAlignment="1">
      <alignment horizontal="center"/>
    </xf>
    <xf numFmtId="174" fontId="32" fillId="0" borderId="22" xfId="1" applyNumberFormat="1" applyFont="1" applyBorder="1" applyAlignment="1">
      <alignment horizontal="center"/>
    </xf>
    <xf numFmtId="176" fontId="32" fillId="0" borderId="22" xfId="1" applyNumberFormat="1" applyFont="1" applyBorder="1" applyAlignment="1">
      <alignment horizontal="center"/>
    </xf>
    <xf numFmtId="9" fontId="32" fillId="0" borderId="22" xfId="6" applyFont="1" applyBorder="1" applyAlignment="1">
      <alignment horizontal="center"/>
    </xf>
    <xf numFmtId="9" fontId="22" fillId="0" borderId="22" xfId="6" applyFont="1" applyFill="1" applyBorder="1" applyAlignment="1">
      <alignment horizontal="center"/>
    </xf>
    <xf numFmtId="43" fontId="33" fillId="0" borderId="20" xfId="1" applyNumberFormat="1" applyFont="1"/>
    <xf numFmtId="0" fontId="0" fillId="0" borderId="1" xfId="0" applyFont="1" applyFill="1" applyBorder="1" applyAlignment="1">
      <alignment horizontal="left" wrapText="1"/>
    </xf>
    <xf numFmtId="0" fontId="0" fillId="0" borderId="20" xfId="0" applyFont="1" applyBorder="1" applyAlignment="1"/>
    <xf numFmtId="0" fontId="21" fillId="0" borderId="0" xfId="0" applyFont="1"/>
    <xf numFmtId="2" fontId="0" fillId="0" borderId="1" xfId="0" applyNumberFormat="1" applyFont="1" applyBorder="1" applyAlignment="1">
      <alignment horizontal="center"/>
    </xf>
    <xf numFmtId="2" fontId="1" fillId="0" borderId="1" xfId="0" applyNumberFormat="1" applyFont="1" applyBorder="1" applyAlignment="1">
      <alignment horizontal="center"/>
    </xf>
    <xf numFmtId="176" fontId="18" fillId="0" borderId="22" xfId="1" applyNumberFormat="1" applyFont="1" applyBorder="1" applyAlignment="1">
      <alignment horizontal="center"/>
    </xf>
    <xf numFmtId="0" fontId="13" fillId="7" borderId="1" xfId="5" applyFont="1" applyFill="1" applyBorder="1" applyAlignment="1">
      <alignment horizontal="center" vertical="top" wrapText="1"/>
    </xf>
    <xf numFmtId="4" fontId="18" fillId="0" borderId="22" xfId="0" applyNumberFormat="1" applyFont="1" applyFill="1" applyBorder="1" applyAlignment="1">
      <alignment horizontal="center"/>
    </xf>
    <xf numFmtId="0" fontId="10" fillId="0" borderId="1" xfId="5" applyFont="1" applyFill="1" applyBorder="1" applyAlignment="1">
      <alignment horizontal="center" vertical="top" wrapText="1"/>
    </xf>
    <xf numFmtId="169" fontId="13" fillId="0" borderId="5" xfId="0" applyNumberFormat="1" applyFont="1" applyFill="1" applyBorder="1" applyAlignment="1">
      <alignment horizontal="center"/>
    </xf>
    <xf numFmtId="169" fontId="13" fillId="0" borderId="1" xfId="0" applyNumberFormat="1" applyFont="1" applyFill="1" applyBorder="1" applyAlignment="1">
      <alignment horizontal="center"/>
    </xf>
    <xf numFmtId="169" fontId="13" fillId="0" borderId="2" xfId="0" applyNumberFormat="1" applyFont="1" applyFill="1" applyBorder="1" applyAlignment="1">
      <alignment horizontal="center" wrapText="1"/>
    </xf>
    <xf numFmtId="170" fontId="13" fillId="0" borderId="5" xfId="0" applyNumberFormat="1" applyFont="1" applyFill="1" applyBorder="1" applyAlignment="1">
      <alignment horizontal="center" wrapText="1"/>
    </xf>
    <xf numFmtId="0" fontId="35" fillId="9" borderId="22" xfId="0" applyFont="1" applyFill="1" applyBorder="1" applyAlignment="1">
      <alignment horizontal="centerContinuous" vertical="center"/>
    </xf>
    <xf numFmtId="0" fontId="27" fillId="0" borderId="0" xfId="0" applyFont="1" applyAlignment="1">
      <alignment horizontal="center"/>
    </xf>
    <xf numFmtId="0" fontId="28" fillId="10" borderId="22" xfId="0" applyFont="1" applyFill="1" applyBorder="1" applyAlignment="1">
      <alignment horizontal="center" vertical="center" wrapText="1"/>
    </xf>
    <xf numFmtId="0" fontId="28" fillId="0" borderId="22" xfId="0" applyFont="1" applyBorder="1" applyAlignment="1">
      <alignment wrapText="1"/>
    </xf>
    <xf numFmtId="4" fontId="27" fillId="0" borderId="22" xfId="0" applyNumberFormat="1" applyFont="1" applyFill="1" applyBorder="1" applyAlignment="1">
      <alignment horizontal="center"/>
    </xf>
    <xf numFmtId="3" fontId="27" fillId="0" borderId="22" xfId="0" applyNumberFormat="1" applyFont="1" applyFill="1" applyBorder="1" applyAlignment="1">
      <alignment horizontal="center"/>
    </xf>
    <xf numFmtId="0" fontId="28" fillId="0" borderId="22" xfId="0" applyFont="1" applyBorder="1"/>
    <xf numFmtId="0" fontId="28" fillId="0" borderId="22" xfId="0" applyFont="1" applyFill="1" applyBorder="1" applyAlignment="1">
      <alignment horizontal="center" vertical="center" wrapText="1"/>
    </xf>
    <xf numFmtId="0" fontId="28" fillId="0" borderId="22" xfId="0" applyFont="1" applyBorder="1" applyAlignment="1">
      <alignment horizontal="left" wrapText="1"/>
    </xf>
    <xf numFmtId="2" fontId="28" fillId="0" borderId="22" xfId="0" applyNumberFormat="1" applyFont="1" applyFill="1" applyBorder="1" applyAlignment="1">
      <alignment horizontal="center"/>
    </xf>
    <xf numFmtId="0" fontId="28" fillId="0" borderId="22" xfId="0" applyFont="1" applyFill="1" applyBorder="1" applyAlignment="1">
      <alignment horizontal="center"/>
    </xf>
    <xf numFmtId="4" fontId="28" fillId="0" borderId="22" xfId="0" applyNumberFormat="1" applyFont="1" applyFill="1" applyBorder="1" applyAlignment="1">
      <alignment horizontal="center"/>
    </xf>
    <xf numFmtId="2" fontId="28" fillId="0" borderId="22" xfId="0" applyNumberFormat="1" applyFont="1" applyFill="1" applyBorder="1" applyAlignment="1">
      <alignment horizontal="center" wrapText="1"/>
    </xf>
    <xf numFmtId="1" fontId="28" fillId="0" borderId="22" xfId="0" applyNumberFormat="1" applyFont="1" applyFill="1" applyBorder="1" applyAlignment="1">
      <alignment horizontal="center" wrapText="1"/>
    </xf>
    <xf numFmtId="0" fontId="27" fillId="0" borderId="22" xfId="0" applyFont="1" applyFill="1" applyBorder="1" applyAlignment="1">
      <alignment horizontal="center"/>
    </xf>
    <xf numFmtId="2" fontId="27" fillId="0" borderId="22" xfId="0" applyNumberFormat="1" applyFont="1" applyFill="1" applyBorder="1" applyAlignment="1">
      <alignment horizontal="center"/>
    </xf>
    <xf numFmtId="0" fontId="28" fillId="0" borderId="22" xfId="0" applyFont="1" applyFill="1" applyBorder="1" applyAlignment="1">
      <alignment wrapText="1"/>
    </xf>
    <xf numFmtId="0" fontId="28" fillId="0" borderId="22" xfId="0" applyFont="1" applyFill="1" applyBorder="1"/>
    <xf numFmtId="0" fontId="27" fillId="0" borderId="22" xfId="0" applyFont="1" applyFill="1" applyBorder="1"/>
    <xf numFmtId="0" fontId="14" fillId="0" borderId="0" xfId="0" applyFont="1" applyAlignment="1"/>
    <xf numFmtId="0" fontId="14" fillId="0" borderId="22" xfId="0" applyFont="1" applyBorder="1" applyAlignment="1"/>
    <xf numFmtId="9" fontId="13" fillId="0" borderId="22" xfId="0" applyNumberFormat="1" applyFont="1" applyBorder="1" applyAlignment="1"/>
    <xf numFmtId="4" fontId="14" fillId="0" borderId="22" xfId="1" applyNumberFormat="1" applyFont="1" applyBorder="1" applyAlignment="1">
      <alignment horizontal="center" vertical="center"/>
    </xf>
    <xf numFmtId="164" fontId="14" fillId="0" borderId="22" xfId="2" applyNumberFormat="1" applyFont="1" applyBorder="1" applyAlignment="1">
      <alignment horizontal="center"/>
    </xf>
    <xf numFmtId="165" fontId="33" fillId="0" borderId="20" xfId="1" applyNumberFormat="1" applyFont="1"/>
    <xf numFmtId="4" fontId="13" fillId="0" borderId="22" xfId="0" applyNumberFormat="1" applyFont="1" applyBorder="1" applyAlignment="1"/>
    <xf numFmtId="3" fontId="13" fillId="0" borderId="22" xfId="0" applyNumberFormat="1" applyFont="1" applyBorder="1" applyAlignment="1"/>
    <xf numFmtId="2" fontId="13" fillId="0" borderId="22" xfId="0" applyNumberFormat="1" applyFont="1" applyBorder="1" applyAlignment="1">
      <alignment horizontal="center"/>
    </xf>
    <xf numFmtId="3" fontId="13" fillId="0" borderId="22" xfId="0" applyNumberFormat="1" applyFont="1" applyBorder="1" applyAlignment="1">
      <alignment horizontal="center"/>
    </xf>
    <xf numFmtId="3" fontId="14" fillId="0" borderId="22" xfId="0" applyNumberFormat="1" applyFont="1" applyBorder="1" applyAlignment="1">
      <alignment horizontal="center"/>
    </xf>
    <xf numFmtId="166" fontId="13" fillId="0" borderId="5" xfId="0" applyNumberFormat="1" applyFont="1" applyFill="1" applyBorder="1" applyAlignment="1"/>
    <xf numFmtId="0" fontId="22" fillId="0" borderId="5" xfId="0" applyFont="1" applyFill="1" applyBorder="1" applyAlignment="1"/>
    <xf numFmtId="0" fontId="13" fillId="0" borderId="5" xfId="0" applyFont="1" applyFill="1" applyBorder="1" applyAlignment="1"/>
    <xf numFmtId="3" fontId="13" fillId="0" borderId="5" xfId="0" applyNumberFormat="1" applyFont="1" applyFill="1" applyBorder="1" applyAlignment="1">
      <alignment wrapText="1"/>
    </xf>
    <xf numFmtId="0" fontId="10" fillId="0" borderId="1" xfId="5" applyFont="1" applyFill="1" applyBorder="1" applyAlignment="1">
      <alignment vertical="top" wrapText="1"/>
    </xf>
    <xf numFmtId="166" fontId="13" fillId="0" borderId="10" xfId="0" applyNumberFormat="1" applyFont="1" applyFill="1" applyBorder="1" applyAlignment="1"/>
    <xf numFmtId="43" fontId="13" fillId="0" borderId="5" xfId="0" applyNumberFormat="1" applyFont="1" applyBorder="1" applyAlignment="1"/>
    <xf numFmtId="0" fontId="13" fillId="0" borderId="21" xfId="0" applyFont="1" applyBorder="1" applyAlignment="1"/>
    <xf numFmtId="9" fontId="33" fillId="0" borderId="20" xfId="1" applyNumberFormat="1" applyFont="1"/>
    <xf numFmtId="4" fontId="14" fillId="0" borderId="22" xfId="0" applyNumberFormat="1" applyFont="1" applyBorder="1" applyAlignment="1">
      <alignment horizontal="center"/>
    </xf>
    <xf numFmtId="0" fontId="14" fillId="0" borderId="24" xfId="0" applyFont="1" applyBorder="1" applyAlignment="1"/>
    <xf numFmtId="0" fontId="13" fillId="0" borderId="24" xfId="0" applyFont="1" applyBorder="1" applyAlignment="1"/>
    <xf numFmtId="165" fontId="0" fillId="0" borderId="22" xfId="0" applyNumberFormat="1" applyFont="1" applyBorder="1"/>
    <xf numFmtId="2" fontId="0" fillId="0" borderId="22" xfId="0" applyNumberFormat="1" applyFont="1" applyBorder="1"/>
    <xf numFmtId="43" fontId="22" fillId="0" borderId="5" xfId="0" applyNumberFormat="1" applyFont="1" applyBorder="1" applyAlignment="1"/>
    <xf numFmtId="0" fontId="27" fillId="7" borderId="22" xfId="0" applyFont="1" applyFill="1" applyBorder="1" applyAlignment="1">
      <alignment horizontal="center"/>
    </xf>
    <xf numFmtId="2" fontId="27" fillId="7" borderId="22" xfId="0" applyNumberFormat="1" applyFont="1" applyFill="1" applyBorder="1" applyAlignment="1">
      <alignment horizontal="center"/>
    </xf>
    <xf numFmtId="1" fontId="27" fillId="7" borderId="22" xfId="0" applyNumberFormat="1" applyFont="1" applyFill="1" applyBorder="1" applyAlignment="1">
      <alignment horizontal="center"/>
    </xf>
    <xf numFmtId="3" fontId="0" fillId="7" borderId="22" xfId="0" applyNumberFormat="1" applyFont="1" applyFill="1" applyBorder="1" applyAlignment="1">
      <alignment horizontal="center"/>
    </xf>
    <xf numFmtId="0" fontId="0" fillId="7" borderId="0" xfId="0" applyFont="1" applyFill="1" applyAlignment="1"/>
    <xf numFmtId="10" fontId="2" fillId="0" borderId="22" xfId="0" applyNumberFormat="1" applyFont="1" applyBorder="1"/>
    <xf numFmtId="4" fontId="30" fillId="5" borderId="22" xfId="0" applyNumberFormat="1" applyFont="1" applyFill="1" applyBorder="1" applyAlignment="1">
      <alignment horizontal="center"/>
    </xf>
    <xf numFmtId="0" fontId="2" fillId="0" borderId="0" xfId="0" applyFont="1"/>
    <xf numFmtId="0" fontId="2" fillId="0" borderId="0" xfId="0" applyFont="1" applyAlignment="1"/>
    <xf numFmtId="9" fontId="13" fillId="0" borderId="20" xfId="6" applyFont="1" applyBorder="1" applyAlignment="1"/>
    <xf numFmtId="0" fontId="6" fillId="0" borderId="22" xfId="0" applyFont="1" applyBorder="1" applyAlignment="1">
      <alignment wrapText="1"/>
    </xf>
    <xf numFmtId="0" fontId="14" fillId="0" borderId="20" xfId="0" applyFont="1" applyBorder="1" applyAlignment="1"/>
    <xf numFmtId="4" fontId="13" fillId="0" borderId="20" xfId="0" applyNumberFormat="1" applyFont="1" applyBorder="1" applyAlignment="1"/>
    <xf numFmtId="3" fontId="0" fillId="0" borderId="25" xfId="0" applyNumberFormat="1" applyFont="1" applyBorder="1"/>
    <xf numFmtId="3" fontId="0" fillId="0" borderId="28" xfId="0" applyNumberFormat="1" applyFont="1" applyBorder="1"/>
    <xf numFmtId="165" fontId="0" fillId="0" borderId="22" xfId="0" applyNumberFormat="1" applyFont="1" applyBorder="1" applyAlignment="1"/>
    <xf numFmtId="3" fontId="1" fillId="0" borderId="22" xfId="0" applyNumberFormat="1" applyFont="1" applyBorder="1" applyAlignment="1"/>
    <xf numFmtId="0" fontId="14" fillId="0" borderId="22" xfId="0" applyFont="1" applyBorder="1" applyAlignment="1">
      <alignment wrapText="1"/>
    </xf>
    <xf numFmtId="0" fontId="13" fillId="0" borderId="20" xfId="0" applyFont="1" applyBorder="1" applyAlignment="1">
      <alignment horizontal="center"/>
    </xf>
    <xf numFmtId="0" fontId="24" fillId="0" borderId="20" xfId="5" applyFont="1" applyBorder="1" applyAlignment="1">
      <alignment horizontal="center" vertical="top"/>
    </xf>
    <xf numFmtId="0" fontId="22" fillId="0" borderId="47" xfId="5" applyFont="1" applyFill="1" applyBorder="1" applyAlignment="1">
      <alignment horizontal="center" vertical="top" wrapText="1"/>
    </xf>
    <xf numFmtId="0" fontId="13" fillId="3" borderId="20" xfId="0" applyFont="1" applyFill="1" applyBorder="1" applyAlignment="1">
      <alignment horizontal="center"/>
    </xf>
    <xf numFmtId="43" fontId="13" fillId="0" borderId="20" xfId="0" applyNumberFormat="1" applyFont="1" applyBorder="1" applyAlignment="1"/>
    <xf numFmtId="0" fontId="23" fillId="12" borderId="15" xfId="5" applyFont="1" applyFill="1" applyBorder="1" applyAlignment="1">
      <alignment horizontal="center" vertical="top"/>
    </xf>
    <xf numFmtId="0" fontId="24" fillId="0" borderId="22" xfId="5" applyFont="1" applyFill="1" applyBorder="1" applyAlignment="1">
      <alignment horizontal="center" vertical="top"/>
    </xf>
    <xf numFmtId="4" fontId="27" fillId="0" borderId="22" xfId="0" applyNumberFormat="1" applyFont="1" applyBorder="1" applyAlignment="1">
      <alignment horizontal="center"/>
    </xf>
    <xf numFmtId="3" fontId="27" fillId="0" borderId="22" xfId="0" applyNumberFormat="1" applyFont="1" applyBorder="1" applyAlignment="1">
      <alignment horizontal="center"/>
    </xf>
    <xf numFmtId="0" fontId="15" fillId="0" borderId="1" xfId="0" applyFont="1" applyFill="1" applyBorder="1" applyAlignment="1">
      <alignment vertical="center"/>
    </xf>
    <xf numFmtId="0" fontId="15" fillId="0" borderId="1" xfId="0" applyFont="1" applyFill="1" applyBorder="1" applyAlignment="1">
      <alignment horizontal="left" vertical="center"/>
    </xf>
    <xf numFmtId="0" fontId="19" fillId="0" borderId="22" xfId="0" applyFont="1" applyBorder="1" applyAlignment="1">
      <alignment horizontal="left"/>
    </xf>
    <xf numFmtId="0" fontId="19" fillId="0" borderId="22" xfId="0" applyFont="1" applyBorder="1" applyAlignment="1">
      <alignment horizontal="center"/>
    </xf>
    <xf numFmtId="0" fontId="20" fillId="0" borderId="0" xfId="0" applyFont="1" applyAlignment="1"/>
    <xf numFmtId="0" fontId="19" fillId="10" borderId="22" xfId="0" applyFont="1" applyFill="1" applyBorder="1" applyAlignment="1">
      <alignment horizontal="center" vertical="center" wrapText="1"/>
    </xf>
    <xf numFmtId="0" fontId="19" fillId="7" borderId="22" xfId="0" applyFont="1" applyFill="1" applyBorder="1" applyAlignment="1">
      <alignment horizontal="center" vertical="center" wrapText="1"/>
    </xf>
    <xf numFmtId="2" fontId="19" fillId="7" borderId="22" xfId="0" applyNumberFormat="1" applyFont="1" applyFill="1" applyBorder="1" applyAlignment="1">
      <alignment horizontal="center" vertical="center" wrapText="1"/>
    </xf>
    <xf numFmtId="3" fontId="19" fillId="7" borderId="22" xfId="0" applyNumberFormat="1" applyFont="1" applyFill="1" applyBorder="1" applyAlignment="1">
      <alignment horizontal="center" vertical="center" wrapText="1"/>
    </xf>
    <xf numFmtId="0" fontId="19" fillId="0" borderId="22" xfId="0" applyFont="1" applyBorder="1"/>
    <xf numFmtId="3" fontId="19" fillId="0" borderId="22" xfId="0" applyNumberFormat="1" applyFont="1" applyFill="1" applyBorder="1" applyAlignment="1">
      <alignment horizontal="center" wrapText="1"/>
    </xf>
    <xf numFmtId="0" fontId="19" fillId="0" borderId="22" xfId="0" applyFont="1" applyFill="1" applyBorder="1" applyAlignment="1">
      <alignment horizontal="center"/>
    </xf>
    <xf numFmtId="2" fontId="19" fillId="0" borderId="22" xfId="0" applyNumberFormat="1" applyFont="1" applyFill="1" applyBorder="1"/>
    <xf numFmtId="3" fontId="17" fillId="0" borderId="22" xfId="0" applyNumberFormat="1" applyFont="1" applyFill="1" applyBorder="1" applyAlignment="1">
      <alignment horizontal="center"/>
    </xf>
    <xf numFmtId="0" fontId="19" fillId="0" borderId="22" xfId="0" applyFont="1" applyBorder="1" applyAlignment="1">
      <alignment wrapText="1"/>
    </xf>
    <xf numFmtId="0" fontId="19" fillId="0" borderId="22" xfId="0" applyFont="1" applyFill="1" applyBorder="1"/>
    <xf numFmtId="2" fontId="19" fillId="0" borderId="22" xfId="0" applyNumberFormat="1" applyFont="1" applyBorder="1"/>
    <xf numFmtId="0" fontId="19" fillId="0" borderId="20" xfId="0" applyFont="1" applyBorder="1" applyAlignment="1">
      <alignment wrapText="1"/>
    </xf>
    <xf numFmtId="4" fontId="17" fillId="0" borderId="22" xfId="0" applyNumberFormat="1" applyFont="1" applyFill="1" applyBorder="1"/>
    <xf numFmtId="4" fontId="18" fillId="0" borderId="22" xfId="0" applyNumberFormat="1" applyFont="1" applyFill="1" applyBorder="1"/>
    <xf numFmtId="0" fontId="19" fillId="10" borderId="22" xfId="0" applyFont="1" applyFill="1" applyBorder="1" applyAlignment="1">
      <alignment horizontal="centerContinuous" vertical="center" wrapText="1"/>
    </xf>
    <xf numFmtId="0" fontId="17" fillId="10" borderId="26" xfId="0" applyFont="1" applyFill="1" applyBorder="1" applyAlignment="1">
      <alignment horizontal="center" vertical="center" wrapText="1"/>
    </xf>
    <xf numFmtId="175" fontId="17" fillId="0" borderId="22" xfId="0" applyNumberFormat="1" applyFont="1" applyBorder="1" applyAlignment="1">
      <alignment horizontal="left"/>
    </xf>
    <xf numFmtId="4" fontId="17" fillId="0" borderId="22" xfId="0" applyNumberFormat="1" applyFont="1" applyBorder="1" applyAlignment="1">
      <alignment horizontal="center"/>
    </xf>
    <xf numFmtId="0" fontId="36" fillId="0" borderId="22" xfId="0" applyFont="1" applyBorder="1" applyAlignment="1">
      <alignment wrapText="1"/>
    </xf>
    <xf numFmtId="0" fontId="29" fillId="0" borderId="22" xfId="0" applyFont="1" applyBorder="1"/>
    <xf numFmtId="0" fontId="29" fillId="0" borderId="22" xfId="0" applyFont="1" applyFill="1" applyBorder="1" applyAlignment="1">
      <alignment horizontal="center"/>
    </xf>
    <xf numFmtId="0" fontId="37" fillId="0" borderId="22" xfId="0" applyFont="1" applyFill="1" applyBorder="1" applyAlignment="1">
      <alignment horizontal="center"/>
    </xf>
    <xf numFmtId="2" fontId="29" fillId="0" borderId="22" xfId="0" applyNumberFormat="1" applyFont="1" applyFill="1" applyBorder="1" applyAlignment="1">
      <alignment horizontal="center"/>
    </xf>
    <xf numFmtId="0" fontId="29" fillId="0" borderId="22" xfId="0" applyFont="1" applyFill="1" applyBorder="1"/>
    <xf numFmtId="4" fontId="29" fillId="0" borderId="22" xfId="0" applyNumberFormat="1" applyFont="1" applyFill="1" applyBorder="1" applyAlignment="1">
      <alignment horizontal="center"/>
    </xf>
    <xf numFmtId="3" fontId="29" fillId="0" borderId="22" xfId="0" applyNumberFormat="1" applyFont="1" applyFill="1" applyBorder="1" applyAlignment="1">
      <alignment horizontal="center"/>
    </xf>
    <xf numFmtId="4" fontId="19" fillId="0" borderId="22" xfId="0" applyNumberFormat="1" applyFont="1" applyBorder="1" applyAlignment="1">
      <alignment horizontal="center"/>
    </xf>
    <xf numFmtId="0" fontId="33" fillId="0" borderId="22" xfId="0" applyFont="1" applyFill="1" applyBorder="1" applyAlignment="1">
      <alignment wrapText="1"/>
    </xf>
    <xf numFmtId="0" fontId="5" fillId="0" borderId="22" xfId="0" applyFont="1" applyFill="1" applyBorder="1" applyAlignment="1">
      <alignment wrapText="1"/>
    </xf>
    <xf numFmtId="0" fontId="22" fillId="13" borderId="1" xfId="5" applyFont="1" applyFill="1" applyBorder="1" applyAlignment="1">
      <alignment horizontal="center" vertical="top" wrapText="1"/>
    </xf>
    <xf numFmtId="0" fontId="14" fillId="0" borderId="11" xfId="0" applyFont="1" applyBorder="1" applyAlignment="1">
      <alignment horizontal="center" vertical="center" wrapText="1"/>
    </xf>
    <xf numFmtId="0" fontId="14" fillId="0" borderId="22" xfId="0" applyFont="1" applyBorder="1" applyAlignment="1">
      <alignment horizontal="center"/>
    </xf>
    <xf numFmtId="166" fontId="14" fillId="0" borderId="22" xfId="0" applyNumberFormat="1" applyFont="1" applyBorder="1" applyAlignment="1">
      <alignment horizontal="center"/>
    </xf>
    <xf numFmtId="165" fontId="13" fillId="0" borderId="22" xfId="0" applyNumberFormat="1" applyFont="1" applyBorder="1" applyAlignment="1">
      <alignment horizontal="center"/>
    </xf>
    <xf numFmtId="43" fontId="14" fillId="0" borderId="22" xfId="0" applyNumberFormat="1" applyFont="1" applyBorder="1" applyAlignment="1">
      <alignment horizontal="center"/>
    </xf>
    <xf numFmtId="165" fontId="14" fillId="0" borderId="22" xfId="0" applyNumberFormat="1" applyFont="1" applyBorder="1" applyAlignment="1">
      <alignment horizontal="center"/>
    </xf>
    <xf numFmtId="0" fontId="23" fillId="0" borderId="22" xfId="0" applyFont="1" applyBorder="1" applyAlignment="1">
      <alignment horizontal="center"/>
    </xf>
    <xf numFmtId="0" fontId="3" fillId="5" borderId="22" xfId="0" applyFont="1" applyFill="1" applyBorder="1" applyAlignment="1">
      <alignment horizontal="center" wrapText="1"/>
    </xf>
    <xf numFmtId="0" fontId="34" fillId="15" borderId="0" xfId="0" applyFont="1" applyFill="1" applyAlignment="1"/>
    <xf numFmtId="0" fontId="18" fillId="15" borderId="22" xfId="0" applyFont="1" applyFill="1" applyBorder="1" applyAlignment="1">
      <alignment horizontal="center"/>
    </xf>
    <xf numFmtId="0" fontId="20" fillId="15" borderId="22" xfId="0" applyFont="1" applyFill="1" applyBorder="1" applyAlignment="1"/>
    <xf numFmtId="0" fontId="18" fillId="15" borderId="22" xfId="5" applyFont="1" applyFill="1" applyBorder="1" applyAlignment="1">
      <alignment horizontal="center"/>
    </xf>
    <xf numFmtId="4" fontId="34" fillId="15" borderId="22" xfId="0" applyNumberFormat="1" applyFont="1" applyFill="1" applyBorder="1"/>
    <xf numFmtId="0" fontId="19" fillId="15" borderId="22" xfId="0" applyFont="1" applyFill="1" applyBorder="1" applyAlignment="1"/>
    <xf numFmtId="0" fontId="34" fillId="15" borderId="22" xfId="0" applyFont="1" applyFill="1" applyBorder="1" applyAlignment="1">
      <alignment horizontal="center"/>
    </xf>
    <xf numFmtId="0" fontId="33" fillId="0" borderId="22" xfId="5" applyFont="1" applyBorder="1"/>
    <xf numFmtId="0" fontId="17" fillId="0" borderId="22" xfId="0" applyFont="1" applyBorder="1" applyAlignment="1">
      <alignment horizontal="center"/>
    </xf>
    <xf numFmtId="4" fontId="19" fillId="0" borderId="22" xfId="0" applyNumberFormat="1" applyFont="1" applyBorder="1" applyAlignment="1"/>
    <xf numFmtId="0" fontId="19" fillId="0" borderId="22" xfId="0" applyFont="1" applyBorder="1" applyAlignment="1"/>
    <xf numFmtId="2" fontId="19" fillId="0" borderId="22" xfId="0" applyNumberFormat="1" applyFont="1" applyBorder="1" applyAlignment="1">
      <alignment horizontal="center"/>
    </xf>
    <xf numFmtId="0" fontId="19" fillId="0" borderId="22" xfId="0" applyFont="1" applyFill="1" applyBorder="1" applyAlignment="1"/>
    <xf numFmtId="0" fontId="20" fillId="0" borderId="22" xfId="0" applyFont="1" applyBorder="1" applyAlignment="1"/>
    <xf numFmtId="0" fontId="34" fillId="0" borderId="22" xfId="0" applyFont="1" applyBorder="1" applyAlignment="1"/>
    <xf numFmtId="0" fontId="34" fillId="7" borderId="22" xfId="0" applyFont="1" applyFill="1" applyBorder="1" applyAlignment="1"/>
    <xf numFmtId="3" fontId="34" fillId="0" borderId="22" xfId="0" applyNumberFormat="1" applyFont="1" applyFill="1" applyBorder="1" applyAlignment="1">
      <alignment horizontal="center"/>
    </xf>
    <xf numFmtId="4" fontId="34" fillId="0" borderId="22" xfId="0" applyNumberFormat="1" applyFont="1" applyFill="1" applyBorder="1" applyAlignment="1">
      <alignment horizontal="center"/>
    </xf>
    <xf numFmtId="0" fontId="33" fillId="0" borderId="20" xfId="5" applyFont="1"/>
    <xf numFmtId="0" fontId="38" fillId="0" borderId="0" xfId="0" applyFont="1" applyAlignment="1"/>
    <xf numFmtId="0" fontId="19" fillId="14" borderId="22" xfId="0" applyFont="1" applyFill="1" applyBorder="1" applyAlignment="1"/>
    <xf numFmtId="0" fontId="20" fillId="14" borderId="22" xfId="0" applyFont="1" applyFill="1" applyBorder="1" applyAlignment="1"/>
    <xf numFmtId="0" fontId="19" fillId="0" borderId="20" xfId="0" applyFont="1" applyFill="1" applyBorder="1" applyAlignment="1"/>
    <xf numFmtId="0" fontId="34" fillId="14" borderId="22" xfId="0" applyFont="1" applyFill="1" applyBorder="1" applyAlignment="1"/>
    <xf numFmtId="0" fontId="34" fillId="16" borderId="15" xfId="0" applyFont="1" applyFill="1" applyBorder="1" applyAlignment="1">
      <alignment horizontal="center" vertical="center" wrapText="1"/>
    </xf>
    <xf numFmtId="0" fontId="18" fillId="7" borderId="22" xfId="5" applyFont="1" applyFill="1" applyBorder="1" applyAlignment="1">
      <alignment horizontal="center" vertical="top" wrapText="1"/>
    </xf>
    <xf numFmtId="0" fontId="17" fillId="7" borderId="22" xfId="5" applyFont="1" applyFill="1" applyBorder="1" applyAlignment="1">
      <alignment horizontal="center" vertical="top" wrapText="1"/>
    </xf>
    <xf numFmtId="0" fontId="34" fillId="0" borderId="20" xfId="0" applyFont="1" applyBorder="1" applyAlignment="1"/>
    <xf numFmtId="0" fontId="34" fillId="0" borderId="0" xfId="0" applyFont="1" applyFill="1" applyAlignment="1"/>
    <xf numFmtId="0" fontId="32" fillId="15" borderId="22" xfId="5" applyFont="1" applyFill="1" applyBorder="1"/>
    <xf numFmtId="0" fontId="18" fillId="15" borderId="22" xfId="0" applyFont="1" applyFill="1" applyBorder="1" applyAlignment="1">
      <alignment horizontal="center" vertical="center"/>
    </xf>
    <xf numFmtId="0" fontId="18" fillId="15" borderId="25" xfId="5" applyFont="1" applyFill="1" applyBorder="1" applyAlignment="1">
      <alignment horizontal="center" vertical="center"/>
    </xf>
    <xf numFmtId="0" fontId="18" fillId="15" borderId="22" xfId="5" applyFont="1" applyFill="1" applyBorder="1" applyAlignment="1">
      <alignment horizontal="center" vertical="center"/>
    </xf>
    <xf numFmtId="4" fontId="18" fillId="15" borderId="22" xfId="0" applyNumberFormat="1" applyFont="1" applyFill="1" applyBorder="1" applyAlignment="1">
      <alignment horizontal="center" vertical="center"/>
    </xf>
    <xf numFmtId="4" fontId="34" fillId="15" borderId="22" xfId="0" applyNumberFormat="1" applyFont="1" applyFill="1" applyBorder="1" applyAlignment="1">
      <alignment horizontal="center" vertical="center"/>
    </xf>
    <xf numFmtId="0" fontId="17" fillId="14" borderId="22" xfId="0" applyFont="1" applyFill="1" applyBorder="1" applyAlignment="1">
      <alignment horizontal="center" vertical="center"/>
    </xf>
    <xf numFmtId="0" fontId="19" fillId="14" borderId="22" xfId="0" applyFont="1" applyFill="1" applyBorder="1" applyAlignment="1">
      <alignment horizontal="center" vertical="center"/>
    </xf>
    <xf numFmtId="0" fontId="19" fillId="15" borderId="22" xfId="0" applyFont="1" applyFill="1" applyBorder="1" applyAlignment="1">
      <alignment horizontal="center"/>
    </xf>
    <xf numFmtId="4" fontId="19" fillId="0" borderId="22" xfId="0" applyNumberFormat="1" applyFont="1" applyFill="1" applyBorder="1" applyAlignment="1">
      <alignment horizontal="center"/>
    </xf>
    <xf numFmtId="2" fontId="19" fillId="0" borderId="22" xfId="0" applyNumberFormat="1" applyFont="1" applyFill="1" applyBorder="1" applyAlignment="1">
      <alignment horizontal="center"/>
    </xf>
    <xf numFmtId="4" fontId="19" fillId="14" borderId="22" xfId="0" applyNumberFormat="1" applyFont="1" applyFill="1" applyBorder="1" applyAlignment="1">
      <alignment horizontal="center"/>
    </xf>
    <xf numFmtId="0" fontId="19" fillId="14" borderId="23" xfId="0" applyFont="1" applyFill="1" applyBorder="1" applyAlignment="1">
      <alignment horizontal="center"/>
    </xf>
    <xf numFmtId="2" fontId="19" fillId="14" borderId="23" xfId="0" applyNumberFormat="1" applyFont="1" applyFill="1" applyBorder="1" applyAlignment="1">
      <alignment horizontal="center"/>
    </xf>
    <xf numFmtId="3" fontId="34" fillId="14" borderId="22" xfId="0" applyNumberFormat="1" applyFont="1" applyFill="1" applyBorder="1" applyAlignment="1">
      <alignment horizontal="center"/>
    </xf>
    <xf numFmtId="3" fontId="34" fillId="0" borderId="22" xfId="0" applyNumberFormat="1" applyFont="1" applyBorder="1" applyAlignment="1">
      <alignment horizontal="center"/>
    </xf>
    <xf numFmtId="4" fontId="34" fillId="0" borderId="22" xfId="0" applyNumberFormat="1" applyFont="1" applyBorder="1" applyAlignment="1">
      <alignment horizontal="center"/>
    </xf>
    <xf numFmtId="0" fontId="13" fillId="0" borderId="22" xfId="1" applyFont="1" applyBorder="1" applyAlignment="1">
      <alignment wrapText="1"/>
    </xf>
    <xf numFmtId="3" fontId="13" fillId="0" borderId="22" xfId="1" applyNumberFormat="1" applyFont="1" applyBorder="1" applyAlignment="1">
      <alignment horizontal="center"/>
    </xf>
    <xf numFmtId="164" fontId="13" fillId="0" borderId="22" xfId="2" applyFont="1" applyBorder="1" applyAlignment="1">
      <alignment horizontal="center"/>
    </xf>
    <xf numFmtId="9" fontId="33" fillId="0" borderId="22" xfId="6" applyFont="1" applyBorder="1" applyAlignment="1">
      <alignment horizontal="center"/>
    </xf>
    <xf numFmtId="176" fontId="33" fillId="0" borderId="20" xfId="1" applyNumberFormat="1" applyFont="1" applyBorder="1" applyAlignment="1">
      <alignment horizontal="center"/>
    </xf>
    <xf numFmtId="4" fontId="33" fillId="0" borderId="20" xfId="1" applyNumberFormat="1" applyFont="1" applyBorder="1" applyAlignment="1">
      <alignment horizontal="center"/>
    </xf>
    <xf numFmtId="165" fontId="33" fillId="0" borderId="20" xfId="1" applyNumberFormat="1" applyFont="1" applyBorder="1" applyAlignment="1">
      <alignment horizontal="center"/>
    </xf>
    <xf numFmtId="9" fontId="33" fillId="0" borderId="20" xfId="6" applyFont="1" applyBorder="1" applyAlignment="1">
      <alignment horizontal="center"/>
    </xf>
    <xf numFmtId="3" fontId="13" fillId="0" borderId="15" xfId="0" applyNumberFormat="1" applyFont="1" applyBorder="1" applyAlignment="1">
      <alignment horizontal="center"/>
    </xf>
    <xf numFmtId="0" fontId="0" fillId="0" borderId="22" xfId="0" applyFill="1" applyBorder="1" applyAlignment="1">
      <alignment horizontal="center"/>
    </xf>
    <xf numFmtId="3" fontId="0" fillId="0" borderId="1" xfId="0" applyNumberFormat="1" applyFont="1" applyFill="1" applyBorder="1" applyAlignment="1">
      <alignment horizontal="center"/>
    </xf>
    <xf numFmtId="3" fontId="0" fillId="0" borderId="45" xfId="0" applyNumberFormat="1" applyFont="1" applyFill="1" applyBorder="1" applyAlignment="1">
      <alignment horizontal="center"/>
    </xf>
    <xf numFmtId="9" fontId="0" fillId="0" borderId="45" xfId="6" applyFont="1" applyFill="1" applyBorder="1" applyAlignment="1">
      <alignment horizontal="center"/>
    </xf>
    <xf numFmtId="9" fontId="6" fillId="0" borderId="45" xfId="6" applyFont="1" applyFill="1" applyBorder="1" applyAlignment="1">
      <alignment horizontal="center"/>
    </xf>
    <xf numFmtId="1" fontId="0" fillId="0" borderId="45" xfId="6" applyNumberFormat="1" applyFont="1" applyFill="1" applyBorder="1" applyAlignment="1">
      <alignment horizontal="center"/>
    </xf>
    <xf numFmtId="10" fontId="6" fillId="0" borderId="4" xfId="0" applyNumberFormat="1" applyFont="1" applyFill="1" applyBorder="1" applyAlignment="1">
      <alignment horizontal="center"/>
    </xf>
    <xf numFmtId="10" fontId="0" fillId="0" borderId="45" xfId="0" applyNumberFormat="1" applyFont="1" applyFill="1" applyBorder="1" applyAlignment="1">
      <alignment horizontal="center"/>
    </xf>
    <xf numFmtId="3" fontId="0" fillId="0" borderId="45" xfId="6" applyNumberFormat="1" applyFont="1" applyFill="1" applyBorder="1" applyAlignment="1">
      <alignment horizontal="center"/>
    </xf>
    <xf numFmtId="0" fontId="2" fillId="0" borderId="22" xfId="0" applyFont="1" applyFill="1" applyBorder="1" applyAlignment="1">
      <alignment horizontal="center"/>
    </xf>
    <xf numFmtId="10" fontId="0" fillId="0" borderId="7" xfId="0" applyNumberFormat="1" applyFont="1" applyFill="1" applyBorder="1" applyAlignment="1">
      <alignment horizontal="center"/>
    </xf>
    <xf numFmtId="0" fontId="0" fillId="0" borderId="23" xfId="0" applyFill="1" applyBorder="1" applyAlignment="1">
      <alignment horizontal="center"/>
    </xf>
    <xf numFmtId="0" fontId="13" fillId="0" borderId="15" xfId="0" applyFont="1" applyBorder="1" applyAlignment="1"/>
    <xf numFmtId="0" fontId="14" fillId="15" borderId="22" xfId="0" applyFont="1" applyFill="1" applyBorder="1" applyAlignment="1"/>
    <xf numFmtId="3" fontId="14" fillId="0" borderId="22" xfId="0" applyNumberFormat="1" applyFont="1" applyBorder="1" applyAlignment="1">
      <alignment horizontal="center" vertical="center"/>
    </xf>
    <xf numFmtId="9" fontId="13" fillId="0" borderId="22" xfId="6" applyFont="1" applyBorder="1" applyAlignment="1">
      <alignment horizontal="center"/>
    </xf>
    <xf numFmtId="173" fontId="13" fillId="0" borderId="1" xfId="0" applyNumberFormat="1" applyFont="1" applyFill="1" applyBorder="1" applyAlignment="1">
      <alignment horizontal="center"/>
    </xf>
    <xf numFmtId="173" fontId="13" fillId="0" borderId="1" xfId="0" applyNumberFormat="1" applyFont="1" applyFill="1" applyBorder="1" applyAlignment="1">
      <alignment horizontal="center" vertical="center"/>
    </xf>
    <xf numFmtId="0" fontId="14" fillId="15" borderId="22" xfId="0" applyFont="1" applyFill="1" applyBorder="1" applyAlignment="1">
      <alignment horizontal="center" vertical="center" wrapText="1"/>
    </xf>
    <xf numFmtId="173" fontId="14" fillId="0" borderId="1" xfId="0" applyNumberFormat="1" applyFont="1" applyFill="1" applyBorder="1" applyAlignment="1">
      <alignment horizontal="center" vertical="center"/>
    </xf>
    <xf numFmtId="0" fontId="14" fillId="0" borderId="1" xfId="0" applyFont="1" applyBorder="1" applyAlignment="1">
      <alignment horizontal="center"/>
    </xf>
    <xf numFmtId="0" fontId="26" fillId="15" borderId="1" xfId="0" applyFont="1" applyFill="1" applyBorder="1" applyAlignment="1">
      <alignment horizontal="center" vertical="center"/>
    </xf>
    <xf numFmtId="0" fontId="14" fillId="15" borderId="1" xfId="0" applyFont="1" applyFill="1" applyBorder="1" applyAlignment="1">
      <alignment horizontal="center"/>
    </xf>
    <xf numFmtId="0" fontId="13" fillId="0" borderId="22" xfId="0" applyFont="1" applyBorder="1" applyAlignment="1">
      <alignment horizontal="left" wrapText="1"/>
    </xf>
    <xf numFmtId="0" fontId="14" fillId="0" borderId="22" xfId="0" applyFont="1" applyBorder="1" applyAlignment="1">
      <alignment horizontal="left" wrapText="1"/>
    </xf>
    <xf numFmtId="0" fontId="3" fillId="5" borderId="22" xfId="0" applyFont="1" applyFill="1" applyBorder="1" applyAlignment="1">
      <alignment wrapText="1"/>
    </xf>
    <xf numFmtId="3" fontId="0" fillId="0" borderId="15" xfId="0" applyNumberFormat="1" applyFont="1" applyFill="1" applyBorder="1" applyAlignment="1">
      <alignment horizontal="center"/>
    </xf>
    <xf numFmtId="3" fontId="0" fillId="0" borderId="49" xfId="0" applyNumberFormat="1" applyFont="1" applyFill="1" applyBorder="1" applyAlignment="1">
      <alignment horizontal="center"/>
    </xf>
    <xf numFmtId="9" fontId="0" fillId="0" borderId="49" xfId="6" applyFont="1" applyFill="1" applyBorder="1" applyAlignment="1">
      <alignment horizontal="center"/>
    </xf>
    <xf numFmtId="9" fontId="6" fillId="0" borderId="49" xfId="6" applyFont="1" applyFill="1" applyBorder="1" applyAlignment="1">
      <alignment horizontal="center"/>
    </xf>
    <xf numFmtId="1" fontId="0" fillId="0" borderId="49" xfId="6" applyNumberFormat="1" applyFont="1" applyFill="1" applyBorder="1" applyAlignment="1">
      <alignment horizontal="center"/>
    </xf>
    <xf numFmtId="10" fontId="6" fillId="0" borderId="51" xfId="0" applyNumberFormat="1" applyFont="1" applyFill="1" applyBorder="1" applyAlignment="1">
      <alignment horizontal="center"/>
    </xf>
    <xf numFmtId="10" fontId="0" fillId="0" borderId="17" xfId="0" applyNumberFormat="1" applyFont="1" applyFill="1" applyBorder="1" applyAlignment="1">
      <alignment horizontal="center"/>
    </xf>
    <xf numFmtId="3" fontId="0" fillId="7" borderId="23" xfId="0" applyNumberFormat="1" applyFont="1" applyFill="1" applyBorder="1" applyAlignment="1">
      <alignment horizontal="center"/>
    </xf>
    <xf numFmtId="3" fontId="0" fillId="0" borderId="23" xfId="0" applyNumberFormat="1" applyFont="1" applyBorder="1" applyAlignment="1">
      <alignment horizontal="center"/>
    </xf>
    <xf numFmtId="0" fontId="13" fillId="0" borderId="0" xfId="0" applyFont="1" applyFill="1"/>
    <xf numFmtId="0" fontId="21" fillId="0" borderId="0" xfId="0" applyFont="1" applyFill="1"/>
    <xf numFmtId="0" fontId="13" fillId="0" borderId="0" xfId="0" applyFont="1" applyFill="1" applyAlignment="1"/>
    <xf numFmtId="0" fontId="17" fillId="0" borderId="22" xfId="0" applyFont="1" applyFill="1" applyBorder="1" applyAlignment="1">
      <alignment horizontal="center"/>
    </xf>
    <xf numFmtId="0" fontId="21" fillId="0" borderId="0" xfId="0" applyFont="1" applyFill="1" applyAlignment="1">
      <alignment wrapText="1"/>
    </xf>
    <xf numFmtId="0" fontId="21" fillId="0" borderId="0" xfId="0" applyFont="1" applyFill="1" applyAlignment="1"/>
    <xf numFmtId="9" fontId="13" fillId="0" borderId="0" xfId="0" applyNumberFormat="1" applyFont="1" applyAlignment="1"/>
    <xf numFmtId="9" fontId="13" fillId="0" borderId="0" xfId="0" applyNumberFormat="1" applyFont="1" applyFill="1" applyAlignment="1"/>
    <xf numFmtId="2" fontId="17" fillId="0" borderId="22" xfId="0" applyNumberFormat="1" applyFont="1" applyFill="1" applyBorder="1" applyAlignment="1">
      <alignment horizontal="center"/>
    </xf>
    <xf numFmtId="0" fontId="17" fillId="8" borderId="29" xfId="0" applyFont="1" applyFill="1" applyBorder="1" applyAlignment="1">
      <alignment wrapText="1"/>
    </xf>
    <xf numFmtId="0" fontId="17" fillId="0" borderId="30" xfId="0" applyFont="1" applyBorder="1"/>
    <xf numFmtId="0" fontId="13" fillId="0" borderId="30" xfId="0" applyFont="1" applyBorder="1" applyAlignment="1">
      <alignment horizontal="center"/>
    </xf>
    <xf numFmtId="4" fontId="13" fillId="0" borderId="30" xfId="0" applyNumberFormat="1" applyFont="1" applyBorder="1"/>
    <xf numFmtId="4" fontId="13" fillId="0" borderId="40" xfId="0" applyNumberFormat="1" applyFont="1" applyBorder="1"/>
    <xf numFmtId="0" fontId="17" fillId="8" borderId="20" xfId="0" applyFont="1" applyFill="1" applyBorder="1" applyAlignment="1">
      <alignment wrapText="1"/>
    </xf>
    <xf numFmtId="0" fontId="17" fillId="0" borderId="22" xfId="0" applyFont="1" applyBorder="1"/>
    <xf numFmtId="3" fontId="17" fillId="0" borderId="22" xfId="0" applyNumberFormat="1" applyFont="1" applyBorder="1" applyAlignment="1">
      <alignment horizontal="center"/>
    </xf>
    <xf numFmtId="4" fontId="13" fillId="0" borderId="28" xfId="0" applyNumberFormat="1" applyFont="1" applyBorder="1"/>
    <xf numFmtId="4" fontId="13" fillId="0" borderId="22" xfId="0" applyNumberFormat="1" applyFont="1" applyBorder="1"/>
    <xf numFmtId="4" fontId="13" fillId="0" borderId="25" xfId="0" applyNumberFormat="1" applyFont="1" applyBorder="1"/>
    <xf numFmtId="2" fontId="17" fillId="0" borderId="22" xfId="0" applyNumberFormat="1" applyFont="1" applyBorder="1" applyAlignment="1">
      <alignment horizontal="center"/>
    </xf>
    <xf numFmtId="0" fontId="17" fillId="0" borderId="23" xfId="0" applyFont="1" applyBorder="1"/>
    <xf numFmtId="3" fontId="17" fillId="0" borderId="23" xfId="0" applyNumberFormat="1" applyFont="1" applyBorder="1" applyAlignment="1">
      <alignment horizontal="center"/>
    </xf>
    <xf numFmtId="4" fontId="17" fillId="0" borderId="23" xfId="0" applyNumberFormat="1" applyFont="1" applyBorder="1" applyAlignment="1">
      <alignment horizontal="center"/>
    </xf>
    <xf numFmtId="0" fontId="33" fillId="0" borderId="22" xfId="0" applyFont="1" applyBorder="1"/>
    <xf numFmtId="0" fontId="18" fillId="0" borderId="31" xfId="0" applyFont="1" applyBorder="1" applyAlignment="1">
      <alignment wrapText="1"/>
    </xf>
    <xf numFmtId="0" fontId="18" fillId="0" borderId="32" xfId="0" applyFont="1" applyBorder="1"/>
    <xf numFmtId="0" fontId="18" fillId="0" borderId="32" xfId="0" applyFont="1" applyBorder="1" applyAlignment="1">
      <alignment horizontal="center"/>
    </xf>
    <xf numFmtId="4" fontId="32" fillId="0" borderId="33" xfId="0" applyNumberFormat="1" applyFont="1" applyBorder="1"/>
    <xf numFmtId="4" fontId="32" fillId="0" borderId="41" xfId="0" applyNumberFormat="1" applyFont="1" applyBorder="1"/>
    <xf numFmtId="0" fontId="13" fillId="0" borderId="30" xfId="0" applyFont="1" applyBorder="1"/>
    <xf numFmtId="4" fontId="13" fillId="0" borderId="37" xfId="0" applyNumberFormat="1" applyFont="1" applyBorder="1"/>
    <xf numFmtId="0" fontId="22" fillId="0" borderId="22" xfId="0" applyFont="1" applyBorder="1" applyAlignment="1"/>
    <xf numFmtId="0" fontId="13" fillId="0" borderId="22" xfId="0" applyFont="1" applyBorder="1"/>
    <xf numFmtId="0" fontId="13" fillId="0" borderId="24" xfId="0" applyFont="1" applyBorder="1"/>
    <xf numFmtId="0" fontId="22" fillId="0" borderId="22" xfId="0" applyFont="1" applyBorder="1" applyAlignment="1">
      <alignment wrapText="1"/>
    </xf>
    <xf numFmtId="0" fontId="13" fillId="0" borderId="36" xfId="0" applyFont="1" applyBorder="1" applyAlignment="1">
      <alignment wrapText="1"/>
    </xf>
    <xf numFmtId="4" fontId="13" fillId="0" borderId="24" xfId="0" applyNumberFormat="1" applyFont="1" applyBorder="1"/>
    <xf numFmtId="0" fontId="13" fillId="0" borderId="24" xfId="0" applyFont="1" applyBorder="1" applyAlignment="1">
      <alignment horizontal="center"/>
    </xf>
    <xf numFmtId="3" fontId="13" fillId="0" borderId="24" xfId="0" applyNumberFormat="1" applyFont="1" applyBorder="1" applyAlignment="1">
      <alignment horizontal="center"/>
    </xf>
    <xf numFmtId="4" fontId="13" fillId="0" borderId="24" xfId="0" applyNumberFormat="1" applyFont="1" applyBorder="1" applyAlignment="1">
      <alignment horizontal="center"/>
    </xf>
    <xf numFmtId="0" fontId="13" fillId="0" borderId="43" xfId="0" applyFont="1" applyFill="1" applyBorder="1" applyAlignment="1">
      <alignment wrapText="1"/>
    </xf>
    <xf numFmtId="0" fontId="13" fillId="0" borderId="23" xfId="0" applyFont="1" applyFill="1" applyBorder="1"/>
    <xf numFmtId="4" fontId="13" fillId="0" borderId="23" xfId="0" applyNumberFormat="1" applyFont="1" applyFill="1" applyBorder="1"/>
    <xf numFmtId="4" fontId="13" fillId="0" borderId="44" xfId="0" applyNumberFormat="1" applyFont="1" applyFill="1" applyBorder="1"/>
    <xf numFmtId="0" fontId="22" fillId="0" borderId="22" xfId="0" applyFont="1" applyFill="1" applyBorder="1" applyAlignment="1">
      <alignment wrapText="1"/>
    </xf>
    <xf numFmtId="2" fontId="32" fillId="0" borderId="32" xfId="0" applyNumberFormat="1" applyFont="1" applyBorder="1"/>
    <xf numFmtId="4" fontId="13" fillId="0" borderId="0" xfId="0" applyNumberFormat="1" applyFont="1" applyAlignment="1"/>
    <xf numFmtId="0" fontId="13" fillId="17" borderId="16" xfId="0" applyFont="1" applyFill="1" applyBorder="1" applyAlignment="1">
      <alignment horizontal="center"/>
    </xf>
    <xf numFmtId="0" fontId="13" fillId="17" borderId="16" xfId="0" applyFont="1" applyFill="1" applyBorder="1" applyAlignment="1"/>
    <xf numFmtId="0" fontId="0" fillId="15" borderId="22" xfId="0" applyFont="1" applyFill="1" applyBorder="1"/>
    <xf numFmtId="0" fontId="1" fillId="15" borderId="22" xfId="0" applyFont="1" applyFill="1" applyBorder="1"/>
    <xf numFmtId="2" fontId="32" fillId="15" borderId="22" xfId="0" applyNumberFormat="1" applyFont="1" applyFill="1" applyBorder="1"/>
    <xf numFmtId="4" fontId="32" fillId="15" borderId="22" xfId="0" applyNumberFormat="1" applyFont="1" applyFill="1" applyBorder="1"/>
    <xf numFmtId="4" fontId="32" fillId="15" borderId="25" xfId="0" applyNumberFormat="1" applyFont="1" applyFill="1" applyBorder="1"/>
    <xf numFmtId="0" fontId="16" fillId="15" borderId="22" xfId="0" applyFont="1" applyFill="1" applyBorder="1" applyAlignment="1">
      <alignment horizontal="centerContinuous" vertical="center"/>
    </xf>
    <xf numFmtId="0" fontId="16" fillId="15" borderId="23" xfId="0" applyFont="1" applyFill="1" applyBorder="1" applyAlignment="1">
      <alignment horizontal="center" vertical="center" wrapText="1"/>
    </xf>
    <xf numFmtId="0" fontId="2" fillId="0" borderId="1" xfId="0" applyFont="1" applyBorder="1" applyAlignment="1">
      <alignment horizontal="left" wrapText="1"/>
    </xf>
    <xf numFmtId="0" fontId="2" fillId="0" borderId="1" xfId="0" applyFont="1" applyFill="1" applyBorder="1" applyAlignment="1">
      <alignment horizontal="left" wrapText="1"/>
    </xf>
    <xf numFmtId="3" fontId="0" fillId="0" borderId="9" xfId="0" applyNumberFormat="1" applyFont="1" applyFill="1" applyBorder="1" applyAlignment="1">
      <alignment horizontal="center"/>
    </xf>
    <xf numFmtId="3" fontId="0" fillId="0" borderId="22" xfId="0" applyNumberFormat="1" applyFont="1" applyFill="1" applyBorder="1" applyAlignment="1">
      <alignment horizontal="center"/>
    </xf>
    <xf numFmtId="9" fontId="0" fillId="0" borderId="22" xfId="6" applyFont="1" applyFill="1" applyBorder="1" applyAlignment="1">
      <alignment horizontal="center"/>
    </xf>
    <xf numFmtId="1" fontId="0" fillId="0" borderId="22" xfId="6" applyNumberFormat="1" applyFont="1" applyFill="1" applyBorder="1" applyAlignment="1">
      <alignment horizontal="center"/>
    </xf>
    <xf numFmtId="10" fontId="0" fillId="0" borderId="46" xfId="0" applyNumberFormat="1" applyFont="1" applyFill="1" applyBorder="1" applyAlignment="1">
      <alignment horizontal="center"/>
    </xf>
    <xf numFmtId="0" fontId="0" fillId="0" borderId="1" xfId="0" applyFill="1" applyBorder="1" applyAlignment="1">
      <alignment horizontal="center"/>
    </xf>
    <xf numFmtId="0" fontId="0" fillId="0" borderId="20" xfId="0" applyFont="1" applyBorder="1" applyAlignment="1">
      <alignment horizontal="center"/>
    </xf>
    <xf numFmtId="165" fontId="1" fillId="0" borderId="22" xfId="0" applyNumberFormat="1" applyFont="1" applyBorder="1" applyAlignment="1"/>
    <xf numFmtId="0" fontId="14" fillId="18" borderId="22" xfId="0" applyFont="1" applyFill="1" applyBorder="1" applyAlignment="1">
      <alignment horizontal="center" vertical="center" wrapText="1"/>
    </xf>
    <xf numFmtId="2" fontId="13" fillId="0" borderId="22" xfId="0" applyNumberFormat="1" applyFont="1" applyFill="1" applyBorder="1" applyAlignment="1">
      <alignment horizontal="center" vertical="center" wrapText="1"/>
    </xf>
    <xf numFmtId="3" fontId="13" fillId="0" borderId="22" xfId="0" applyNumberFormat="1" applyFont="1" applyFill="1" applyBorder="1" applyAlignment="1">
      <alignment horizontal="center" vertical="center" wrapText="1"/>
    </xf>
    <xf numFmtId="4" fontId="13" fillId="0" borderId="22" xfId="0" applyNumberFormat="1" applyFont="1" applyFill="1" applyBorder="1"/>
    <xf numFmtId="0" fontId="13" fillId="0" borderId="22" xfId="0" applyFont="1" applyFill="1" applyBorder="1" applyAlignment="1">
      <alignment vertical="center" wrapText="1"/>
    </xf>
    <xf numFmtId="0" fontId="13" fillId="0" borderId="0" xfId="0" applyFont="1" applyFill="1" applyAlignment="1">
      <alignment horizontal="center"/>
    </xf>
    <xf numFmtId="2" fontId="32" fillId="15" borderId="22" xfId="0" applyNumberFormat="1" applyFont="1" applyFill="1" applyBorder="1" applyAlignment="1">
      <alignment horizontal="center"/>
    </xf>
    <xf numFmtId="0" fontId="16" fillId="15" borderId="22" xfId="0"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wrapText="1"/>
    </xf>
    <xf numFmtId="0" fontId="39" fillId="15" borderId="23" xfId="0" applyFont="1" applyFill="1" applyBorder="1" applyAlignment="1">
      <alignment horizontal="center" vertical="center"/>
    </xf>
    <xf numFmtId="0" fontId="39" fillId="15" borderId="28" xfId="0" applyFont="1" applyFill="1" applyBorder="1" applyAlignment="1">
      <alignment horizontal="center" vertical="center"/>
    </xf>
    <xf numFmtId="0" fontId="39" fillId="15" borderId="22" xfId="0" applyFont="1" applyFill="1" applyBorder="1" applyAlignment="1">
      <alignment horizontal="center" vertical="center" wrapText="1"/>
    </xf>
    <xf numFmtId="0" fontId="39" fillId="15" borderId="22" xfId="0" applyFont="1" applyFill="1" applyBorder="1" applyAlignment="1">
      <alignment vertical="center"/>
    </xf>
    <xf numFmtId="0" fontId="13" fillId="0" borderId="0" xfId="0" applyFont="1" applyAlignment="1">
      <alignment vertical="center"/>
    </xf>
    <xf numFmtId="0" fontId="14" fillId="0" borderId="11" xfId="0" applyFont="1" applyBorder="1" applyAlignment="1">
      <alignment vertical="center" wrapText="1"/>
    </xf>
    <xf numFmtId="0" fontId="1" fillId="15" borderId="1" xfId="0" applyFont="1" applyFill="1" applyBorder="1" applyAlignment="1">
      <alignment vertical="center" wrapText="1"/>
    </xf>
    <xf numFmtId="0" fontId="0" fillId="0" borderId="0" xfId="0" applyFont="1" applyAlignment="1">
      <alignment vertical="center"/>
    </xf>
    <xf numFmtId="3" fontId="0" fillId="0" borderId="1" xfId="0" applyNumberFormat="1" applyFont="1" applyBorder="1" applyAlignment="1">
      <alignment horizontal="center"/>
    </xf>
    <xf numFmtId="9" fontId="0" fillId="0" borderId="1" xfId="0" applyNumberFormat="1" applyFont="1" applyBorder="1" applyAlignment="1">
      <alignment horizontal="center"/>
    </xf>
    <xf numFmtId="165" fontId="0" fillId="0" borderId="1" xfId="0" applyNumberFormat="1" applyFont="1" applyBorder="1" applyAlignment="1">
      <alignment horizontal="center"/>
    </xf>
    <xf numFmtId="3" fontId="6" fillId="0" borderId="1" xfId="0" applyNumberFormat="1" applyFont="1" applyBorder="1" applyAlignment="1">
      <alignment horizontal="center"/>
    </xf>
    <xf numFmtId="165" fontId="6" fillId="0" borderId="1" xfId="0" applyNumberFormat="1" applyFont="1" applyBorder="1" applyAlignment="1">
      <alignment horizontal="center"/>
    </xf>
    <xf numFmtId="3" fontId="1" fillId="0" borderId="1" xfId="0" applyNumberFormat="1" applyFont="1" applyBorder="1" applyAlignment="1">
      <alignment horizontal="center"/>
    </xf>
    <xf numFmtId="0" fontId="1" fillId="0" borderId="1" xfId="0" applyFont="1" applyBorder="1" applyAlignment="1">
      <alignment horizontal="center"/>
    </xf>
    <xf numFmtId="0" fontId="14" fillId="19" borderId="22" xfId="0" applyFont="1" applyFill="1" applyBorder="1" applyAlignment="1">
      <alignment horizontal="center" vertical="center" wrapText="1"/>
    </xf>
    <xf numFmtId="2" fontId="17" fillId="0" borderId="20" xfId="0" applyNumberFormat="1" applyFont="1" applyFill="1" applyBorder="1" applyAlignment="1">
      <alignment horizontal="center"/>
    </xf>
    <xf numFmtId="4" fontId="13" fillId="0" borderId="30" xfId="0" applyNumberFormat="1" applyFont="1" applyBorder="1" applyAlignment="1">
      <alignment horizontal="center"/>
    </xf>
    <xf numFmtId="4" fontId="13" fillId="0" borderId="37" xfId="0" applyNumberFormat="1" applyFont="1" applyBorder="1" applyAlignment="1">
      <alignment horizontal="center"/>
    </xf>
    <xf numFmtId="4" fontId="14" fillId="0" borderId="37" xfId="0" applyNumberFormat="1" applyFont="1" applyBorder="1" applyAlignment="1">
      <alignment horizontal="center"/>
    </xf>
    <xf numFmtId="9" fontId="13" fillId="0" borderId="22" xfId="0" applyNumberFormat="1" applyFont="1" applyBorder="1" applyAlignment="1">
      <alignment horizontal="center"/>
    </xf>
    <xf numFmtId="0" fontId="14" fillId="0" borderId="0" xfId="0" applyFont="1" applyAlignment="1">
      <alignment horizontal="right"/>
    </xf>
    <xf numFmtId="0" fontId="14" fillId="0" borderId="22" xfId="0" applyFont="1" applyBorder="1" applyAlignment="1">
      <alignment horizontal="right"/>
    </xf>
    <xf numFmtId="0" fontId="14" fillId="0" borderId="22" xfId="0" applyFont="1" applyBorder="1" applyAlignment="1">
      <alignment horizontal="left"/>
    </xf>
    <xf numFmtId="9" fontId="23" fillId="0" borderId="22" xfId="6" applyFont="1" applyFill="1" applyBorder="1" applyAlignment="1">
      <alignment horizontal="center"/>
    </xf>
    <xf numFmtId="9" fontId="13" fillId="0" borderId="22" xfId="0" applyNumberFormat="1" applyFont="1" applyBorder="1" applyAlignment="1">
      <alignment horizontal="right"/>
    </xf>
    <xf numFmtId="4" fontId="13" fillId="0" borderId="22" xfId="6" applyNumberFormat="1" applyFont="1" applyBorder="1" applyAlignment="1">
      <alignment horizontal="center"/>
    </xf>
    <xf numFmtId="0" fontId="13" fillId="0" borderId="22" xfId="0" applyFont="1" applyBorder="1" applyAlignment="1">
      <alignment horizontal="right"/>
    </xf>
    <xf numFmtId="4" fontId="22" fillId="0" borderId="22" xfId="1" applyNumberFormat="1" applyFont="1" applyFill="1" applyBorder="1" applyAlignment="1">
      <alignment horizontal="center"/>
    </xf>
    <xf numFmtId="0" fontId="13" fillId="0" borderId="22" xfId="0" applyFont="1" applyBorder="1" applyAlignment="1">
      <alignment horizontal="left"/>
    </xf>
    <xf numFmtId="9" fontId="13" fillId="0" borderId="20" xfId="6" applyFont="1" applyBorder="1" applyAlignment="1">
      <alignment horizontal="center"/>
    </xf>
    <xf numFmtId="0" fontId="14" fillId="0" borderId="20" xfId="0" applyFont="1" applyBorder="1" applyAlignment="1">
      <alignment horizontal="center"/>
    </xf>
    <xf numFmtId="0" fontId="14" fillId="0" borderId="22" xfId="0" applyFont="1" applyBorder="1" applyAlignment="1">
      <alignment horizontal="center" wrapText="1"/>
    </xf>
    <xf numFmtId="10" fontId="13" fillId="0" borderId="22" xfId="6" applyNumberFormat="1" applyFont="1" applyBorder="1" applyAlignment="1">
      <alignment horizontal="center"/>
    </xf>
    <xf numFmtId="9" fontId="14" fillId="0" borderId="22" xfId="6" applyFont="1" applyBorder="1" applyAlignment="1">
      <alignment horizontal="center"/>
    </xf>
    <xf numFmtId="0" fontId="23" fillId="15" borderId="22" xfId="0" applyFont="1" applyFill="1" applyBorder="1" applyAlignment="1">
      <alignment vertical="center" wrapText="1"/>
    </xf>
    <xf numFmtId="0" fontId="13" fillId="0" borderId="22" xfId="0" applyFont="1" applyBorder="1" applyAlignment="1">
      <alignment vertical="center" wrapText="1"/>
    </xf>
    <xf numFmtId="3" fontId="13" fillId="0" borderId="22" xfId="0" applyNumberFormat="1" applyFont="1" applyBorder="1" applyAlignment="1">
      <alignment horizontal="center" vertical="center"/>
    </xf>
    <xf numFmtId="0" fontId="13" fillId="0" borderId="22" xfId="0" applyFont="1" applyBorder="1" applyAlignment="1">
      <alignment vertical="center"/>
    </xf>
    <xf numFmtId="0" fontId="14" fillId="0" borderId="22" xfId="0" applyFont="1" applyBorder="1" applyAlignment="1">
      <alignment vertical="center"/>
    </xf>
    <xf numFmtId="0" fontId="14" fillId="0" borderId="22" xfId="0" applyFont="1" applyBorder="1" applyAlignment="1">
      <alignment horizontal="center" vertical="center"/>
    </xf>
    <xf numFmtId="9" fontId="13" fillId="0" borderId="23" xfId="6" applyFont="1" applyBorder="1" applyAlignment="1">
      <alignment horizontal="center" vertical="center"/>
    </xf>
    <xf numFmtId="169" fontId="13" fillId="0" borderId="5" xfId="0" applyNumberFormat="1" applyFont="1" applyFill="1" applyBorder="1" applyAlignment="1">
      <alignment horizontal="center" wrapText="1"/>
    </xf>
    <xf numFmtId="0" fontId="17" fillId="20" borderId="22" xfId="5" applyFont="1" applyFill="1" applyBorder="1" applyAlignment="1">
      <alignment horizontal="center"/>
    </xf>
    <xf numFmtId="0" fontId="17" fillId="20" borderId="22" xfId="0" applyFont="1" applyFill="1" applyBorder="1" applyAlignment="1">
      <alignment horizontal="center"/>
    </xf>
    <xf numFmtId="0" fontId="33" fillId="20" borderId="22" xfId="5" applyFont="1" applyFill="1" applyBorder="1"/>
    <xf numFmtId="0" fontId="20" fillId="20" borderId="22" xfId="0" applyFont="1" applyFill="1" applyBorder="1" applyAlignment="1"/>
    <xf numFmtId="3" fontId="1" fillId="0" borderId="7" xfId="0" applyNumberFormat="1" applyFont="1" applyBorder="1" applyAlignment="1"/>
    <xf numFmtId="43" fontId="1" fillId="0" borderId="22" xfId="0" applyNumberFormat="1" applyFont="1" applyBorder="1" applyAlignment="1"/>
    <xf numFmtId="0" fontId="23" fillId="2" borderId="22" xfId="1" applyFont="1" applyFill="1" applyBorder="1" applyAlignment="1">
      <alignment horizontal="center" vertical="center" wrapText="1"/>
    </xf>
    <xf numFmtId="0" fontId="18" fillId="15" borderId="39" xfId="5" applyFont="1" applyFill="1" applyBorder="1" applyAlignment="1">
      <alignment horizontal="center" vertical="center"/>
    </xf>
    <xf numFmtId="0" fontId="18" fillId="15" borderId="26" xfId="5" applyFont="1" applyFill="1" applyBorder="1" applyAlignment="1">
      <alignment horizontal="center" vertical="center"/>
    </xf>
    <xf numFmtId="0" fontId="13" fillId="0" borderId="22" xfId="0" applyFont="1" applyBorder="1" applyAlignment="1">
      <alignment horizontal="center" vertical="center"/>
    </xf>
    <xf numFmtId="4" fontId="13" fillId="0" borderId="22" xfId="0" applyNumberFormat="1" applyFont="1" applyBorder="1" applyAlignment="1">
      <alignment horizontal="center" vertical="center"/>
    </xf>
    <xf numFmtId="0" fontId="23" fillId="2" borderId="22" xfId="1" applyFont="1" applyFill="1" applyBorder="1" applyAlignment="1">
      <alignment horizontal="center" vertical="center" wrapText="1"/>
    </xf>
    <xf numFmtId="0" fontId="22" fillId="0" borderId="22" xfId="1" applyFont="1" applyBorder="1" applyAlignment="1"/>
    <xf numFmtId="0" fontId="16" fillId="9" borderId="37" xfId="0" applyFont="1" applyFill="1" applyBorder="1" applyAlignment="1">
      <alignment horizontal="center" vertical="center"/>
    </xf>
    <xf numFmtId="0" fontId="16" fillId="9" borderId="48" xfId="0" applyFont="1" applyFill="1" applyBorder="1" applyAlignment="1">
      <alignment horizontal="center" vertical="center"/>
    </xf>
    <xf numFmtId="0" fontId="13" fillId="0" borderId="34" xfId="0" applyFont="1" applyBorder="1" applyAlignment="1">
      <alignment horizontal="left" wrapText="1"/>
    </xf>
    <xf numFmtId="0" fontId="13" fillId="0" borderId="35" xfId="0" applyFont="1" applyBorder="1" applyAlignment="1">
      <alignment horizontal="left" wrapText="1"/>
    </xf>
    <xf numFmtId="0" fontId="13" fillId="0" borderId="36" xfId="0" applyFont="1" applyBorder="1" applyAlignment="1">
      <alignment horizontal="left" wrapText="1"/>
    </xf>
    <xf numFmtId="0" fontId="16" fillId="15" borderId="25" xfId="0" applyFont="1" applyFill="1" applyBorder="1" applyAlignment="1">
      <alignment horizontal="center" vertical="center"/>
    </xf>
    <xf numFmtId="0" fontId="16" fillId="15" borderId="39" xfId="0" applyFont="1" applyFill="1" applyBorder="1" applyAlignment="1">
      <alignment horizontal="center" vertical="center"/>
    </xf>
    <xf numFmtId="0" fontId="16" fillId="15" borderId="26" xfId="0" applyFont="1" applyFill="1" applyBorder="1" applyAlignment="1">
      <alignment horizontal="center" vertical="center"/>
    </xf>
    <xf numFmtId="0" fontId="16" fillId="9" borderId="44"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22" fillId="4" borderId="7" xfId="0" applyFont="1" applyFill="1" applyBorder="1" applyAlignment="1">
      <alignment horizontal="center"/>
    </xf>
    <xf numFmtId="0" fontId="22" fillId="0" borderId="19" xfId="0" applyFont="1" applyBorder="1" applyAlignment="1"/>
    <xf numFmtId="0" fontId="22" fillId="0" borderId="8" xfId="0" applyFont="1" applyBorder="1" applyAlignment="1"/>
    <xf numFmtId="0" fontId="13" fillId="4" borderId="7" xfId="0" applyFont="1" applyFill="1" applyBorder="1" applyAlignment="1">
      <alignment horizontal="center" vertical="center"/>
    </xf>
    <xf numFmtId="0" fontId="13" fillId="4" borderId="7" xfId="0" applyFont="1" applyFill="1" applyBorder="1" applyAlignment="1">
      <alignment horizontal="center"/>
    </xf>
    <xf numFmtId="0" fontId="13" fillId="4" borderId="19" xfId="0" applyFont="1" applyFill="1" applyBorder="1" applyAlignment="1">
      <alignment horizontal="center" vertical="center"/>
    </xf>
    <xf numFmtId="0" fontId="13" fillId="4" borderId="8" xfId="0" applyFont="1" applyFill="1" applyBorder="1" applyAlignment="1">
      <alignment horizontal="center" vertical="center"/>
    </xf>
    <xf numFmtId="0" fontId="23" fillId="7" borderId="15" xfId="5" applyFont="1" applyFill="1" applyBorder="1" applyAlignment="1">
      <alignment horizontal="center" vertical="top" wrapText="1"/>
    </xf>
    <xf numFmtId="0" fontId="5" fillId="7" borderId="14" xfId="5" applyFont="1" applyFill="1" applyBorder="1" applyAlignment="1">
      <alignment vertical="top"/>
    </xf>
    <xf numFmtId="0" fontId="5" fillId="7" borderId="3" xfId="5" applyFont="1" applyFill="1" applyBorder="1" applyAlignment="1">
      <alignment vertical="top"/>
    </xf>
    <xf numFmtId="0" fontId="24" fillId="0" borderId="15" xfId="5" applyFont="1" applyBorder="1" applyAlignment="1">
      <alignment horizontal="center" vertical="top" wrapText="1"/>
    </xf>
    <xf numFmtId="0" fontId="5" fillId="0" borderId="14" xfId="5" applyFont="1" applyBorder="1" applyAlignment="1">
      <alignment vertical="top"/>
    </xf>
    <xf numFmtId="0" fontId="5" fillId="0" borderId="3" xfId="5" applyFont="1" applyBorder="1" applyAlignment="1">
      <alignment vertical="top"/>
    </xf>
    <xf numFmtId="0" fontId="18" fillId="15" borderId="50" xfId="5" applyFont="1" applyFill="1" applyBorder="1" applyAlignment="1">
      <alignment horizontal="center" vertical="center"/>
    </xf>
    <xf numFmtId="0" fontId="18" fillId="15" borderId="39" xfId="5" applyFont="1" applyFill="1" applyBorder="1" applyAlignment="1">
      <alignment horizontal="center" vertical="center"/>
    </xf>
    <xf numFmtId="0" fontId="18" fillId="15" borderId="26" xfId="5" applyFont="1" applyFill="1" applyBorder="1" applyAlignment="1">
      <alignment horizontal="center" vertical="center"/>
    </xf>
    <xf numFmtId="0" fontId="18" fillId="15" borderId="25" xfId="5" applyFont="1" applyFill="1" applyBorder="1" applyAlignment="1">
      <alignment horizontal="center"/>
    </xf>
    <xf numFmtId="0" fontId="18" fillId="15" borderId="39" xfId="5" applyFont="1" applyFill="1" applyBorder="1" applyAlignment="1">
      <alignment horizontal="center"/>
    </xf>
    <xf numFmtId="0" fontId="18" fillId="15" borderId="26" xfId="5" applyFont="1" applyFill="1" applyBorder="1" applyAlignment="1">
      <alignment horizontal="center"/>
    </xf>
    <xf numFmtId="0" fontId="22" fillId="4" borderId="27" xfId="0" applyFont="1" applyFill="1" applyBorder="1" applyAlignment="1">
      <alignment horizontal="center"/>
    </xf>
    <xf numFmtId="0" fontId="22" fillId="4" borderId="19" xfId="0" applyFont="1" applyFill="1" applyBorder="1" applyAlignment="1">
      <alignment horizontal="center"/>
    </xf>
    <xf numFmtId="0" fontId="22" fillId="4" borderId="8" xfId="0" applyFont="1" applyFill="1" applyBorder="1" applyAlignment="1">
      <alignment horizontal="center"/>
    </xf>
    <xf numFmtId="0" fontId="22" fillId="4" borderId="27" xfId="0" applyFont="1" applyFill="1" applyBorder="1" applyAlignment="1">
      <alignment horizontal="center" vertical="center"/>
    </xf>
    <xf numFmtId="0" fontId="22" fillId="4" borderId="19"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7" xfId="0" applyFont="1" applyFill="1" applyBorder="1" applyAlignment="1">
      <alignment horizontal="center" vertical="center"/>
    </xf>
    <xf numFmtId="0" fontId="3" fillId="5" borderId="25" xfId="0" applyFont="1" applyFill="1" applyBorder="1" applyAlignment="1">
      <alignment horizontal="center" wrapText="1"/>
    </xf>
    <xf numFmtId="0" fontId="3" fillId="5" borderId="26" xfId="0" applyFont="1" applyFill="1" applyBorder="1" applyAlignment="1">
      <alignment horizontal="center" wrapText="1"/>
    </xf>
    <xf numFmtId="0" fontId="3" fillId="5" borderId="39" xfId="0" applyFont="1" applyFill="1" applyBorder="1" applyAlignment="1">
      <alignment horizontal="center" wrapText="1"/>
    </xf>
    <xf numFmtId="0" fontId="16" fillId="9" borderId="28" xfId="0" applyFont="1" applyFill="1" applyBorder="1" applyAlignment="1">
      <alignment horizontal="left" vertical="center"/>
    </xf>
    <xf numFmtId="0" fontId="16" fillId="9" borderId="38" xfId="0" applyFont="1" applyFill="1" applyBorder="1" applyAlignment="1">
      <alignment horizontal="left" vertical="center"/>
    </xf>
    <xf numFmtId="4" fontId="16" fillId="9" borderId="25" xfId="0" applyNumberFormat="1" applyFont="1" applyFill="1" applyBorder="1" applyAlignment="1">
      <alignment horizontal="center" vertical="center"/>
    </xf>
    <xf numFmtId="4" fontId="16" fillId="9" borderId="39" xfId="0" applyNumberFormat="1" applyFont="1" applyFill="1" applyBorder="1" applyAlignment="1">
      <alignment horizontal="center" vertical="center"/>
    </xf>
    <xf numFmtId="4" fontId="16" fillId="9" borderId="26" xfId="0" applyNumberFormat="1" applyFont="1" applyFill="1" applyBorder="1" applyAlignment="1">
      <alignment horizontal="center" vertical="center"/>
    </xf>
    <xf numFmtId="0" fontId="16" fillId="9" borderId="37" xfId="0" applyFont="1" applyFill="1" applyBorder="1" applyAlignment="1">
      <alignment horizontal="center" vertical="center" wrapText="1"/>
    </xf>
    <xf numFmtId="0" fontId="16" fillId="9" borderId="48" xfId="0" applyFont="1" applyFill="1" applyBorder="1" applyAlignment="1">
      <alignment horizontal="center" vertical="center" wrapText="1"/>
    </xf>
    <xf numFmtId="0" fontId="35" fillId="9" borderId="25" xfId="0" applyFont="1" applyFill="1" applyBorder="1" applyAlignment="1">
      <alignment horizontal="center" vertical="center"/>
    </xf>
    <xf numFmtId="0" fontId="35" fillId="9" borderId="39" xfId="0" applyFont="1" applyFill="1" applyBorder="1" applyAlignment="1">
      <alignment horizontal="center" vertical="center"/>
    </xf>
    <xf numFmtId="0" fontId="35" fillId="9" borderId="26" xfId="0" applyFont="1" applyFill="1" applyBorder="1" applyAlignment="1">
      <alignment horizontal="center" vertical="center"/>
    </xf>
    <xf numFmtId="0" fontId="35" fillId="9" borderId="37" xfId="0" applyFont="1" applyFill="1" applyBorder="1" applyAlignment="1">
      <alignment horizontal="center" vertical="center" wrapText="1"/>
    </xf>
    <xf numFmtId="0" fontId="35" fillId="9" borderId="48" xfId="0" applyFont="1" applyFill="1" applyBorder="1" applyAlignment="1">
      <alignment horizontal="center" vertical="center" wrapText="1"/>
    </xf>
    <xf numFmtId="0" fontId="16" fillId="9" borderId="25" xfId="0" applyFont="1" applyFill="1" applyBorder="1" applyAlignment="1">
      <alignment horizontal="center" vertical="center"/>
    </xf>
    <xf numFmtId="0" fontId="16" fillId="9" borderId="39" xfId="0" applyFont="1" applyFill="1" applyBorder="1" applyAlignment="1">
      <alignment horizontal="center" vertical="center"/>
    </xf>
    <xf numFmtId="0" fontId="16" fillId="9" borderId="26" xfId="0" applyFont="1" applyFill="1" applyBorder="1" applyAlignment="1">
      <alignment horizontal="center" vertical="center"/>
    </xf>
    <xf numFmtId="0" fontId="13" fillId="0" borderId="22" xfId="0" applyFont="1" applyBorder="1" applyAlignment="1">
      <alignment horizontal="center" vertical="center"/>
    </xf>
    <xf numFmtId="3" fontId="13" fillId="0" borderId="23" xfId="0" applyNumberFormat="1" applyFont="1" applyBorder="1" applyAlignment="1">
      <alignment horizontal="center" vertical="center"/>
    </xf>
    <xf numFmtId="3" fontId="13" fillId="0" borderId="24" xfId="0" applyNumberFormat="1"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4" fontId="13" fillId="0" borderId="22" xfId="0" applyNumberFormat="1" applyFont="1" applyBorder="1" applyAlignment="1">
      <alignment horizontal="center" vertical="center"/>
    </xf>
  </cellXfs>
  <cellStyles count="7">
    <cellStyle name="Comma 2" xfId="2"/>
    <cellStyle name="Currency 2" xfId="3"/>
    <cellStyle name="Normaallaad 2" xfId="4"/>
    <cellStyle name="Normaallaad 3" xfId="5"/>
    <cellStyle name="Normal" xfId="0" builtinId="0"/>
    <cellStyle name="Normal 2" xfId="1"/>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CC1-41B9-BA39-0F0599E8C67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CC1-41B9-BA39-0F0599E8C67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CC1-41B9-BA39-0F0599E8C67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CC1-41B9-BA39-0F0599E8C67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('Scenario Analysis'!$A$6,'Scenario Analysis'!$A$10:$A$12)</c:f>
              <c:strCache>
                <c:ptCount val="4"/>
                <c:pt idx="0">
                  <c:v>Laboratory tests</c:v>
                </c:pt>
                <c:pt idx="1">
                  <c:v>Workforce related costs</c:v>
                </c:pt>
                <c:pt idx="2">
                  <c:v>Medical equipment</c:v>
                </c:pt>
                <c:pt idx="3">
                  <c:v>Premises</c:v>
                </c:pt>
              </c:strCache>
            </c:strRef>
          </c:cat>
          <c:val>
            <c:numRef>
              <c:f>('Scenario Analysis'!$F$6,'Scenario Analysis'!$F$10:$F$12)</c:f>
              <c:numCache>
                <c:formatCode>0%</c:formatCode>
                <c:ptCount val="4"/>
                <c:pt idx="0">
                  <c:v>0.28288285858618745</c:v>
                </c:pt>
                <c:pt idx="1">
                  <c:v>0.45936878870839815</c:v>
                </c:pt>
                <c:pt idx="2">
                  <c:v>8.582805395561742E-2</c:v>
                </c:pt>
                <c:pt idx="3">
                  <c:v>0.17192029874979689</c:v>
                </c:pt>
              </c:numCache>
            </c:numRef>
          </c:val>
          <c:extLst>
            <c:ext xmlns:c16="http://schemas.microsoft.com/office/drawing/2014/chart" uri="{C3380CC4-5D6E-409C-BE32-E72D297353CC}">
              <c16:uniqueId val="{00000000-75BE-4F5F-8EE6-87656BDDE8A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xdr:col>
      <xdr:colOff>0</xdr:colOff>
      <xdr:row>4</xdr:row>
      <xdr:rowOff>590550</xdr:rowOff>
    </xdr:from>
    <xdr:ext cx="38100" cy="171450"/>
    <xdr:sp macro="" textlink="">
      <xdr:nvSpPr>
        <xdr:cNvPr id="2" name="Shape 3">
          <a:extLst>
            <a:ext uri="{FF2B5EF4-FFF2-40B4-BE49-F238E27FC236}">
              <a16:creationId xmlns:a16="http://schemas.microsoft.com/office/drawing/2014/main" id="{D8E9D41F-F989-420E-9D45-1FF5C9E5EBFB}"/>
            </a:ext>
          </a:extLst>
        </xdr:cNvPr>
        <xdr:cNvSpPr txBox="1"/>
      </xdr:nvSpPr>
      <xdr:spPr>
        <a:xfrm>
          <a:off x="5686425" y="30670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0</xdr:colOff>
      <xdr:row>4</xdr:row>
      <xdr:rowOff>590550</xdr:rowOff>
    </xdr:from>
    <xdr:ext cx="38100" cy="171450"/>
    <xdr:sp macro="" textlink="">
      <xdr:nvSpPr>
        <xdr:cNvPr id="3" name="Shape 4">
          <a:extLst>
            <a:ext uri="{FF2B5EF4-FFF2-40B4-BE49-F238E27FC236}">
              <a16:creationId xmlns:a16="http://schemas.microsoft.com/office/drawing/2014/main" id="{1A9AB47D-CBB1-4E33-BD69-8FC5270F6392}"/>
            </a:ext>
          </a:extLst>
        </xdr:cNvPr>
        <xdr:cNvSpPr txBox="1"/>
      </xdr:nvSpPr>
      <xdr:spPr>
        <a:xfrm>
          <a:off x="5686425" y="30670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695325</xdr:colOff>
      <xdr:row>2</xdr:row>
      <xdr:rowOff>590550</xdr:rowOff>
    </xdr:from>
    <xdr:ext cx="38100" cy="171450"/>
    <xdr:sp macro="" textlink="">
      <xdr:nvSpPr>
        <xdr:cNvPr id="2" name="Shape 3">
          <a:extLst>
            <a:ext uri="{FF2B5EF4-FFF2-40B4-BE49-F238E27FC236}">
              <a16:creationId xmlns:a16="http://schemas.microsoft.com/office/drawing/2014/main" id="{484A07B9-1D1D-40A0-9F9F-F33D467E5ED3}"/>
            </a:ext>
          </a:extLst>
        </xdr:cNvPr>
        <xdr:cNvSpPr txBox="1"/>
      </xdr:nvSpPr>
      <xdr:spPr>
        <a:xfrm>
          <a:off x="2320925" y="23685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oneCellAnchor>
    <xdr:from>
      <xdr:col>1</xdr:col>
      <xdr:colOff>695325</xdr:colOff>
      <xdr:row>2</xdr:row>
      <xdr:rowOff>590550</xdr:rowOff>
    </xdr:from>
    <xdr:ext cx="38100" cy="171450"/>
    <xdr:sp macro="" textlink="">
      <xdr:nvSpPr>
        <xdr:cNvPr id="3" name="Shape 3">
          <a:extLst>
            <a:ext uri="{FF2B5EF4-FFF2-40B4-BE49-F238E27FC236}">
              <a16:creationId xmlns:a16="http://schemas.microsoft.com/office/drawing/2014/main" id="{96B8D966-466A-4A52-AD4F-9DEF7930B9C9}"/>
            </a:ext>
          </a:extLst>
        </xdr:cNvPr>
        <xdr:cNvSpPr txBox="1"/>
      </xdr:nvSpPr>
      <xdr:spPr>
        <a:xfrm>
          <a:off x="2320925" y="2368550"/>
          <a:ext cx="38100" cy="171450"/>
        </a:xfrm>
        <a:prstGeom prst="rect">
          <a:avLst/>
        </a:prstGeom>
        <a:noFill/>
        <a:ln>
          <a:noFill/>
        </a:ln>
      </xdr:spPr>
      <xdr:txBody>
        <a:bodyPr spcFirstLastPara="1" wrap="square" lIns="0" tIns="0" rIns="0" bIns="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6</xdr:col>
      <xdr:colOff>9525</xdr:colOff>
      <xdr:row>28</xdr:row>
      <xdr:rowOff>60325</xdr:rowOff>
    </xdr:from>
    <xdr:to>
      <xdr:col>10</xdr:col>
      <xdr:colOff>22225</xdr:colOff>
      <xdr:row>37</xdr:row>
      <xdr:rowOff>346075</xdr:rowOff>
    </xdr:to>
    <xdr:graphicFrame macro="">
      <xdr:nvGraphicFramePr>
        <xdr:cNvPr id="2" name="Diagramm 1">
          <a:extLst>
            <a:ext uri="{FF2B5EF4-FFF2-40B4-BE49-F238E27FC236}">
              <a16:creationId xmlns:a16="http://schemas.microsoft.com/office/drawing/2014/main" id="{443B7A85-7E9A-4F44-9F3D-BC02252388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Kaija Kasekamp" id="{43581E44-2EDF-4755-AD81-47415B79F03C}" userId="S::kaija.kasekamp@sm.ee::51e54c2e-ed9f-4ed8-be0a-3847c0ff74d7" providerId="AD"/>
  <person displayName="kaijakasekamp" id="{4F0B99F6-7D15-42ED-8C5D-2EBF2A1E722D}" userId="S::kaijakasekamp_gmail.com#ext#@worldhealthorg.onmicrosoft.com::3a17731c-56a9-4a9d-85af-3aa3251cf31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4" dT="2020-07-25T19:32:28.91" personId="{43581E44-2EDF-4755-AD81-47415B79F03C}" id="{E4B14F34-0C08-40FB-9DB3-F8F4C8488E9A}">
    <text>can be taken into account that the coverage of total population will not be imediate</text>
  </threadedComment>
</ThreadedComments>
</file>

<file path=xl/threadedComments/threadedComment10.xml><?xml version="1.0" encoding="utf-8"?>
<ThreadedComments xmlns="http://schemas.microsoft.com/office/spreadsheetml/2018/threadedcomments" xmlns:x="http://schemas.openxmlformats.org/spreadsheetml/2006/main">
  <threadedComment ref="D3" dT="2020-07-10T11:46:20.61" personId="{43581E44-2EDF-4755-AD81-47415B79F03C}" id="{7A041E19-C1BB-47CB-B524-BA2557627BF2}">
    <text>Amortization periods are adjusted too maximum to reduce cost, actual amortization should be lower</text>
  </threadedComment>
  <threadedComment ref="C38" dT="2020-07-08T11:11:04.67" personId="{43581E44-2EDF-4755-AD81-47415B79F03C}" id="{107903FE-214D-4E93-A433-4E6DDCF0819F}">
    <text>may need to be reviewed</text>
  </threadedComment>
</ThreadedComments>
</file>

<file path=xl/threadedComments/threadedComment11.xml><?xml version="1.0" encoding="utf-8"?>
<ThreadedComments xmlns="http://schemas.microsoft.com/office/spreadsheetml/2018/threadedcomments" xmlns:x="http://schemas.openxmlformats.org/spreadsheetml/2006/main">
  <threadedComment ref="B3" dT="2020-07-06T07:37:08.82" personId="{43581E44-2EDF-4755-AD81-47415B79F03C}" id="{EADDB75F-E17F-435E-9A82-429B511C465A}">
    <text>clarify with the ministry</text>
  </threadedComment>
</ThreadedComments>
</file>

<file path=xl/threadedComments/threadedComment12.xml><?xml version="1.0" encoding="utf-8"?>
<ThreadedComments xmlns="http://schemas.microsoft.com/office/spreadsheetml/2018/threadedcomments" xmlns:x="http://schemas.openxmlformats.org/spreadsheetml/2006/main">
  <threadedComment ref="H9" dT="2020-07-25T20:34:48.52" personId="{43581E44-2EDF-4755-AD81-47415B79F03C}" id="{ACAD7C86-E9D0-411E-AADF-80A828178D88}">
    <text>Cardiologist and endocrinologist for hypertension and diabetes patients</text>
  </threadedComment>
</ThreadedComments>
</file>

<file path=xl/threadedComments/threadedComment2.xml><?xml version="1.0" encoding="utf-8"?>
<ThreadedComments xmlns="http://schemas.microsoft.com/office/spreadsheetml/2018/threadedcomments" xmlns:x="http://schemas.openxmlformats.org/spreadsheetml/2006/main">
  <threadedComment ref="E8" dT="2020-07-01T07:24:50.53" personId="{43581E44-2EDF-4755-AD81-47415B79F03C}" id="{D61524F0-A3D3-4E93-8111-FC315F476E02}">
    <text>MoSA alary to rural doctors
without taxation</text>
  </threadedComment>
  <threadedComment ref="E8" dT="2020-07-04T21:39:58.15" personId="{43581E44-2EDF-4755-AD81-47415B79F03C}" id="{4307049B-B31C-46FA-AE8A-EAE4836F356E}" parentId="{D61524F0-A3D3-4E93-8111-FC315F476E02}">
    <text>was increased in july 2020</text>
  </threadedComment>
</ThreadedComments>
</file>

<file path=xl/threadedComments/threadedComment3.xml><?xml version="1.0" encoding="utf-8"?>
<ThreadedComments xmlns="http://schemas.microsoft.com/office/spreadsheetml/2018/threadedcomments" xmlns:x="http://schemas.openxmlformats.org/spreadsheetml/2006/main">
  <threadedComment ref="R2" dT="2020-06-24T19:59:36.35" personId="{43581E44-2EDF-4755-AD81-47415B79F03C}" id="{069464C0-C595-45E0-9A4E-4B53749D8D70}">
    <text>Based on statistical Yearbook 2018 prevalence of Type 1 diabetes 379.5 and Type2 diabetes 1681.6/per 100000. Total population of Georgia 3720200, So eligible number of diabetic patients will be (3720200/100000)*(379.5+1681.6)=76672</text>
  </threadedComment>
  <threadedComment ref="S2" dT="2020-07-13T11:38:07.34" personId="{4F0B99F6-7D15-42ED-8C5D-2EBF2A1E722D}" id="{E9C6BF36-B172-4760-A8D9-28609675409F}">
    <text>taken into account 20% of target group, because 80% has olso hypertension and test costs are included in this target group.</text>
  </threadedComment>
  <threadedComment ref="R10" dT="2020-07-04T21:26:50.24" personId="{43581E44-2EDF-4755-AD81-47415B79F03C}" id="{4A033966-18D6-4069-8A7A-8C6E5C903BDC}">
    <text>only for uncontrolled, 30%</text>
  </threadedComment>
  <threadedComment ref="R11" dT="2020-07-04T21:27:01.51" personId="{43581E44-2EDF-4755-AD81-47415B79F03C}" id="{558F8B16-3F59-4AF8-89A7-DB27AFE81622}">
    <text>only for uncontrolled, 30%</text>
  </threadedComment>
  <threadedComment ref="P14" dT="2020-07-25T12:24:00.83" personId="{43581E44-2EDF-4755-AD81-47415B79F03C}" id="{D8CBBCC7-2295-4EB1-A6BD-DEFFC78DBA5A}">
    <text>these services are included in the nurses visit</text>
  </threadedComment>
</ThreadedComments>
</file>

<file path=xl/threadedComments/threadedComment4.xml><?xml version="1.0" encoding="utf-8"?>
<ThreadedComments xmlns="http://schemas.microsoft.com/office/spreadsheetml/2018/threadedcomments" xmlns:x="http://schemas.openxmlformats.org/spreadsheetml/2006/main">
  <threadedComment ref="R2" dT="2020-06-24T19:59:36.35" personId="{43581E44-2EDF-4755-AD81-47415B79F03C}" id="{96BC1916-11A0-486C-B831-3C5654672FB4}">
    <text>Hypertension prevalence is 37.7%. Eligible population over 15 - 2964968. calculation: 2964968*37.7%=1117792, target coverage 70%</text>
  </threadedComment>
  <threadedComment ref="P10" dT="2020-07-06T20:39:54.78" personId="{43581E44-2EDF-4755-AD81-47415B79F03C}" id="{321F89F8-13D1-4957-B27A-073A74D8EE7A}">
    <text>all counceling done during one visit to the nurse</text>
  </threadedComment>
  <threadedComment ref="P11" dT="2020-07-25T12:24:00.83" personId="{43581E44-2EDF-4755-AD81-47415B79F03C}" id="{ED4CE6EB-5693-4009-90B3-A6096A02034C}">
    <text>these services are included in the nurses visit</text>
  </threadedComment>
</ThreadedComments>
</file>

<file path=xl/threadedComments/threadedComment5.xml><?xml version="1.0" encoding="utf-8"?>
<ThreadedComments xmlns="http://schemas.microsoft.com/office/spreadsheetml/2018/threadedcomments" xmlns:x="http://schemas.openxmlformats.org/spreadsheetml/2006/main">
  <threadedComment ref="A6" dT="2020-07-24T07:12:03.28" personId="{4F0B99F6-7D15-42ED-8C5D-2EBF2A1E722D}" id="{F671FCDD-DCA9-44B0-9CC2-D090D2AA1D1F}">
    <text>on the 1st year, all the rest of visits can be done remotely and are not included in the payment</text>
  </threadedComment>
  <threadedComment ref="A16" dT="2020-07-25T18:22:14.16" personId="{43581E44-2EDF-4755-AD81-47415B79F03C}" id="{A1659216-F397-4901-9D1E-1096BBB6940A}">
    <text>Assuming that all necessary services are providede to the patient during one visit exept vaccinations, which require a sepratae nurse visit if consultation by doctor is done remotely</text>
  </threadedComment>
</ThreadedComments>
</file>

<file path=xl/threadedComments/threadedComment6.xml><?xml version="1.0" encoding="utf-8"?>
<ThreadedComments xmlns="http://schemas.microsoft.com/office/spreadsheetml/2018/threadedcomments" xmlns:x="http://schemas.openxmlformats.org/spreadsheetml/2006/main">
  <threadedComment ref="R2" dT="2020-06-24T19:59:36.35" personId="{43581E44-2EDF-4755-AD81-47415B79F03C}" id="{CAC64782-5744-4B2D-9A35-704F38AAA81D}">
    <text>Based on statistical yearbook (ncdc.ge) prevalence of asthma is 316.5/100000. calculation: eligible population (n)=(3720200/100000)*316.5=11774</text>
  </threadedComment>
  <threadedComment ref="P5" dT="2020-07-06T21:18:00.50" personId="{43581E44-2EDF-4755-AD81-47415B79F03C}" id="{FD9209B2-C38E-477F-ADB0-B463DBD85B8D}">
    <text>doctor or nurse can provide the service, average is taken into account</text>
  </threadedComment>
  <threadedComment ref="P7" dT="2020-07-25T12:24:00.83" personId="{43581E44-2EDF-4755-AD81-47415B79F03C}" id="{3D5DE1FB-3C6C-45F8-B85E-AE6D97BDB66D}">
    <text>these services are included in the nurses visit</text>
  </threadedComment>
  <threadedComment ref="P12" dT="2020-07-04T21:36:01.38" personId="{43581E44-2EDF-4755-AD81-47415B79F03C}" id="{AE0B514C-16D0-411B-8607-B0F9C8CDB466}">
    <text>NCDC gives, 45 Lari</text>
  </threadedComment>
</ThreadedComments>
</file>

<file path=xl/threadedComments/threadedComment7.xml><?xml version="1.0" encoding="utf-8"?>
<ThreadedComments xmlns="http://schemas.microsoft.com/office/spreadsheetml/2018/threadedcomments" xmlns:x="http://schemas.openxmlformats.org/spreadsheetml/2006/main">
  <threadedComment ref="I3" dT="2020-07-25T19:15:51.88" personId="{43581E44-2EDF-4755-AD81-47415B79F03C}" id="{0370D439-CC8A-49F1-993B-7FC7C488C9F4}">
    <text>about 20%-30% lower than actual need</text>
  </threadedComment>
  <threadedComment ref="A22" dT="2020-07-10T07:13:01.61" personId="{43581E44-2EDF-4755-AD81-47415B79F03C}" id="{C5F82BBB-CD37-4B94-96D6-3AFC9B0845F0}">
    <text>vertical proram includes</text>
  </threadedComment>
</ThreadedComments>
</file>

<file path=xl/threadedComments/threadedComment8.xml><?xml version="1.0" encoding="utf-8"?>
<ThreadedComments xmlns="http://schemas.microsoft.com/office/spreadsheetml/2018/threadedcomments" xmlns:x="http://schemas.openxmlformats.org/spreadsheetml/2006/main">
  <threadedComment ref="B15" dT="2020-07-23T05:58:00.36" personId="{43581E44-2EDF-4755-AD81-47415B79F03C}" id="{074FAA24-5C8E-4012-A01D-7B497AA7CABF}">
    <text>In rural areas it is up to 500 GEL</text>
  </threadedComment>
  <threadedComment ref="C37" dT="2020-07-08T11:11:04.67" personId="{43581E44-2EDF-4755-AD81-47415B79F03C}" id="{2A1A4A46-204D-42E3-8F40-1157E08D6B79}">
    <text>may need to be rechecked</text>
  </threadedComment>
</ThreadedComments>
</file>

<file path=xl/threadedComments/threadedComment9.xml><?xml version="1.0" encoding="utf-8"?>
<ThreadedComments xmlns="http://schemas.microsoft.com/office/spreadsheetml/2018/threadedcomments" xmlns:x="http://schemas.openxmlformats.org/spreadsheetml/2006/main">
  <threadedComment ref="A3" dT="2020-06-25T07:26:44.57" personId="{43581E44-2EDF-4755-AD81-47415B79F03C}" id="{983015C1-0BBF-4912-976F-D6A161880FAB}">
    <text>which should be available at the point of care?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microsoft.com/office/2017/10/relationships/threadedComment" Target="../threadedComments/threadedComment8.xml"/></Relationships>
</file>

<file path=xl/worksheets/_rels/sheet11.xml.rels><?xml version="1.0" encoding="UTF-8" standalone="yes"?>
<Relationships xmlns="http://schemas.openxmlformats.org/package/2006/relationships"><Relationship Id="rId3" Type="http://schemas.microsoft.com/office/2017/10/relationships/threadedComment" Target="../threadedComments/threadedComment9.xml"/><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microsoft.com/office/2017/10/relationships/threadedComment" Target="../threadedComments/threadedComment10.xml"/><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microsoft.com/office/2017/10/relationships/threadedComment" Target="../threadedComments/threadedComment1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3.xml"/><Relationship Id="rId1" Type="http://schemas.openxmlformats.org/officeDocument/2006/relationships/printerSettings" Target="../printerSettings/printerSettings10.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microsoft.com/office/2017/10/relationships/threadedComment" Target="../threadedComments/threadedComment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21"/>
  <sheetViews>
    <sheetView topLeftCell="A12" zoomScaleNormal="100" workbookViewId="0">
      <selection activeCell="A22" sqref="A22"/>
    </sheetView>
  </sheetViews>
  <sheetFormatPr defaultColWidth="12.5703125" defaultRowHeight="12.75"/>
  <cols>
    <col min="1" max="1" width="17.7109375" style="122" customWidth="1"/>
    <col min="2" max="2" width="18.5703125" style="111" customWidth="1"/>
    <col min="3" max="3" width="13.85546875" style="123" customWidth="1"/>
    <col min="4" max="4" width="14.7109375" style="111" customWidth="1"/>
    <col min="5" max="5" width="15.5703125" style="111" customWidth="1"/>
    <col min="6" max="6" width="14.140625" style="111" customWidth="1"/>
    <col min="7" max="7" width="16.28515625" style="111" customWidth="1"/>
    <col min="8" max="8" width="14.85546875" style="111" customWidth="1"/>
    <col min="9" max="9" width="16.5703125" style="111" customWidth="1"/>
    <col min="10" max="10" width="15.28515625" style="111" customWidth="1"/>
    <col min="11" max="12" width="12.5703125" style="111"/>
    <col min="13" max="13" width="13.85546875" style="111" bestFit="1" customWidth="1"/>
    <col min="14" max="16384" width="12.5703125" style="111"/>
  </cols>
  <sheetData>
    <row r="1" spans="1:13">
      <c r="A1" s="510" t="s">
        <v>0</v>
      </c>
      <c r="B1" s="511"/>
      <c r="C1" s="511"/>
      <c r="D1" s="511"/>
      <c r="E1" s="511"/>
      <c r="F1" s="511"/>
      <c r="G1" s="511"/>
      <c r="H1" s="511"/>
    </row>
    <row r="2" spans="1:13" ht="25.5">
      <c r="A2" s="508" t="s">
        <v>1</v>
      </c>
      <c r="B2" s="508" t="s">
        <v>2</v>
      </c>
      <c r="C2" s="509"/>
      <c r="D2" s="503" t="s">
        <v>3</v>
      </c>
      <c r="E2" s="503" t="s">
        <v>4</v>
      </c>
      <c r="F2" s="110" t="s">
        <v>5</v>
      </c>
      <c r="G2" s="110" t="s">
        <v>6</v>
      </c>
      <c r="H2" s="110" t="s">
        <v>7</v>
      </c>
    </row>
    <row r="3" spans="1:13">
      <c r="A3" s="508"/>
      <c r="B3" s="503" t="s">
        <v>8</v>
      </c>
      <c r="C3" s="503" t="s">
        <v>9</v>
      </c>
      <c r="D3" s="503">
        <v>2500</v>
      </c>
      <c r="E3" s="503"/>
      <c r="F3" s="112"/>
      <c r="G3" s="112"/>
      <c r="H3" s="112"/>
    </row>
    <row r="4" spans="1:13">
      <c r="A4" s="113" t="s">
        <v>10</v>
      </c>
      <c r="B4" s="341">
        <f>'Population Distribution'!D22*1000</f>
        <v>3720200</v>
      </c>
      <c r="C4" s="114">
        <v>1</v>
      </c>
      <c r="D4" s="115" t="s">
        <v>11</v>
      </c>
      <c r="E4" s="148">
        <f>'Minimum Costs'!G33</f>
        <v>43044.845919840751</v>
      </c>
      <c r="F4" s="147">
        <f>E4/D3/12</f>
        <v>1.4348281973280252</v>
      </c>
      <c r="G4" s="148">
        <f>F4*B4*12*C4</f>
        <v>64054174.316396639</v>
      </c>
      <c r="H4" s="156">
        <f>G4/G6</f>
        <v>0.71711714141381255</v>
      </c>
    </row>
    <row r="5" spans="1:13">
      <c r="A5" s="113" t="s">
        <v>12</v>
      </c>
      <c r="B5" s="341">
        <f>B4</f>
        <v>3720200</v>
      </c>
      <c r="C5" s="114">
        <f>C4</f>
        <v>1</v>
      </c>
      <c r="D5" s="115"/>
      <c r="E5" s="149">
        <f>G5/(B5/D3)</f>
        <v>16980.000000000004</v>
      </c>
      <c r="F5" s="147">
        <f>Tests!N30</f>
        <v>0.56600000000000017</v>
      </c>
      <c r="G5" s="149">
        <f>B5*C5*F5*12</f>
        <v>25267598.400000006</v>
      </c>
      <c r="H5" s="156">
        <f>G5/G6</f>
        <v>0.28288285858618745</v>
      </c>
      <c r="I5" s="209"/>
    </row>
    <row r="6" spans="1:13">
      <c r="A6" s="118" t="s">
        <v>13</v>
      </c>
      <c r="B6" s="119"/>
      <c r="C6" s="119"/>
      <c r="D6" s="120"/>
      <c r="E6" s="150">
        <f>SUM(E4:E5)</f>
        <v>60024.845919840751</v>
      </c>
      <c r="F6" s="147">
        <f>SUM(F4:F5)</f>
        <v>2.0008281973280253</v>
      </c>
      <c r="G6" s="150">
        <f>SUM(G4:G5)</f>
        <v>89321772.716396645</v>
      </c>
      <c r="H6" s="116"/>
    </row>
    <row r="7" spans="1:13">
      <c r="A7" s="118"/>
      <c r="B7" s="119"/>
      <c r="C7" s="119"/>
      <c r="D7" s="120"/>
      <c r="E7" s="150"/>
      <c r="F7" s="147"/>
      <c r="G7" s="150"/>
      <c r="H7" s="121"/>
      <c r="I7" s="121"/>
    </row>
    <row r="8" spans="1:13" ht="39.6" customHeight="1">
      <c r="A8" s="503"/>
      <c r="B8" s="124" t="s">
        <v>14</v>
      </c>
      <c r="C8" s="503" t="s">
        <v>9</v>
      </c>
      <c r="D8" s="503" t="s">
        <v>15</v>
      </c>
      <c r="E8" s="503" t="s">
        <v>16</v>
      </c>
      <c r="F8" s="503" t="s">
        <v>17</v>
      </c>
      <c r="G8" s="503" t="s">
        <v>18</v>
      </c>
      <c r="H8" s="503" t="s">
        <v>19</v>
      </c>
      <c r="I8" s="110" t="s">
        <v>20</v>
      </c>
      <c r="J8" s="195"/>
    </row>
    <row r="9" spans="1:13">
      <c r="A9" s="125" t="s">
        <v>21</v>
      </c>
      <c r="B9" s="60">
        <v>11774</v>
      </c>
      <c r="C9" s="127">
        <v>0.5</v>
      </c>
      <c r="D9" s="336">
        <f>B9/$B$4</f>
        <v>3.1648836084081501E-3</v>
      </c>
      <c r="E9" s="151"/>
      <c r="F9" s="152">
        <f>(B9/$B$4)*$D$3</f>
        <v>7.9122090210203755</v>
      </c>
      <c r="G9" s="148"/>
      <c r="H9" s="148"/>
      <c r="I9" s="128"/>
    </row>
    <row r="10" spans="1:13">
      <c r="A10" s="125" t="s">
        <v>22</v>
      </c>
      <c r="B10" s="126">
        <v>76672</v>
      </c>
      <c r="C10" s="127">
        <v>0.7</v>
      </c>
      <c r="D10" s="336">
        <f t="shared" ref="D10:D11" si="0">B10/$B$4</f>
        <v>2.0609644642761143E-2</v>
      </c>
      <c r="E10" s="151"/>
      <c r="F10" s="152">
        <f t="shared" ref="F10:F11" si="1">(B10/$B$4)*$D$3</f>
        <v>51.524111606902856</v>
      </c>
      <c r="G10" s="148"/>
      <c r="H10" s="149"/>
      <c r="I10" s="128"/>
      <c r="J10" s="157"/>
      <c r="L10" s="117"/>
    </row>
    <row r="11" spans="1:13">
      <c r="A11" s="125" t="s">
        <v>23</v>
      </c>
      <c r="B11" s="341">
        <v>1117792</v>
      </c>
      <c r="C11" s="127">
        <v>0.7</v>
      </c>
      <c r="D11" s="336">
        <f t="shared" si="0"/>
        <v>0.30046556636739963</v>
      </c>
      <c r="E11" s="151"/>
      <c r="F11" s="152">
        <f t="shared" si="1"/>
        <v>751.16391591849901</v>
      </c>
      <c r="G11" s="148"/>
      <c r="H11" s="148"/>
      <c r="I11" s="128"/>
      <c r="L11" s="117"/>
    </row>
    <row r="12" spans="1:13">
      <c r="A12" s="129" t="s">
        <v>24</v>
      </c>
      <c r="B12" s="130">
        <f>SUM(B9:B11)</f>
        <v>1206238</v>
      </c>
      <c r="C12" s="130"/>
      <c r="D12" s="478">
        <f>SUM(D9:D11)</f>
        <v>0.3242400946185689</v>
      </c>
      <c r="E12" s="147">
        <f>'NCD Summary'!E6</f>
        <v>6.0918711342555847</v>
      </c>
      <c r="F12" s="163">
        <f>SUM(F9:F11)</f>
        <v>810.60023654642225</v>
      </c>
      <c r="G12" s="150">
        <f>F12*E12*12*AVERAGE(C9:C11)</f>
        <v>37529.348586528024</v>
      </c>
      <c r="H12" s="150">
        <f>B12*E12*AVERAGE(C9:C11)*12</f>
        <v>55846673.044640623</v>
      </c>
      <c r="I12" s="155">
        <f>H12/G6</f>
        <v>0.62523023610332962</v>
      </c>
      <c r="L12" s="117"/>
    </row>
    <row r="13" spans="1:13">
      <c r="A13" s="129"/>
      <c r="B13" s="130"/>
      <c r="C13" s="130"/>
      <c r="D13" s="193"/>
      <c r="E13" s="194"/>
      <c r="F13" s="163"/>
      <c r="G13" s="150"/>
      <c r="H13" s="150"/>
      <c r="I13" s="150"/>
      <c r="J13" s="155"/>
      <c r="M13" s="117"/>
    </row>
    <row r="14" spans="1:13" ht="39" customHeight="1">
      <c r="A14" s="503"/>
      <c r="B14" s="124" t="s">
        <v>14</v>
      </c>
      <c r="C14" s="503" t="s">
        <v>9</v>
      </c>
      <c r="D14" s="503" t="s">
        <v>15</v>
      </c>
      <c r="E14" s="503" t="s">
        <v>25</v>
      </c>
      <c r="F14" s="503" t="s">
        <v>26</v>
      </c>
      <c r="G14" s="503" t="s">
        <v>17</v>
      </c>
      <c r="H14" s="503" t="s">
        <v>27</v>
      </c>
      <c r="I14" s="503" t="s">
        <v>28</v>
      </c>
      <c r="J14" s="110" t="s">
        <v>20</v>
      </c>
    </row>
    <row r="15" spans="1:13">
      <c r="A15" s="118" t="s">
        <v>29</v>
      </c>
      <c r="B15" s="131">
        <f>SUM('Population Distribution'!D3:D7)*1000</f>
        <v>273200</v>
      </c>
      <c r="C15" s="132">
        <v>0.95</v>
      </c>
      <c r="D15" s="133">
        <f>B15/$B$5</f>
        <v>7.3436911993978823E-2</v>
      </c>
      <c r="E15" s="150">
        <f>'Child Health'!N12</f>
        <v>7796891.1674999977</v>
      </c>
      <c r="F15" s="153">
        <f>E15/(B15)/12</f>
        <v>2.3782610930636889</v>
      </c>
      <c r="G15" s="154">
        <f>B15/D3</f>
        <v>109.28</v>
      </c>
      <c r="H15" s="150">
        <f>F15*G15*12</f>
        <v>3118.7564669999992</v>
      </c>
      <c r="I15" s="150">
        <f>E15*C15</f>
        <v>7407046.6091249976</v>
      </c>
      <c r="J15" s="155">
        <f>I15/G6</f>
        <v>8.2925432219565637E-2</v>
      </c>
    </row>
    <row r="16" spans="1:13">
      <c r="A16" s="333"/>
      <c r="B16" s="334"/>
      <c r="C16" s="114"/>
      <c r="D16" s="127"/>
      <c r="E16" s="335"/>
      <c r="F16" s="151"/>
      <c r="G16" s="337"/>
      <c r="H16" s="338"/>
      <c r="I16" s="339"/>
      <c r="J16" s="340"/>
    </row>
    <row r="17" spans="1:7" ht="38.25">
      <c r="A17" s="503"/>
      <c r="B17" s="503" t="s">
        <v>30</v>
      </c>
      <c r="C17" s="503" t="s">
        <v>31</v>
      </c>
      <c r="D17" s="503" t="s">
        <v>32</v>
      </c>
      <c r="E17" s="503" t="s">
        <v>33</v>
      </c>
      <c r="F17" s="503" t="s">
        <v>34</v>
      </c>
      <c r="G17" s="110" t="s">
        <v>35</v>
      </c>
    </row>
    <row r="18" spans="1:7" ht="25.5">
      <c r="A18" s="118" t="s">
        <v>36</v>
      </c>
      <c r="B18" s="134">
        <f>Premises!B13</f>
        <v>52</v>
      </c>
      <c r="C18" s="135">
        <v>20</v>
      </c>
      <c r="D18" s="150">
        <f>B18*C18</f>
        <v>1040</v>
      </c>
      <c r="E18" s="136">
        <f>(B5*C5)/D3</f>
        <v>1488.08</v>
      </c>
      <c r="F18" s="150">
        <f>D18*E18*12</f>
        <v>18571238.399999999</v>
      </c>
      <c r="G18" s="155">
        <f>F18/G6</f>
        <v>0.20791390313048397</v>
      </c>
    </row>
    <row r="19" spans="1:7">
      <c r="A19" s="137"/>
      <c r="B19" s="138"/>
      <c r="C19" s="139"/>
      <c r="D19" s="140"/>
      <c r="E19" s="141"/>
      <c r="F19" s="142"/>
    </row>
    <row r="20" spans="1:7" ht="38.25">
      <c r="A20" s="503"/>
      <c r="B20" s="503" t="s">
        <v>37</v>
      </c>
      <c r="C20" s="503" t="s">
        <v>38</v>
      </c>
      <c r="D20" s="503" t="s">
        <v>39</v>
      </c>
    </row>
    <row r="21" spans="1:7" ht="25.5">
      <c r="A21" s="118" t="s">
        <v>40</v>
      </c>
      <c r="B21" s="132">
        <v>0.25</v>
      </c>
      <c r="C21" s="132">
        <v>0.05</v>
      </c>
      <c r="D21" s="150">
        <f>E6*(1-B21)*E18*C21*-1</f>
        <v>-3349566.4768648739</v>
      </c>
    </row>
  </sheetData>
  <mergeCells count="3">
    <mergeCell ref="A2:A3"/>
    <mergeCell ref="B2:C2"/>
    <mergeCell ref="A1:H1"/>
  </mergeCell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E73"/>
  <sheetViews>
    <sheetView topLeftCell="A43" workbookViewId="0">
      <selection activeCell="B89" sqref="B89"/>
    </sheetView>
  </sheetViews>
  <sheetFormatPr defaultColWidth="9.140625" defaultRowHeight="12.75"/>
  <cols>
    <col min="1" max="1" width="43.5703125" style="18" customWidth="1"/>
    <col min="2" max="2" width="12.5703125" style="18" customWidth="1"/>
    <col min="3" max="3" width="11.140625" style="18" customWidth="1"/>
    <col min="4" max="4" width="7.5703125" style="18" customWidth="1"/>
    <col min="5" max="16384" width="9.140625" style="18"/>
  </cols>
  <sheetData>
    <row r="1" spans="1:4">
      <c r="A1" s="17" t="s">
        <v>327</v>
      </c>
      <c r="B1" s="17"/>
      <c r="C1" s="17"/>
      <c r="D1" s="17"/>
    </row>
    <row r="2" spans="1:4">
      <c r="A2" s="549" t="s">
        <v>328</v>
      </c>
      <c r="B2" s="550"/>
      <c r="C2" s="550"/>
      <c r="D2" s="550"/>
    </row>
    <row r="3" spans="1:4">
      <c r="A3" s="17" t="s">
        <v>329</v>
      </c>
      <c r="B3" s="17" t="s">
        <v>330</v>
      </c>
    </row>
    <row r="4" spans="1:4">
      <c r="A4" s="245" t="s">
        <v>331</v>
      </c>
      <c r="B4" s="246" t="s">
        <v>332</v>
      </c>
      <c r="C4" s="247"/>
    </row>
    <row r="5" spans="1:4">
      <c r="A5" s="245" t="s">
        <v>333</v>
      </c>
      <c r="B5" s="246">
        <v>16</v>
      </c>
    </row>
    <row r="6" spans="1:4">
      <c r="A6" s="245" t="s">
        <v>334</v>
      </c>
      <c r="B6" s="246">
        <v>9</v>
      </c>
    </row>
    <row r="7" spans="1:4">
      <c r="A7" s="483" t="s">
        <v>335</v>
      </c>
      <c r="B7" s="21">
        <v>3</v>
      </c>
    </row>
    <row r="8" spans="1:4">
      <c r="A8" s="483" t="s">
        <v>336</v>
      </c>
      <c r="B8" s="21" t="s">
        <v>337</v>
      </c>
    </row>
    <row r="9" spans="1:4">
      <c r="A9" s="18" t="s">
        <v>338</v>
      </c>
    </row>
    <row r="10" spans="1:4">
      <c r="A10" s="18" t="s">
        <v>339</v>
      </c>
    </row>
    <row r="12" spans="1:4">
      <c r="A12" s="17" t="s">
        <v>340</v>
      </c>
      <c r="B12" s="17" t="s">
        <v>90</v>
      </c>
    </row>
    <row r="13" spans="1:4">
      <c r="A13" s="248" t="s">
        <v>30</v>
      </c>
      <c r="B13" s="249">
        <f>SUM(B5:B7,4,(AVERAGE(24,16)))</f>
        <v>52</v>
      </c>
    </row>
    <row r="14" spans="1:4">
      <c r="A14" s="248" t="s">
        <v>341</v>
      </c>
      <c r="B14" s="249">
        <v>20</v>
      </c>
    </row>
    <row r="15" spans="1:4">
      <c r="A15" s="248" t="s">
        <v>342</v>
      </c>
      <c r="B15" s="249">
        <f>B13*B14</f>
        <v>1040</v>
      </c>
    </row>
    <row r="16" spans="1:4">
      <c r="A16" s="248" t="s">
        <v>343</v>
      </c>
      <c r="B16" s="250">
        <f>18.5/12</f>
        <v>1.5416666666666667</v>
      </c>
    </row>
    <row r="17" spans="1:5">
      <c r="A17" s="248" t="s">
        <v>344</v>
      </c>
      <c r="B17" s="250">
        <v>1.4459742218619023</v>
      </c>
    </row>
    <row r="18" spans="1:5">
      <c r="A18" s="248" t="s">
        <v>345</v>
      </c>
      <c r="B18" s="251">
        <f>SUM(B14,B16,B189)*B13</f>
        <v>1120.1666666666667</v>
      </c>
    </row>
    <row r="20" spans="1:5">
      <c r="A20" s="510" t="s">
        <v>86</v>
      </c>
      <c r="B20" s="511"/>
      <c r="C20" s="511"/>
      <c r="D20" s="511"/>
      <c r="E20" s="511"/>
    </row>
    <row r="21" spans="1:5" ht="25.5">
      <c r="A21" s="248" t="s">
        <v>346</v>
      </c>
      <c r="B21" s="24" t="s">
        <v>347</v>
      </c>
      <c r="C21" s="24" t="s">
        <v>348</v>
      </c>
      <c r="D21" s="24" t="s">
        <v>349</v>
      </c>
      <c r="E21" s="24" t="s">
        <v>13</v>
      </c>
    </row>
    <row r="22" spans="1:5">
      <c r="A22" s="252" t="s">
        <v>350</v>
      </c>
      <c r="B22" s="253">
        <v>1690</v>
      </c>
      <c r="C22" s="254">
        <v>2</v>
      </c>
      <c r="D22" s="254">
        <v>7</v>
      </c>
      <c r="E22" s="255">
        <f>B22/D22*C22</f>
        <v>482.85714285714283</v>
      </c>
    </row>
    <row r="23" spans="1:5">
      <c r="A23" s="252" t="s">
        <v>351</v>
      </c>
      <c r="B23" s="253">
        <v>662</v>
      </c>
      <c r="C23" s="254">
        <v>1</v>
      </c>
      <c r="D23" s="254">
        <v>7</v>
      </c>
      <c r="E23" s="255">
        <f>B23/D23*C23</f>
        <v>94.571428571428569</v>
      </c>
    </row>
    <row r="24" spans="1:5">
      <c r="A24" s="252" t="s">
        <v>352</v>
      </c>
      <c r="B24" s="253"/>
      <c r="C24" s="254"/>
      <c r="D24" s="254"/>
      <c r="E24" s="255">
        <v>325.45192307692309</v>
      </c>
    </row>
    <row r="25" spans="1:5">
      <c r="A25" s="252" t="s">
        <v>353</v>
      </c>
      <c r="B25" s="256">
        <v>16402.25</v>
      </c>
      <c r="C25" s="254">
        <v>1</v>
      </c>
      <c r="D25" s="254">
        <v>20</v>
      </c>
      <c r="E25" s="255">
        <f>B25/D25*C25</f>
        <v>820.11249999999995</v>
      </c>
    </row>
    <row r="26" spans="1:5">
      <c r="A26" s="252" t="s">
        <v>354</v>
      </c>
      <c r="B26" s="109">
        <v>2.2000000000000002</v>
      </c>
      <c r="C26" s="254">
        <f>20*12</f>
        <v>240</v>
      </c>
      <c r="D26" s="254"/>
      <c r="E26" s="255">
        <f>B26*C26</f>
        <v>528</v>
      </c>
    </row>
    <row r="27" spans="1:5">
      <c r="A27" s="252" t="s">
        <v>355</v>
      </c>
      <c r="B27" s="256">
        <v>688</v>
      </c>
      <c r="C27" s="254">
        <v>1</v>
      </c>
      <c r="D27" s="254">
        <v>7</v>
      </c>
      <c r="E27" s="255">
        <f>B27/D27*C27</f>
        <v>98.285714285714292</v>
      </c>
    </row>
    <row r="28" spans="1:5">
      <c r="A28" s="252" t="s">
        <v>356</v>
      </c>
      <c r="B28" s="256">
        <v>250</v>
      </c>
      <c r="C28" s="254">
        <v>2</v>
      </c>
      <c r="D28" s="254">
        <v>7</v>
      </c>
      <c r="E28" s="255">
        <f t="shared" ref="E28:E30" si="0">B28/D28*C28</f>
        <v>71.428571428571431</v>
      </c>
    </row>
    <row r="29" spans="1:5">
      <c r="A29" s="252" t="s">
        <v>357</v>
      </c>
      <c r="B29" s="256">
        <v>100</v>
      </c>
      <c r="C29" s="254">
        <v>10</v>
      </c>
      <c r="D29" s="254">
        <v>4</v>
      </c>
      <c r="E29" s="255">
        <f>B29/D29*C29</f>
        <v>250</v>
      </c>
    </row>
    <row r="30" spans="1:5">
      <c r="A30" s="252" t="s">
        <v>358</v>
      </c>
      <c r="B30" s="253">
        <v>800</v>
      </c>
      <c r="C30" s="254">
        <v>1</v>
      </c>
      <c r="D30" s="254">
        <v>7</v>
      </c>
      <c r="E30" s="255">
        <f t="shared" si="0"/>
        <v>114.28571428571429</v>
      </c>
    </row>
    <row r="31" spans="1:5">
      <c r="A31" s="252" t="s">
        <v>359</v>
      </c>
      <c r="B31" s="253">
        <v>12000</v>
      </c>
      <c r="C31" s="254">
        <v>1</v>
      </c>
      <c r="D31" s="254">
        <v>15</v>
      </c>
      <c r="E31" s="255">
        <f>B31/D31*C31/10</f>
        <v>80</v>
      </c>
    </row>
    <row r="32" spans="1:5" ht="63.75">
      <c r="A32" s="257" t="s">
        <v>360</v>
      </c>
      <c r="B32" s="254"/>
      <c r="C32" s="254"/>
      <c r="D32" s="254"/>
      <c r="E32" s="255">
        <v>120</v>
      </c>
    </row>
    <row r="33" spans="1:5">
      <c r="A33" s="252" t="s">
        <v>186</v>
      </c>
      <c r="B33" s="258"/>
      <c r="C33" s="258"/>
      <c r="D33" s="258"/>
      <c r="E33" s="255">
        <f>SUM(E22:E32)</f>
        <v>2984.9929945054946</v>
      </c>
    </row>
    <row r="34" spans="1:5">
      <c r="A34" s="252" t="s">
        <v>361</v>
      </c>
      <c r="B34" s="252"/>
      <c r="C34" s="252"/>
      <c r="D34" s="252"/>
      <c r="E34" s="259">
        <f>E33/12</f>
        <v>248.74941620879122</v>
      </c>
    </row>
    <row r="35" spans="1:5">
      <c r="A35" s="260"/>
      <c r="B35" s="19"/>
    </row>
    <row r="36" spans="1:5">
      <c r="A36" s="551" t="s">
        <v>362</v>
      </c>
      <c r="B36" s="552"/>
      <c r="C36" s="552"/>
      <c r="D36" s="553"/>
    </row>
    <row r="37" spans="1:5">
      <c r="A37" s="108" t="s">
        <v>346</v>
      </c>
      <c r="B37" s="108" t="s">
        <v>363</v>
      </c>
      <c r="C37" s="108" t="s">
        <v>364</v>
      </c>
      <c r="D37" s="108" t="s">
        <v>13</v>
      </c>
    </row>
    <row r="38" spans="1:5">
      <c r="A38" s="261" t="s">
        <v>365</v>
      </c>
      <c r="B38" s="109">
        <v>12</v>
      </c>
      <c r="C38" s="109">
        <v>6</v>
      </c>
      <c r="D38" s="109">
        <f>B38*C38</f>
        <v>72</v>
      </c>
    </row>
    <row r="39" spans="1:5">
      <c r="A39" s="261" t="s">
        <v>366</v>
      </c>
      <c r="B39" s="109">
        <v>1.5</v>
      </c>
      <c r="C39" s="109">
        <v>30</v>
      </c>
      <c r="D39" s="109">
        <f t="shared" ref="D39:D51" si="1">B39*C39</f>
        <v>45</v>
      </c>
    </row>
    <row r="40" spans="1:5">
      <c r="A40" s="261" t="s">
        <v>367</v>
      </c>
      <c r="B40" s="109">
        <v>1.8</v>
      </c>
      <c r="C40" s="109">
        <v>20</v>
      </c>
      <c r="D40" s="109">
        <f t="shared" si="1"/>
        <v>36</v>
      </c>
    </row>
    <row r="41" spans="1:5">
      <c r="A41" s="261" t="s">
        <v>368</v>
      </c>
      <c r="B41" s="109">
        <v>1.5</v>
      </c>
      <c r="C41" s="109">
        <v>200</v>
      </c>
      <c r="D41" s="109">
        <f>B41*C41</f>
        <v>300</v>
      </c>
    </row>
    <row r="42" spans="1:5">
      <c r="A42" s="261" t="s">
        <v>369</v>
      </c>
      <c r="B42" s="109">
        <v>1.5</v>
      </c>
      <c r="C42" s="109">
        <v>50</v>
      </c>
      <c r="D42" s="109">
        <f t="shared" si="1"/>
        <v>75</v>
      </c>
    </row>
    <row r="43" spans="1:5">
      <c r="A43" s="261" t="s">
        <v>370</v>
      </c>
      <c r="B43" s="109">
        <v>15</v>
      </c>
      <c r="C43" s="109">
        <v>2</v>
      </c>
      <c r="D43" s="109">
        <f t="shared" si="1"/>
        <v>30</v>
      </c>
    </row>
    <row r="44" spans="1:5">
      <c r="A44" s="261" t="s">
        <v>371</v>
      </c>
      <c r="B44" s="109">
        <v>6</v>
      </c>
      <c r="C44" s="109">
        <v>5</v>
      </c>
      <c r="D44" s="109">
        <f t="shared" si="1"/>
        <v>30</v>
      </c>
    </row>
    <row r="45" spans="1:5">
      <c r="A45" s="261" t="s">
        <v>372</v>
      </c>
      <c r="B45" s="109">
        <v>0.8</v>
      </c>
      <c r="C45" s="109">
        <v>50</v>
      </c>
      <c r="D45" s="109">
        <f t="shared" si="1"/>
        <v>40</v>
      </c>
    </row>
    <row r="46" spans="1:5">
      <c r="A46" s="261" t="s">
        <v>373</v>
      </c>
      <c r="B46" s="109">
        <v>89</v>
      </c>
      <c r="C46" s="109">
        <v>1</v>
      </c>
      <c r="D46" s="109">
        <f t="shared" si="1"/>
        <v>89</v>
      </c>
    </row>
    <row r="47" spans="1:5">
      <c r="A47" s="261" t="s">
        <v>374</v>
      </c>
      <c r="B47" s="109">
        <v>200</v>
      </c>
      <c r="C47" s="109">
        <v>1</v>
      </c>
      <c r="D47" s="109">
        <f t="shared" si="1"/>
        <v>200</v>
      </c>
    </row>
    <row r="48" spans="1:5">
      <c r="A48" s="261" t="s">
        <v>375</v>
      </c>
      <c r="B48" s="109">
        <v>1.8</v>
      </c>
      <c r="C48" s="109">
        <v>20</v>
      </c>
      <c r="D48" s="109">
        <f t="shared" si="1"/>
        <v>36</v>
      </c>
    </row>
    <row r="49" spans="1:5">
      <c r="A49" s="261" t="s">
        <v>376</v>
      </c>
      <c r="B49" s="109">
        <v>10.5</v>
      </c>
      <c r="C49" s="109">
        <v>20</v>
      </c>
      <c r="D49" s="109">
        <f t="shared" si="1"/>
        <v>210</v>
      </c>
    </row>
    <row r="50" spans="1:5">
      <c r="A50" s="261" t="s">
        <v>377</v>
      </c>
      <c r="B50" s="109">
        <v>2</v>
      </c>
      <c r="C50" s="109">
        <v>20</v>
      </c>
      <c r="D50" s="109">
        <f t="shared" si="1"/>
        <v>40</v>
      </c>
    </row>
    <row r="51" spans="1:5">
      <c r="A51" s="261" t="s">
        <v>378</v>
      </c>
      <c r="B51" s="109">
        <v>2.5</v>
      </c>
      <c r="C51" s="109">
        <v>5</v>
      </c>
      <c r="D51" s="109">
        <f t="shared" si="1"/>
        <v>12.5</v>
      </c>
    </row>
    <row r="52" spans="1:5">
      <c r="A52" s="262" t="s">
        <v>379</v>
      </c>
      <c r="B52" s="109"/>
      <c r="C52" s="109"/>
      <c r="D52" s="165">
        <f>SUM(D38:D51)/12</f>
        <v>101.29166666666667</v>
      </c>
    </row>
    <row r="53" spans="1:5">
      <c r="A53" s="97"/>
      <c r="B53" s="97"/>
      <c r="C53" s="97"/>
      <c r="D53" s="97"/>
      <c r="E53" s="19"/>
    </row>
    <row r="54" spans="1:5" ht="12.95" customHeight="1">
      <c r="A54" s="554" t="s">
        <v>380</v>
      </c>
      <c r="B54" s="555"/>
    </row>
    <row r="55" spans="1:5" ht="38.25">
      <c r="A55" s="263" t="s">
        <v>346</v>
      </c>
      <c r="B55" s="264" t="s">
        <v>381</v>
      </c>
      <c r="C55" s="264" t="s">
        <v>382</v>
      </c>
    </row>
    <row r="56" spans="1:5">
      <c r="A56" s="265" t="s">
        <v>383</v>
      </c>
      <c r="B56" s="266">
        <v>4.0869565217391308</v>
      </c>
      <c r="C56" s="266">
        <f>12*B56</f>
        <v>49.04347826086957</v>
      </c>
    </row>
    <row r="57" spans="1:5">
      <c r="A57" s="265" t="s">
        <v>384</v>
      </c>
      <c r="B57" s="266">
        <v>7.7391304347826084</v>
      </c>
      <c r="C57" s="266">
        <f t="shared" ref="C57:C64" si="2">12*B57</f>
        <v>92.869565217391298</v>
      </c>
    </row>
    <row r="58" spans="1:5">
      <c r="A58" s="265" t="s">
        <v>385</v>
      </c>
      <c r="B58" s="266">
        <v>19.020289855072463</v>
      </c>
      <c r="C58" s="266">
        <f t="shared" si="2"/>
        <v>228.24347826086955</v>
      </c>
    </row>
    <row r="59" spans="1:5">
      <c r="A59" s="265" t="s">
        <v>386</v>
      </c>
      <c r="B59" s="266">
        <v>53.715942028985509</v>
      </c>
      <c r="C59" s="266">
        <f t="shared" si="2"/>
        <v>644.59130434782605</v>
      </c>
    </row>
    <row r="60" spans="1:5">
      <c r="A60" s="265" t="s">
        <v>387</v>
      </c>
      <c r="B60" s="266">
        <v>25.347826086956523</v>
      </c>
      <c r="C60" s="266">
        <f t="shared" si="2"/>
        <v>304.17391304347825</v>
      </c>
    </row>
    <row r="61" spans="1:5">
      <c r="A61" s="265" t="s">
        <v>388</v>
      </c>
      <c r="B61" s="266">
        <v>21.11304347826087</v>
      </c>
      <c r="C61" s="266">
        <f t="shared" si="2"/>
        <v>253.35652173913044</v>
      </c>
    </row>
    <row r="62" spans="1:5">
      <c r="A62" s="265" t="s">
        <v>389</v>
      </c>
      <c r="B62" s="266">
        <f>97.2695652173913/2</f>
        <v>48.634782608695652</v>
      </c>
      <c r="C62" s="266">
        <f t="shared" si="2"/>
        <v>583.61739130434785</v>
      </c>
    </row>
    <row r="63" spans="1:5">
      <c r="A63" s="265" t="s">
        <v>390</v>
      </c>
      <c r="B63" s="266">
        <f>179.855072463768/2</f>
        <v>89.927536231884005</v>
      </c>
      <c r="C63" s="266">
        <f t="shared" si="2"/>
        <v>1079.1304347826081</v>
      </c>
    </row>
    <row r="64" spans="1:5">
      <c r="A64" s="265" t="s">
        <v>391</v>
      </c>
      <c r="B64" s="266">
        <v>29.0057971014493</v>
      </c>
      <c r="C64" s="266">
        <f t="shared" si="2"/>
        <v>348.06956521739158</v>
      </c>
    </row>
    <row r="65" spans="1:3">
      <c r="A65" s="106" t="s">
        <v>392</v>
      </c>
      <c r="B65" s="100">
        <v>6.6052173913043477</v>
      </c>
      <c r="C65" s="100">
        <f>B65*12</f>
        <v>79.262608695652176</v>
      </c>
    </row>
    <row r="66" spans="1:3">
      <c r="A66" s="106" t="s">
        <v>393</v>
      </c>
      <c r="B66" s="100">
        <v>31.869565217391305</v>
      </c>
      <c r="C66" s="100">
        <f t="shared" ref="C66:C71" si="3">B66*12</f>
        <v>382.43478260869563</v>
      </c>
    </row>
    <row r="67" spans="1:3">
      <c r="A67" s="106" t="s">
        <v>394</v>
      </c>
      <c r="B67" s="100">
        <v>19.850427350427349</v>
      </c>
      <c r="C67" s="275">
        <f t="shared" si="3"/>
        <v>238.20512820512818</v>
      </c>
    </row>
    <row r="68" spans="1:3">
      <c r="A68" s="106" t="s">
        <v>395</v>
      </c>
      <c r="B68" s="100">
        <v>13.304347826086957</v>
      </c>
      <c r="C68" s="275">
        <f t="shared" si="3"/>
        <v>159.6521739130435</v>
      </c>
    </row>
    <row r="69" spans="1:3">
      <c r="A69" s="106" t="s">
        <v>396</v>
      </c>
      <c r="B69" s="100">
        <v>11.28695652173913</v>
      </c>
      <c r="C69" s="275">
        <f t="shared" si="3"/>
        <v>135.44347826086957</v>
      </c>
    </row>
    <row r="70" spans="1:3">
      <c r="A70" s="106" t="s">
        <v>397</v>
      </c>
      <c r="B70" s="100">
        <v>17.391304347826086</v>
      </c>
      <c r="C70" s="275">
        <f t="shared" si="3"/>
        <v>208.69565217391303</v>
      </c>
    </row>
    <row r="71" spans="1:3">
      <c r="A71" s="106" t="s">
        <v>398</v>
      </c>
      <c r="B71" s="100">
        <v>1.6847826086956521</v>
      </c>
      <c r="C71" s="275">
        <f t="shared" si="3"/>
        <v>20.217391304347824</v>
      </c>
    </row>
    <row r="72" spans="1:3">
      <c r="A72" s="107" t="s">
        <v>13</v>
      </c>
      <c r="B72" s="210">
        <f>SUM(B56:B71)</f>
        <v>400.58390561129681</v>
      </c>
      <c r="C72" s="210">
        <f>SUM(C56:C71)</f>
        <v>4807.0068673355627</v>
      </c>
    </row>
    <row r="73" spans="1:3">
      <c r="B73" s="19"/>
    </row>
  </sheetData>
  <mergeCells count="4">
    <mergeCell ref="A2:D2"/>
    <mergeCell ref="A20:E20"/>
    <mergeCell ref="A36:D36"/>
    <mergeCell ref="A54:B54"/>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V16"/>
  <sheetViews>
    <sheetView workbookViewId="0">
      <selection activeCell="P13" sqref="P13"/>
    </sheetView>
  </sheetViews>
  <sheetFormatPr defaultRowHeight="15"/>
  <cols>
    <col min="1" max="1" width="21.5703125" customWidth="1"/>
    <col min="2" max="2" width="8.28515625" style="7" customWidth="1"/>
    <col min="3" max="3" width="10.85546875" customWidth="1"/>
    <col min="4" max="4" width="11.140625" style="8" customWidth="1"/>
    <col min="5" max="5" width="8" style="8" customWidth="1"/>
    <col min="6" max="6" width="8.85546875" style="8" customWidth="1"/>
    <col min="7" max="7" width="9.85546875" customWidth="1"/>
    <col min="8" max="8" width="12.140625" style="8" customWidth="1"/>
    <col min="10" max="10" width="10.85546875" customWidth="1"/>
    <col min="13" max="13" width="19.5703125" customWidth="1"/>
    <col min="14" max="14" width="11.85546875" style="8" customWidth="1"/>
    <col min="16" max="16" width="17.42578125" customWidth="1"/>
  </cols>
  <sheetData>
    <row r="1" spans="1:22" s="8" customFormat="1">
      <c r="A1" s="554" t="s">
        <v>399</v>
      </c>
      <c r="B1" s="555"/>
      <c r="C1" s="555"/>
      <c r="D1" s="555"/>
      <c r="E1" s="555"/>
      <c r="F1" s="555"/>
      <c r="G1" s="555"/>
      <c r="H1" s="555"/>
      <c r="I1" s="555"/>
      <c r="J1" s="555"/>
      <c r="K1" s="555"/>
      <c r="L1" s="555"/>
      <c r="M1" s="555"/>
      <c r="N1" s="555"/>
      <c r="O1" s="555"/>
      <c r="P1" s="555"/>
      <c r="Q1" s="555"/>
    </row>
    <row r="2" spans="1:22" s="8" customFormat="1" ht="56.1" customHeight="1">
      <c r="A2" s="367" t="s">
        <v>400</v>
      </c>
      <c r="B2" s="286"/>
      <c r="C2" s="367"/>
      <c r="D2" s="367"/>
      <c r="E2" s="367"/>
      <c r="F2" s="367"/>
      <c r="G2" s="367"/>
      <c r="H2" s="367"/>
      <c r="I2" s="367"/>
      <c r="J2" s="367" t="s">
        <v>401</v>
      </c>
      <c r="K2" s="367"/>
      <c r="L2" s="367"/>
      <c r="M2" s="367" t="s">
        <v>402</v>
      </c>
      <c r="N2" s="367"/>
      <c r="O2" s="367"/>
      <c r="P2" s="367" t="s">
        <v>403</v>
      </c>
      <c r="Q2" s="367"/>
    </row>
    <row r="3" spans="1:22" ht="58.5" customHeight="1">
      <c r="A3" s="367" t="s">
        <v>98</v>
      </c>
      <c r="B3" s="286" t="s">
        <v>404</v>
      </c>
      <c r="C3" s="367" t="s">
        <v>286</v>
      </c>
      <c r="D3" s="367" t="s">
        <v>405</v>
      </c>
      <c r="E3" s="367" t="s">
        <v>406</v>
      </c>
      <c r="F3" s="367" t="s">
        <v>407</v>
      </c>
      <c r="G3" s="367" t="s">
        <v>408</v>
      </c>
      <c r="H3" s="367" t="s">
        <v>409</v>
      </c>
      <c r="I3" s="367" t="s">
        <v>295</v>
      </c>
      <c r="J3" s="367" t="s">
        <v>104</v>
      </c>
      <c r="K3" s="367" t="s">
        <v>410</v>
      </c>
      <c r="L3" s="367" t="s">
        <v>411</v>
      </c>
      <c r="M3" s="367" t="s">
        <v>104</v>
      </c>
      <c r="N3" s="367" t="s">
        <v>412</v>
      </c>
      <c r="O3" s="367" t="s">
        <v>413</v>
      </c>
      <c r="P3" s="367" t="s">
        <v>104</v>
      </c>
      <c r="Q3" s="367" t="s">
        <v>413</v>
      </c>
      <c r="R3" s="8"/>
      <c r="S3" s="8"/>
      <c r="T3" s="8"/>
      <c r="U3" s="8"/>
      <c r="V3" s="8"/>
    </row>
    <row r="4" spans="1:22">
      <c r="A4" s="434" t="s">
        <v>414</v>
      </c>
      <c r="B4" s="441">
        <v>25</v>
      </c>
      <c r="C4" s="436">
        <f>'Population Distribution'!$D$22*1000</f>
        <v>3720200</v>
      </c>
      <c r="D4" s="437">
        <f>'Population Distribution'!$B$28</f>
        <v>1361150.7336595745</v>
      </c>
      <c r="E4" s="438">
        <v>0.3</v>
      </c>
      <c r="F4" s="439">
        <v>10</v>
      </c>
      <c r="G4" s="440">
        <v>0.04</v>
      </c>
      <c r="H4" s="94">
        <f>D4*G4</f>
        <v>54446.02934638298</v>
      </c>
      <c r="I4" s="94">
        <f>C4*G4</f>
        <v>148808</v>
      </c>
      <c r="J4" s="229">
        <f t="shared" ref="J4:J11" si="0">B4*I4</f>
        <v>3720200</v>
      </c>
      <c r="K4" s="96">
        <f t="shared" ref="K4:K9" si="1">J4/C4</f>
        <v>1</v>
      </c>
      <c r="L4" s="213">
        <f>K4/12</f>
        <v>8.3333333333333329E-2</v>
      </c>
      <c r="M4" s="229">
        <f t="shared" ref="M4:M11" si="2">B4*(1-E4)*(C4-D4)*G4</f>
        <v>1651334.4864382977</v>
      </c>
      <c r="N4" s="229">
        <f t="shared" ref="N4:N11" si="3">G4*D4*B4</f>
        <v>1361150.7336595745</v>
      </c>
      <c r="O4" s="96">
        <f>M4/(C4-D4)</f>
        <v>0.7</v>
      </c>
      <c r="P4" s="229">
        <f t="shared" ref="P4:P11" si="4">(B4-F4)*(C4-D4)*G4</f>
        <v>1415429.5598042551</v>
      </c>
      <c r="Q4" s="96">
        <f>P4/(C4-D4)</f>
        <v>0.6</v>
      </c>
      <c r="R4" s="8"/>
      <c r="S4" s="8"/>
      <c r="T4" s="8"/>
      <c r="U4" s="8"/>
      <c r="V4" s="8"/>
    </row>
    <row r="5" spans="1:22">
      <c r="A5" s="434" t="s">
        <v>415</v>
      </c>
      <c r="B5" s="441">
        <v>25</v>
      </c>
      <c r="C5" s="436">
        <f>'Population Distribution'!$D$22*1000</f>
        <v>3720200</v>
      </c>
      <c r="D5" s="437">
        <f>'Population Distribution'!$B$28</f>
        <v>1361150.7336595745</v>
      </c>
      <c r="E5" s="438">
        <v>0.3</v>
      </c>
      <c r="F5" s="439">
        <v>10</v>
      </c>
      <c r="G5" s="440">
        <v>0.05</v>
      </c>
      <c r="H5" s="94">
        <f t="shared" ref="H5:H11" si="5">D5*G5</f>
        <v>68057.536682978724</v>
      </c>
      <c r="I5" s="94">
        <f t="shared" ref="I5:I9" si="6">C5*G5</f>
        <v>186010</v>
      </c>
      <c r="J5" s="229">
        <f t="shared" si="0"/>
        <v>4650250</v>
      </c>
      <c r="K5" s="96">
        <f t="shared" si="1"/>
        <v>1.25</v>
      </c>
      <c r="L5" s="213">
        <f t="shared" ref="L5:L11" si="7">K5/12</f>
        <v>0.10416666666666667</v>
      </c>
      <c r="M5" s="229">
        <f t="shared" si="2"/>
        <v>2064168.1080478721</v>
      </c>
      <c r="N5" s="229">
        <f t="shared" si="3"/>
        <v>1701438.417074468</v>
      </c>
      <c r="O5" s="96">
        <f t="shared" ref="O5:O11" si="8">M5/(C5-D5)</f>
        <v>0.875</v>
      </c>
      <c r="P5" s="229">
        <f t="shared" si="4"/>
        <v>1769286.9497553189</v>
      </c>
      <c r="Q5" s="96">
        <f t="shared" ref="Q5:Q11" si="9">P5/(C5-D5)</f>
        <v>0.75</v>
      </c>
      <c r="R5" s="8"/>
      <c r="S5" s="8"/>
      <c r="T5" s="8"/>
      <c r="U5" s="8"/>
      <c r="V5" s="8"/>
    </row>
    <row r="6" spans="1:22">
      <c r="A6" s="434" t="s">
        <v>416</v>
      </c>
      <c r="B6" s="441">
        <v>25</v>
      </c>
      <c r="C6" s="436">
        <f>'Population Distribution'!$D$22*1000</f>
        <v>3720200</v>
      </c>
      <c r="D6" s="437">
        <f>'Population Distribution'!$B$28</f>
        <v>1361150.7336595745</v>
      </c>
      <c r="E6" s="438">
        <v>0.3</v>
      </c>
      <c r="F6" s="439">
        <v>10</v>
      </c>
      <c r="G6" s="440">
        <v>0.04</v>
      </c>
      <c r="H6" s="94">
        <f t="shared" si="5"/>
        <v>54446.02934638298</v>
      </c>
      <c r="I6" s="94">
        <f t="shared" si="6"/>
        <v>148808</v>
      </c>
      <c r="J6" s="229">
        <f t="shared" si="0"/>
        <v>3720200</v>
      </c>
      <c r="K6" s="96">
        <f t="shared" si="1"/>
        <v>1</v>
      </c>
      <c r="L6" s="213">
        <f t="shared" si="7"/>
        <v>8.3333333333333329E-2</v>
      </c>
      <c r="M6" s="229">
        <f t="shared" si="2"/>
        <v>1651334.4864382977</v>
      </c>
      <c r="N6" s="229">
        <f t="shared" si="3"/>
        <v>1361150.7336595745</v>
      </c>
      <c r="O6" s="96">
        <f t="shared" si="8"/>
        <v>0.7</v>
      </c>
      <c r="P6" s="229">
        <f t="shared" si="4"/>
        <v>1415429.5598042551</v>
      </c>
      <c r="Q6" s="96">
        <f t="shared" si="9"/>
        <v>0.6</v>
      </c>
      <c r="R6" s="8"/>
      <c r="S6" s="8"/>
      <c r="T6" s="8"/>
      <c r="U6" s="8"/>
      <c r="V6" s="8"/>
    </row>
    <row r="7" spans="1:22">
      <c r="A7" s="434" t="s">
        <v>417</v>
      </c>
      <c r="B7" s="441">
        <v>25</v>
      </c>
      <c r="C7" s="436">
        <f>'Population Distribution'!$D$22*1000</f>
        <v>3720200</v>
      </c>
      <c r="D7" s="437">
        <f>'Population Distribution'!$B$28</f>
        <v>1361150.7336595745</v>
      </c>
      <c r="E7" s="438">
        <v>0.3</v>
      </c>
      <c r="F7" s="439">
        <v>10</v>
      </c>
      <c r="G7" s="440">
        <v>0.06</v>
      </c>
      <c r="H7" s="94">
        <f t="shared" si="5"/>
        <v>81669.044019574474</v>
      </c>
      <c r="I7" s="94">
        <f t="shared" si="6"/>
        <v>223212</v>
      </c>
      <c r="J7" s="229">
        <f t="shared" si="0"/>
        <v>5580300</v>
      </c>
      <c r="K7" s="96">
        <f t="shared" si="1"/>
        <v>1.5</v>
      </c>
      <c r="L7" s="213">
        <f t="shared" si="7"/>
        <v>0.125</v>
      </c>
      <c r="M7" s="229">
        <f t="shared" si="2"/>
        <v>2477001.7296574465</v>
      </c>
      <c r="N7" s="229">
        <f t="shared" si="3"/>
        <v>2041726.1004893619</v>
      </c>
      <c r="O7" s="96">
        <f t="shared" si="8"/>
        <v>1.05</v>
      </c>
      <c r="P7" s="229">
        <f t="shared" si="4"/>
        <v>2123144.3397063827</v>
      </c>
      <c r="Q7" s="96">
        <f t="shared" si="9"/>
        <v>0.9</v>
      </c>
      <c r="R7" s="8"/>
      <c r="S7" s="8"/>
      <c r="T7" s="8"/>
      <c r="U7" s="8"/>
      <c r="V7" s="8"/>
    </row>
    <row r="8" spans="1:22">
      <c r="A8" s="435" t="s">
        <v>418</v>
      </c>
      <c r="B8" s="441">
        <v>25</v>
      </c>
      <c r="C8" s="436">
        <f>'Population Distribution'!$D$22*1000</f>
        <v>3720200</v>
      </c>
      <c r="D8" s="437">
        <f>'Population Distribution'!$B$28</f>
        <v>1361150.7336595745</v>
      </c>
      <c r="E8" s="438">
        <v>0.3</v>
      </c>
      <c r="F8" s="439">
        <v>10</v>
      </c>
      <c r="G8" s="440">
        <v>0.05</v>
      </c>
      <c r="H8" s="94">
        <f t="shared" si="5"/>
        <v>68057.536682978724</v>
      </c>
      <c r="I8" s="94">
        <f t="shared" si="6"/>
        <v>186010</v>
      </c>
      <c r="J8" s="229">
        <f t="shared" si="0"/>
        <v>4650250</v>
      </c>
      <c r="K8" s="96">
        <f t="shared" si="1"/>
        <v>1.25</v>
      </c>
      <c r="L8" s="213">
        <f t="shared" si="7"/>
        <v>0.10416666666666667</v>
      </c>
      <c r="M8" s="229">
        <f t="shared" si="2"/>
        <v>2064168.1080478721</v>
      </c>
      <c r="N8" s="229">
        <f t="shared" si="3"/>
        <v>1701438.417074468</v>
      </c>
      <c r="O8" s="96">
        <f t="shared" si="8"/>
        <v>0.875</v>
      </c>
      <c r="P8" s="229">
        <f t="shared" si="4"/>
        <v>1769286.9497553189</v>
      </c>
      <c r="Q8" s="96">
        <f t="shared" si="9"/>
        <v>0.75</v>
      </c>
      <c r="R8" s="8"/>
      <c r="S8" s="8"/>
      <c r="T8" s="8"/>
      <c r="U8" s="8"/>
      <c r="V8" s="8"/>
    </row>
    <row r="9" spans="1:22">
      <c r="A9" s="158" t="s">
        <v>419</v>
      </c>
      <c r="B9" s="441">
        <v>25</v>
      </c>
      <c r="C9" s="436">
        <f>'Population Distribution'!$D$22*1000</f>
        <v>3720200</v>
      </c>
      <c r="D9" s="437">
        <f>'Population Distribution'!$B$28</f>
        <v>1361150.7336595745</v>
      </c>
      <c r="E9" s="438">
        <v>0.3</v>
      </c>
      <c r="F9" s="439">
        <v>10</v>
      </c>
      <c r="G9" s="440">
        <v>0.02</v>
      </c>
      <c r="H9" s="94">
        <f t="shared" si="5"/>
        <v>27223.01467319149</v>
      </c>
      <c r="I9" s="94">
        <f t="shared" si="6"/>
        <v>74404</v>
      </c>
      <c r="J9" s="229">
        <f t="shared" si="0"/>
        <v>1860100</v>
      </c>
      <c r="K9" s="96">
        <f t="shared" si="1"/>
        <v>0.5</v>
      </c>
      <c r="L9" s="213">
        <f t="shared" si="7"/>
        <v>4.1666666666666664E-2</v>
      </c>
      <c r="M9" s="229">
        <f t="shared" si="2"/>
        <v>825667.24321914883</v>
      </c>
      <c r="N9" s="229">
        <f t="shared" si="3"/>
        <v>680575.36682978726</v>
      </c>
      <c r="O9" s="96">
        <f t="shared" si="8"/>
        <v>0.35</v>
      </c>
      <c r="P9" s="229">
        <f t="shared" si="4"/>
        <v>707714.77990212757</v>
      </c>
      <c r="Q9" s="96">
        <f t="shared" si="9"/>
        <v>0.3</v>
      </c>
      <c r="R9" s="8"/>
      <c r="S9" s="8"/>
      <c r="T9" s="8"/>
      <c r="U9" s="8"/>
      <c r="V9" s="8"/>
    </row>
    <row r="10" spans="1:22">
      <c r="A10" s="158" t="s">
        <v>420</v>
      </c>
      <c r="B10" s="441">
        <v>25</v>
      </c>
      <c r="C10" s="436">
        <f>'Population Distribution'!$D$22*1000</f>
        <v>3720200</v>
      </c>
      <c r="D10" s="437">
        <f>'Population Distribution'!$B$28</f>
        <v>1361150.7336595745</v>
      </c>
      <c r="E10" s="438">
        <v>0.3</v>
      </c>
      <c r="F10" s="439">
        <v>10</v>
      </c>
      <c r="G10" s="440">
        <v>0.01</v>
      </c>
      <c r="H10" s="94">
        <f t="shared" si="5"/>
        <v>13611.507336595745</v>
      </c>
      <c r="I10" s="94">
        <f t="shared" ref="I10:I11" si="10">C10*G10</f>
        <v>37202</v>
      </c>
      <c r="J10" s="229">
        <f t="shared" si="0"/>
        <v>930050</v>
      </c>
      <c r="K10" s="96">
        <f t="shared" ref="K10:K11" si="11">J10/C10</f>
        <v>0.25</v>
      </c>
      <c r="L10" s="213">
        <f t="shared" si="7"/>
        <v>2.0833333333333332E-2</v>
      </c>
      <c r="M10" s="229">
        <f t="shared" si="2"/>
        <v>412833.62160957442</v>
      </c>
      <c r="N10" s="229">
        <f t="shared" si="3"/>
        <v>340287.68341489363</v>
      </c>
      <c r="O10" s="96">
        <f t="shared" si="8"/>
        <v>0.17499999999999999</v>
      </c>
      <c r="P10" s="229">
        <f t="shared" si="4"/>
        <v>353857.38995106379</v>
      </c>
      <c r="Q10" s="96">
        <f t="shared" si="9"/>
        <v>0.15</v>
      </c>
      <c r="R10" s="8"/>
      <c r="S10" s="8"/>
      <c r="T10" s="8"/>
      <c r="U10" s="8"/>
      <c r="V10" s="8"/>
    </row>
    <row r="11" spans="1:22">
      <c r="A11" s="158" t="s">
        <v>421</v>
      </c>
      <c r="B11" s="441">
        <v>25</v>
      </c>
      <c r="C11" s="436">
        <f>'Population Distribution'!$D$22*1000</f>
        <v>3720200</v>
      </c>
      <c r="D11" s="437">
        <f>'Population Distribution'!$B$28</f>
        <v>1361150.7336595745</v>
      </c>
      <c r="E11" s="438">
        <v>0.3</v>
      </c>
      <c r="F11" s="439">
        <v>10</v>
      </c>
      <c r="G11" s="440">
        <v>0.02</v>
      </c>
      <c r="H11" s="94">
        <f t="shared" si="5"/>
        <v>27223.01467319149</v>
      </c>
      <c r="I11" s="94">
        <f t="shared" si="10"/>
        <v>74404</v>
      </c>
      <c r="J11" s="230">
        <f t="shared" si="0"/>
        <v>1860100</v>
      </c>
      <c r="K11" s="96">
        <f t="shared" si="11"/>
        <v>0.5</v>
      </c>
      <c r="L11" s="213">
        <f t="shared" si="7"/>
        <v>4.1666666666666664E-2</v>
      </c>
      <c r="M11" s="230">
        <f t="shared" si="2"/>
        <v>825667.24321914883</v>
      </c>
      <c r="N11" s="229">
        <f t="shared" si="3"/>
        <v>680575.36682978726</v>
      </c>
      <c r="O11" s="96">
        <f t="shared" si="8"/>
        <v>0.35</v>
      </c>
      <c r="P11" s="230">
        <f t="shared" si="4"/>
        <v>707714.77990212757</v>
      </c>
      <c r="Q11" s="96">
        <f t="shared" si="9"/>
        <v>0.3</v>
      </c>
      <c r="R11" s="8"/>
      <c r="S11" s="8"/>
      <c r="T11" s="8"/>
      <c r="U11" s="8"/>
      <c r="V11" s="8"/>
    </row>
    <row r="12" spans="1:22">
      <c r="A12" s="159"/>
      <c r="B12" s="442"/>
      <c r="C12" s="8"/>
      <c r="G12" s="8"/>
      <c r="I12" s="159"/>
      <c r="J12" s="501">
        <f>SUM(J4:J11)</f>
        <v>26971450</v>
      </c>
      <c r="K12" s="502">
        <f>SUM(K4:K11)</f>
        <v>7.25</v>
      </c>
      <c r="L12" s="443">
        <f>K12/12</f>
        <v>0.60416666666666663</v>
      </c>
      <c r="M12" s="232">
        <f>SUM(M4:M11)</f>
        <v>11972175.026677657</v>
      </c>
      <c r="N12" s="232">
        <f>SUM(N4:N11)</f>
        <v>9868342.8190319147</v>
      </c>
      <c r="O12" s="502">
        <f>SUM(O4:O11)</f>
        <v>5.0749999999999993</v>
      </c>
      <c r="P12" s="232">
        <f>SUM(P4:P11)</f>
        <v>10261864.308580849</v>
      </c>
      <c r="Q12" s="502">
        <f>SUM(Q4:Q11)</f>
        <v>4.3499999999999996</v>
      </c>
      <c r="R12" s="8"/>
      <c r="S12" s="8"/>
      <c r="T12" s="8"/>
      <c r="U12" s="8"/>
      <c r="V12" s="8"/>
    </row>
    <row r="13" spans="1:22">
      <c r="A13" s="16"/>
      <c r="C13" s="8"/>
      <c r="G13" s="8"/>
      <c r="I13" s="8"/>
      <c r="J13" s="159"/>
      <c r="K13" s="231"/>
      <c r="L13" s="9"/>
      <c r="M13" s="9"/>
      <c r="N13" s="232">
        <f>SUM(M12:N12)</f>
        <v>21840517.84570957</v>
      </c>
      <c r="O13" s="443">
        <f>O12/12</f>
        <v>0.42291666666666661</v>
      </c>
      <c r="P13" s="232">
        <f>P12+M12</f>
        <v>22234039.335258506</v>
      </c>
      <c r="Q13" s="443">
        <f>Q12/12</f>
        <v>0.36249999999999999</v>
      </c>
      <c r="R13" s="8"/>
      <c r="S13" s="8"/>
      <c r="T13" s="8"/>
      <c r="U13" s="8"/>
      <c r="V13" s="8"/>
    </row>
    <row r="14" spans="1:22">
      <c r="A14" s="16"/>
      <c r="C14" s="8"/>
      <c r="G14" s="8"/>
      <c r="I14" s="8"/>
      <c r="J14" s="8"/>
      <c r="K14" s="8"/>
      <c r="L14" s="8"/>
      <c r="M14" s="8"/>
      <c r="O14" s="8"/>
      <c r="P14" s="8"/>
      <c r="Q14" s="8"/>
      <c r="R14" s="8"/>
      <c r="S14" s="8"/>
      <c r="T14" s="8"/>
      <c r="U14" s="8"/>
      <c r="V14" s="8"/>
    </row>
    <row r="15" spans="1:22">
      <c r="A15" s="16"/>
      <c r="C15" s="8"/>
      <c r="G15" s="8"/>
      <c r="I15" s="8"/>
      <c r="J15" s="8"/>
      <c r="K15" s="8"/>
      <c r="L15" s="8"/>
      <c r="M15" s="8"/>
      <c r="O15" s="8"/>
      <c r="P15" s="8"/>
      <c r="Q15" s="8"/>
      <c r="R15" s="8"/>
      <c r="S15" s="8"/>
      <c r="T15" s="8"/>
      <c r="U15" s="8"/>
      <c r="V15" s="8"/>
    </row>
    <row r="16" spans="1:22">
      <c r="A16" s="8"/>
      <c r="C16" s="8"/>
      <c r="G16" s="8"/>
      <c r="I16" s="8"/>
      <c r="J16" s="8"/>
      <c r="K16" s="8"/>
      <c r="L16" s="8"/>
      <c r="M16" s="8"/>
      <c r="O16" s="8"/>
      <c r="P16" s="8"/>
      <c r="Q16" s="8"/>
      <c r="R16" s="8"/>
      <c r="S16" s="8"/>
      <c r="T16" s="8"/>
      <c r="U16" s="8"/>
      <c r="V16" s="8"/>
    </row>
  </sheetData>
  <mergeCells count="1">
    <mergeCell ref="A1:Q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E65"/>
  <sheetViews>
    <sheetView workbookViewId="0">
      <selection activeCell="A48" sqref="A48"/>
    </sheetView>
  </sheetViews>
  <sheetFormatPr defaultColWidth="9.140625" defaultRowHeight="12.75"/>
  <cols>
    <col min="1" max="1" width="42.7109375" style="77" customWidth="1"/>
    <col min="2" max="2" width="9.140625" style="172"/>
    <col min="3" max="16384" width="9.140625" style="77"/>
  </cols>
  <sheetData>
    <row r="1" spans="1:5">
      <c r="A1" s="171" t="s">
        <v>422</v>
      </c>
    </row>
    <row r="2" spans="1:5">
      <c r="A2" s="556" t="s">
        <v>423</v>
      </c>
      <c r="B2" s="557"/>
      <c r="C2" s="557"/>
      <c r="D2" s="557"/>
      <c r="E2" s="558"/>
    </row>
    <row r="3" spans="1:5" ht="25.5">
      <c r="A3" s="173" t="s">
        <v>346</v>
      </c>
      <c r="B3" s="173" t="s">
        <v>363</v>
      </c>
      <c r="C3" s="173" t="s">
        <v>424</v>
      </c>
      <c r="D3" s="173" t="s">
        <v>349</v>
      </c>
      <c r="E3" s="173" t="s">
        <v>425</v>
      </c>
    </row>
    <row r="4" spans="1:5">
      <c r="A4" s="174" t="s">
        <v>426</v>
      </c>
      <c r="B4" s="175">
        <v>830</v>
      </c>
      <c r="C4" s="176">
        <v>1</v>
      </c>
      <c r="D4" s="176">
        <v>7</v>
      </c>
      <c r="E4" s="175">
        <f>B4/D4</f>
        <v>118.57142857142857</v>
      </c>
    </row>
    <row r="5" spans="1:5">
      <c r="A5" s="174" t="s">
        <v>427</v>
      </c>
      <c r="B5" s="241">
        <v>100</v>
      </c>
      <c r="C5" s="242">
        <v>1</v>
      </c>
      <c r="D5" s="176">
        <v>1</v>
      </c>
      <c r="E5" s="175">
        <f>B5/D5</f>
        <v>100</v>
      </c>
    </row>
    <row r="6" spans="1:5" ht="25.5">
      <c r="A6" s="174" t="s">
        <v>428</v>
      </c>
      <c r="B6" s="175">
        <v>25</v>
      </c>
      <c r="C6" s="176">
        <v>1</v>
      </c>
      <c r="D6" s="176">
        <v>7</v>
      </c>
      <c r="E6" s="175">
        <f>B6/D6</f>
        <v>3.5714285714285716</v>
      </c>
    </row>
    <row r="7" spans="1:5" ht="38.25">
      <c r="A7" s="174" t="s">
        <v>429</v>
      </c>
      <c r="B7" s="175">
        <v>25</v>
      </c>
      <c r="C7" s="176">
        <v>1</v>
      </c>
      <c r="D7" s="176">
        <v>7</v>
      </c>
      <c r="E7" s="175">
        <f>B7/D7</f>
        <v>3.5714285714285716</v>
      </c>
    </row>
    <row r="8" spans="1:5">
      <c r="A8" s="174" t="s">
        <v>430</v>
      </c>
      <c r="B8" s="175">
        <v>100</v>
      </c>
      <c r="C8" s="176">
        <v>1</v>
      </c>
      <c r="D8" s="176">
        <v>7</v>
      </c>
      <c r="E8" s="175">
        <f>B8/D8</f>
        <v>14.285714285714286</v>
      </c>
    </row>
    <row r="9" spans="1:5">
      <c r="A9" s="174" t="s">
        <v>431</v>
      </c>
      <c r="B9" s="175">
        <v>30</v>
      </c>
      <c r="C9" s="176">
        <v>1</v>
      </c>
      <c r="D9" s="176">
        <v>5</v>
      </c>
      <c r="E9" s="175">
        <f t="shared" ref="E9:E21" si="0">B9/D9*C9</f>
        <v>6</v>
      </c>
    </row>
    <row r="10" spans="1:5">
      <c r="A10" s="174" t="s">
        <v>432</v>
      </c>
      <c r="B10" s="175">
        <v>100</v>
      </c>
      <c r="C10" s="176">
        <v>1</v>
      </c>
      <c r="D10" s="176">
        <v>5</v>
      </c>
      <c r="E10" s="175">
        <f t="shared" si="0"/>
        <v>20</v>
      </c>
    </row>
    <row r="11" spans="1:5">
      <c r="A11" s="174" t="s">
        <v>433</v>
      </c>
      <c r="B11" s="175">
        <v>65</v>
      </c>
      <c r="C11" s="176">
        <v>1</v>
      </c>
      <c r="D11" s="176">
        <v>5</v>
      </c>
      <c r="E11" s="175">
        <f t="shared" si="0"/>
        <v>13</v>
      </c>
    </row>
    <row r="12" spans="1:5">
      <c r="A12" s="174" t="s">
        <v>434</v>
      </c>
      <c r="B12" s="175">
        <v>100</v>
      </c>
      <c r="C12" s="176">
        <v>1</v>
      </c>
      <c r="D12" s="176">
        <v>5</v>
      </c>
      <c r="E12" s="175">
        <f t="shared" si="0"/>
        <v>20</v>
      </c>
    </row>
    <row r="13" spans="1:5">
      <c r="A13" s="174" t="s">
        <v>435</v>
      </c>
      <c r="B13" s="175">
        <v>3</v>
      </c>
      <c r="C13" s="176">
        <v>1</v>
      </c>
      <c r="D13" s="176">
        <v>5</v>
      </c>
      <c r="E13" s="175">
        <f t="shared" si="0"/>
        <v>0.6</v>
      </c>
    </row>
    <row r="14" spans="1:5">
      <c r="A14" s="174" t="s">
        <v>436</v>
      </c>
      <c r="B14" s="175">
        <v>25</v>
      </c>
      <c r="C14" s="176">
        <v>1</v>
      </c>
      <c r="D14" s="176">
        <v>5</v>
      </c>
      <c r="E14" s="175">
        <f t="shared" si="0"/>
        <v>5</v>
      </c>
    </row>
    <row r="15" spans="1:5">
      <c r="A15" s="174" t="s">
        <v>437</v>
      </c>
      <c r="B15" s="175">
        <v>32</v>
      </c>
      <c r="C15" s="176">
        <v>1</v>
      </c>
      <c r="D15" s="176">
        <v>5</v>
      </c>
      <c r="E15" s="175">
        <f t="shared" si="0"/>
        <v>6.4</v>
      </c>
    </row>
    <row r="16" spans="1:5">
      <c r="A16" s="174" t="s">
        <v>438</v>
      </c>
      <c r="B16" s="175">
        <v>1.9</v>
      </c>
      <c r="C16" s="176">
        <v>3</v>
      </c>
      <c r="D16" s="176">
        <v>1</v>
      </c>
      <c r="E16" s="175">
        <f t="shared" si="0"/>
        <v>5.6999999999999993</v>
      </c>
    </row>
    <row r="17" spans="1:5">
      <c r="A17" s="174" t="s">
        <v>439</v>
      </c>
      <c r="B17" s="175">
        <v>150</v>
      </c>
      <c r="C17" s="176">
        <v>1</v>
      </c>
      <c r="D17" s="176">
        <v>5</v>
      </c>
      <c r="E17" s="175">
        <f t="shared" si="0"/>
        <v>30</v>
      </c>
    </row>
    <row r="18" spans="1:5">
      <c r="A18" s="174" t="s">
        <v>440</v>
      </c>
      <c r="B18" s="175">
        <v>500</v>
      </c>
      <c r="C18" s="176">
        <v>1</v>
      </c>
      <c r="D18" s="176">
        <v>7</v>
      </c>
      <c r="E18" s="175">
        <f t="shared" si="0"/>
        <v>71.428571428571431</v>
      </c>
    </row>
    <row r="19" spans="1:5">
      <c r="A19" s="174" t="s">
        <v>441</v>
      </c>
      <c r="B19" s="175">
        <v>25</v>
      </c>
      <c r="C19" s="176">
        <v>2</v>
      </c>
      <c r="D19" s="176">
        <v>5</v>
      </c>
      <c r="E19" s="175">
        <f t="shared" si="0"/>
        <v>10</v>
      </c>
    </row>
    <row r="20" spans="1:5">
      <c r="A20" s="174" t="s">
        <v>442</v>
      </c>
      <c r="B20" s="175">
        <v>45</v>
      </c>
      <c r="C20" s="176">
        <v>2</v>
      </c>
      <c r="D20" s="176">
        <v>5</v>
      </c>
      <c r="E20" s="175">
        <f t="shared" si="0"/>
        <v>18</v>
      </c>
    </row>
    <row r="21" spans="1:5">
      <c r="A21" s="174" t="s">
        <v>443</v>
      </c>
      <c r="B21" s="175">
        <v>130</v>
      </c>
      <c r="C21" s="176">
        <v>1</v>
      </c>
      <c r="D21" s="176">
        <v>5</v>
      </c>
      <c r="E21" s="175">
        <f t="shared" si="0"/>
        <v>26</v>
      </c>
    </row>
    <row r="22" spans="1:5">
      <c r="A22" s="174" t="s">
        <v>444</v>
      </c>
      <c r="B22" s="175">
        <v>45</v>
      </c>
      <c r="C22" s="176">
        <v>2</v>
      </c>
      <c r="D22" s="176">
        <v>3</v>
      </c>
      <c r="E22" s="175">
        <f>B22*C22/D22</f>
        <v>30</v>
      </c>
    </row>
    <row r="23" spans="1:5" ht="25.5">
      <c r="A23" s="174" t="s">
        <v>445</v>
      </c>
      <c r="B23" s="175">
        <v>15</v>
      </c>
      <c r="C23" s="176">
        <v>1</v>
      </c>
      <c r="D23" s="176">
        <v>5</v>
      </c>
      <c r="E23" s="175">
        <f t="shared" ref="E23:E31" si="1">B23/D23*C23</f>
        <v>3</v>
      </c>
    </row>
    <row r="24" spans="1:5">
      <c r="A24" s="174" t="s">
        <v>446</v>
      </c>
      <c r="B24" s="175">
        <v>1750</v>
      </c>
      <c r="C24" s="176">
        <v>1</v>
      </c>
      <c r="D24" s="176">
        <v>7</v>
      </c>
      <c r="E24" s="175">
        <f t="shared" si="1"/>
        <v>250</v>
      </c>
    </row>
    <row r="25" spans="1:5">
      <c r="A25" s="174" t="s">
        <v>447</v>
      </c>
      <c r="B25" s="175">
        <v>250</v>
      </c>
      <c r="C25" s="176">
        <v>1</v>
      </c>
      <c r="D25" s="176">
        <v>7</v>
      </c>
      <c r="E25" s="175">
        <f t="shared" si="1"/>
        <v>35.714285714285715</v>
      </c>
    </row>
    <row r="26" spans="1:5">
      <c r="A26" s="174" t="s">
        <v>448</v>
      </c>
      <c r="B26" s="175">
        <v>50</v>
      </c>
      <c r="C26" s="176">
        <v>2</v>
      </c>
      <c r="D26" s="176">
        <v>2</v>
      </c>
      <c r="E26" s="175">
        <f t="shared" si="1"/>
        <v>50</v>
      </c>
    </row>
    <row r="27" spans="1:5">
      <c r="A27" s="174" t="s">
        <v>449</v>
      </c>
      <c r="B27" s="175">
        <v>100</v>
      </c>
      <c r="C27" s="176">
        <v>1</v>
      </c>
      <c r="D27" s="176">
        <v>1</v>
      </c>
      <c r="E27" s="175">
        <f t="shared" si="1"/>
        <v>100</v>
      </c>
    </row>
    <row r="28" spans="1:5">
      <c r="A28" s="174" t="s">
        <v>450</v>
      </c>
      <c r="B28" s="175">
        <v>160</v>
      </c>
      <c r="C28" s="176">
        <v>1</v>
      </c>
      <c r="D28" s="176">
        <v>7</v>
      </c>
      <c r="E28" s="175">
        <f t="shared" si="1"/>
        <v>22.857142857142858</v>
      </c>
    </row>
    <row r="29" spans="1:5">
      <c r="A29" s="174" t="s">
        <v>451</v>
      </c>
      <c r="B29" s="175">
        <v>60</v>
      </c>
      <c r="C29" s="176">
        <v>1</v>
      </c>
      <c r="D29" s="176">
        <v>2</v>
      </c>
      <c r="E29" s="175">
        <f t="shared" si="1"/>
        <v>30</v>
      </c>
    </row>
    <row r="30" spans="1:5">
      <c r="A30" s="174" t="s">
        <v>452</v>
      </c>
      <c r="B30" s="175">
        <v>300</v>
      </c>
      <c r="C30" s="176">
        <v>1</v>
      </c>
      <c r="D30" s="176">
        <v>7</v>
      </c>
      <c r="E30" s="175">
        <f t="shared" si="1"/>
        <v>42.857142857142854</v>
      </c>
    </row>
    <row r="31" spans="1:5">
      <c r="A31" s="174" t="s">
        <v>453</v>
      </c>
      <c r="B31" s="175">
        <v>350</v>
      </c>
      <c r="C31" s="176">
        <v>1</v>
      </c>
      <c r="D31" s="176">
        <v>7</v>
      </c>
      <c r="E31" s="175">
        <f t="shared" si="1"/>
        <v>50</v>
      </c>
    </row>
    <row r="32" spans="1:5">
      <c r="A32" s="174" t="s">
        <v>454</v>
      </c>
      <c r="B32" s="175">
        <v>150</v>
      </c>
      <c r="C32" s="176">
        <v>1</v>
      </c>
      <c r="D32" s="176">
        <v>7</v>
      </c>
      <c r="E32" s="175">
        <f>B32/D32*C32</f>
        <v>21.428571428571427</v>
      </c>
    </row>
    <row r="33" spans="1:5">
      <c r="A33" s="174" t="s">
        <v>455</v>
      </c>
      <c r="B33" s="175">
        <v>50</v>
      </c>
      <c r="C33" s="176">
        <v>2</v>
      </c>
      <c r="D33" s="176">
        <v>2</v>
      </c>
      <c r="E33" s="175">
        <f>B33/D33*C33</f>
        <v>50</v>
      </c>
    </row>
    <row r="34" spans="1:5">
      <c r="A34" s="267" t="s">
        <v>456</v>
      </c>
      <c r="B34" s="273"/>
      <c r="C34" s="274"/>
      <c r="D34" s="274"/>
      <c r="E34" s="273">
        <f>E35/12</f>
        <v>96.498809523809499</v>
      </c>
    </row>
    <row r="35" spans="1:5">
      <c r="A35" s="267" t="s">
        <v>174</v>
      </c>
      <c r="B35" s="273"/>
      <c r="C35" s="274"/>
      <c r="D35" s="274"/>
      <c r="E35" s="273">
        <f>SUM(E4:E33)</f>
        <v>1157.985714285714</v>
      </c>
    </row>
    <row r="36" spans="1:5">
      <c r="E36" s="172"/>
    </row>
    <row r="37" spans="1:5">
      <c r="A37" s="556" t="s">
        <v>457</v>
      </c>
      <c r="B37" s="557"/>
      <c r="C37" s="557"/>
      <c r="D37" s="558"/>
    </row>
    <row r="38" spans="1:5" ht="25.5">
      <c r="A38" s="177"/>
      <c r="B38" s="178" t="s">
        <v>347</v>
      </c>
      <c r="C38" s="178" t="s">
        <v>458</v>
      </c>
      <c r="D38" s="178" t="s">
        <v>459</v>
      </c>
    </row>
    <row r="39" spans="1:5">
      <c r="A39" s="179" t="s">
        <v>460</v>
      </c>
      <c r="B39" s="180">
        <v>0.25</v>
      </c>
      <c r="C39" s="181">
        <v>20</v>
      </c>
      <c r="D39" s="182">
        <f>B39*C39</f>
        <v>5</v>
      </c>
    </row>
    <row r="40" spans="1:5" ht="25.5">
      <c r="A40" s="179" t="s">
        <v>461</v>
      </c>
      <c r="B40" s="180">
        <v>0.15</v>
      </c>
      <c r="C40" s="181">
        <v>5</v>
      </c>
      <c r="D40" s="182">
        <f>B40*C40</f>
        <v>0.75</v>
      </c>
    </row>
    <row r="41" spans="1:5">
      <c r="A41" s="179" t="s">
        <v>462</v>
      </c>
      <c r="B41" s="180">
        <v>7.0000000000000007E-2</v>
      </c>
      <c r="C41" s="181">
        <v>100</v>
      </c>
      <c r="D41" s="182">
        <f>B41*C41</f>
        <v>7.0000000000000009</v>
      </c>
    </row>
    <row r="42" spans="1:5">
      <c r="A42" s="179" t="s">
        <v>463</v>
      </c>
      <c r="B42" s="180">
        <v>1</v>
      </c>
      <c r="C42" s="181">
        <v>10</v>
      </c>
      <c r="D42" s="182">
        <f>B42*C42</f>
        <v>10</v>
      </c>
    </row>
    <row r="43" spans="1:5">
      <c r="A43" s="179" t="s">
        <v>464</v>
      </c>
      <c r="B43" s="180">
        <v>0</v>
      </c>
      <c r="C43" s="181">
        <v>0</v>
      </c>
      <c r="D43" s="182">
        <f t="shared" ref="D43:D54" si="2">B43*C43</f>
        <v>0</v>
      </c>
    </row>
    <row r="44" spans="1:5" ht="25.5">
      <c r="A44" s="179" t="s">
        <v>465</v>
      </c>
      <c r="B44" s="180">
        <v>12.5</v>
      </c>
      <c r="C44" s="183">
        <v>0.25</v>
      </c>
      <c r="D44" s="182">
        <f>B44*C44</f>
        <v>3.125</v>
      </c>
    </row>
    <row r="45" spans="1:5">
      <c r="A45" s="179" t="s">
        <v>466</v>
      </c>
      <c r="B45" s="180">
        <v>35</v>
      </c>
      <c r="C45" s="181">
        <v>0.25</v>
      </c>
      <c r="D45" s="182">
        <f>B45*C45</f>
        <v>8.75</v>
      </c>
    </row>
    <row r="46" spans="1:5">
      <c r="A46" s="179" t="s">
        <v>467</v>
      </c>
      <c r="B46" s="180">
        <v>0.53</v>
      </c>
      <c r="C46" s="184">
        <v>1</v>
      </c>
      <c r="D46" s="182">
        <f t="shared" si="2"/>
        <v>0.53</v>
      </c>
    </row>
    <row r="47" spans="1:5">
      <c r="A47" s="179" t="s">
        <v>468</v>
      </c>
      <c r="B47" s="180">
        <v>2.2999999999999998</v>
      </c>
      <c r="C47" s="181">
        <v>0.25</v>
      </c>
      <c r="D47" s="182">
        <f t="shared" si="2"/>
        <v>0.57499999999999996</v>
      </c>
    </row>
    <row r="48" spans="1:5" ht="25.5">
      <c r="A48" s="179" t="s">
        <v>469</v>
      </c>
      <c r="B48" s="180">
        <v>1.35</v>
      </c>
      <c r="C48" s="181">
        <v>0.05</v>
      </c>
      <c r="D48" s="182">
        <f t="shared" si="2"/>
        <v>6.7500000000000004E-2</v>
      </c>
    </row>
    <row r="49" spans="1:4">
      <c r="A49" s="179" t="s">
        <v>470</v>
      </c>
      <c r="B49" s="180">
        <v>2.5</v>
      </c>
      <c r="C49" s="181">
        <v>0.5</v>
      </c>
      <c r="D49" s="182">
        <f t="shared" si="2"/>
        <v>1.25</v>
      </c>
    </row>
    <row r="50" spans="1:4">
      <c r="A50" s="179" t="s">
        <v>471</v>
      </c>
      <c r="B50" s="180">
        <v>0.7</v>
      </c>
      <c r="C50" s="181">
        <v>0.5</v>
      </c>
      <c r="D50" s="182">
        <f t="shared" si="2"/>
        <v>0.35</v>
      </c>
    </row>
    <row r="51" spans="1:4" ht="25.5">
      <c r="A51" s="179" t="s">
        <v>472</v>
      </c>
      <c r="B51" s="180">
        <v>16.940000000000001</v>
      </c>
      <c r="C51" s="181">
        <v>0.25</v>
      </c>
      <c r="D51" s="182">
        <f t="shared" si="2"/>
        <v>4.2350000000000003</v>
      </c>
    </row>
    <row r="52" spans="1:4">
      <c r="A52" s="179" t="s">
        <v>473</v>
      </c>
      <c r="B52" s="180">
        <v>0.5</v>
      </c>
      <c r="C52" s="181">
        <v>0.25</v>
      </c>
      <c r="D52" s="182">
        <f t="shared" si="2"/>
        <v>0.125</v>
      </c>
    </row>
    <row r="53" spans="1:4">
      <c r="A53" s="179" t="s">
        <v>474</v>
      </c>
      <c r="B53" s="180">
        <v>13</v>
      </c>
      <c r="C53" s="181">
        <v>0.05</v>
      </c>
      <c r="D53" s="182">
        <f t="shared" si="2"/>
        <v>0.65</v>
      </c>
    </row>
    <row r="54" spans="1:4">
      <c r="A54" s="179" t="s">
        <v>475</v>
      </c>
      <c r="B54" s="180">
        <v>1.2</v>
      </c>
      <c r="C54" s="181">
        <v>1</v>
      </c>
      <c r="D54" s="182">
        <f t="shared" si="2"/>
        <v>1.2</v>
      </c>
    </row>
    <row r="55" spans="1:4">
      <c r="A55" s="268" t="s">
        <v>456</v>
      </c>
      <c r="B55" s="269"/>
      <c r="C55" s="270"/>
      <c r="D55" s="271">
        <f>SUM(D39:D54)</f>
        <v>43.607500000000009</v>
      </c>
    </row>
    <row r="57" spans="1:4" ht="26.1" customHeight="1">
      <c r="A57" s="559" t="s">
        <v>476</v>
      </c>
      <c r="B57" s="560"/>
      <c r="C57" s="560"/>
      <c r="D57" s="560"/>
    </row>
    <row r="58" spans="1:4" ht="25.5">
      <c r="A58" s="173"/>
      <c r="B58" s="173" t="s">
        <v>347</v>
      </c>
      <c r="C58" s="173" t="s">
        <v>477</v>
      </c>
      <c r="D58" s="173" t="s">
        <v>478</v>
      </c>
    </row>
    <row r="59" spans="1:4">
      <c r="A59" s="187" t="s">
        <v>479</v>
      </c>
      <c r="B59" s="216">
        <v>1</v>
      </c>
      <c r="C59" s="216">
        <v>250</v>
      </c>
      <c r="D59" s="217">
        <f>B59*C59</f>
        <v>250</v>
      </c>
    </row>
    <row r="60" spans="1:4">
      <c r="A60" s="188" t="s">
        <v>480</v>
      </c>
      <c r="B60" s="216">
        <v>7</v>
      </c>
      <c r="C60" s="216">
        <f>3/12*4</f>
        <v>1</v>
      </c>
      <c r="D60" s="217">
        <f t="shared" ref="D60:D64" si="3">B60*C60</f>
        <v>7</v>
      </c>
    </row>
    <row r="61" spans="1:4">
      <c r="A61" s="188" t="s">
        <v>481</v>
      </c>
      <c r="B61" s="216">
        <v>0.05</v>
      </c>
      <c r="C61" s="218">
        <f>100/12*4</f>
        <v>33.333333333333336</v>
      </c>
      <c r="D61" s="217">
        <f t="shared" si="3"/>
        <v>1.666666666666667</v>
      </c>
    </row>
    <row r="62" spans="1:4">
      <c r="A62" s="188" t="s">
        <v>482</v>
      </c>
      <c r="B62" s="216">
        <v>0.25</v>
      </c>
      <c r="C62" s="218">
        <v>44</v>
      </c>
      <c r="D62" s="217">
        <f t="shared" si="3"/>
        <v>11</v>
      </c>
    </row>
    <row r="63" spans="1:4">
      <c r="A63" s="189"/>
      <c r="B63" s="185"/>
      <c r="C63" s="185"/>
      <c r="D63" s="186"/>
    </row>
    <row r="64" spans="1:4">
      <c r="A64" s="187" t="s">
        <v>483</v>
      </c>
      <c r="B64" s="185">
        <v>40</v>
      </c>
      <c r="C64" s="185">
        <v>0.1</v>
      </c>
      <c r="D64" s="186">
        <f t="shared" si="3"/>
        <v>4</v>
      </c>
    </row>
    <row r="65" spans="1:4">
      <c r="A65" s="272" t="s">
        <v>456</v>
      </c>
      <c r="B65" s="269"/>
      <c r="C65" s="269"/>
      <c r="D65" s="271">
        <f>SUM(D59:D64)</f>
        <v>273.66666666666669</v>
      </c>
    </row>
  </sheetData>
  <mergeCells count="3">
    <mergeCell ref="A2:E2"/>
    <mergeCell ref="A37:D37"/>
    <mergeCell ref="A57:D57"/>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28"/>
  <sheetViews>
    <sheetView workbookViewId="0">
      <selection sqref="A1:B1"/>
    </sheetView>
  </sheetViews>
  <sheetFormatPr defaultColWidth="9.140625" defaultRowHeight="12.75"/>
  <cols>
    <col min="1" max="1" width="29.5703125" style="18" customWidth="1"/>
    <col min="2" max="16384" width="9.140625" style="18"/>
  </cols>
  <sheetData>
    <row r="1" spans="1:2">
      <c r="A1" s="559" t="s">
        <v>81</v>
      </c>
      <c r="B1" s="560"/>
    </row>
    <row r="2" spans="1:2" ht="25.5">
      <c r="A2" s="173" t="s">
        <v>484</v>
      </c>
      <c r="B2" s="173" t="s">
        <v>363</v>
      </c>
    </row>
    <row r="3" spans="1:2">
      <c r="A3" s="101" t="s">
        <v>485</v>
      </c>
      <c r="B3" s="102">
        <v>19.72</v>
      </c>
    </row>
    <row r="4" spans="1:2" ht="25.5">
      <c r="A4" s="276" t="s">
        <v>486</v>
      </c>
      <c r="B4" s="102"/>
    </row>
    <row r="5" spans="1:2">
      <c r="A5" s="101" t="s">
        <v>487</v>
      </c>
      <c r="B5" s="102">
        <v>1.85</v>
      </c>
    </row>
    <row r="6" spans="1:2">
      <c r="A6" s="276" t="s">
        <v>488</v>
      </c>
      <c r="B6" s="102"/>
    </row>
    <row r="7" spans="1:2">
      <c r="A7" s="101" t="s">
        <v>489</v>
      </c>
      <c r="B7" s="102">
        <v>4.82</v>
      </c>
    </row>
    <row r="8" spans="1:2">
      <c r="A8" s="276" t="s">
        <v>490</v>
      </c>
      <c r="B8" s="102"/>
    </row>
    <row r="9" spans="1:2">
      <c r="A9" s="101" t="s">
        <v>491</v>
      </c>
      <c r="B9" s="102">
        <v>1.4</v>
      </c>
    </row>
    <row r="10" spans="1:2">
      <c r="A10" s="276" t="s">
        <v>492</v>
      </c>
      <c r="B10" s="102"/>
    </row>
    <row r="11" spans="1:2">
      <c r="A11" s="101" t="s">
        <v>493</v>
      </c>
      <c r="B11" s="102">
        <v>6.05</v>
      </c>
    </row>
    <row r="12" spans="1:2" ht="38.25">
      <c r="A12" s="276" t="s">
        <v>494</v>
      </c>
      <c r="B12" s="102"/>
    </row>
    <row r="13" spans="1:2">
      <c r="A13" s="101" t="s">
        <v>495</v>
      </c>
      <c r="B13" s="102">
        <v>35.700000000000003</v>
      </c>
    </row>
    <row r="14" spans="1:2">
      <c r="A14" s="276" t="s">
        <v>496</v>
      </c>
      <c r="B14" s="102"/>
    </row>
    <row r="15" spans="1:2" ht="25.5">
      <c r="A15" s="101" t="s">
        <v>497</v>
      </c>
      <c r="B15" s="102">
        <v>1.45</v>
      </c>
    </row>
    <row r="16" spans="1:2">
      <c r="A16" s="276" t="s">
        <v>498</v>
      </c>
      <c r="B16" s="102"/>
    </row>
    <row r="17" spans="1:2" ht="38.25">
      <c r="A17" s="101" t="s">
        <v>499</v>
      </c>
      <c r="B17" s="102">
        <v>10.9</v>
      </c>
    </row>
    <row r="18" spans="1:2">
      <c r="A18" s="276" t="s">
        <v>500</v>
      </c>
      <c r="B18" s="102"/>
    </row>
    <row r="19" spans="1:2" ht="25.5">
      <c r="A19" s="101" t="s">
        <v>501</v>
      </c>
      <c r="B19" s="102">
        <v>22.6</v>
      </c>
    </row>
    <row r="20" spans="1:2" ht="25.5">
      <c r="A20" s="276" t="s">
        <v>502</v>
      </c>
      <c r="B20" s="102"/>
    </row>
    <row r="21" spans="1:2">
      <c r="A21" s="101" t="s">
        <v>503</v>
      </c>
      <c r="B21" s="102">
        <v>5.9</v>
      </c>
    </row>
    <row r="22" spans="1:2">
      <c r="A22" s="276" t="s">
        <v>504</v>
      </c>
      <c r="B22" s="102"/>
    </row>
    <row r="23" spans="1:2">
      <c r="A23" s="101" t="s">
        <v>505</v>
      </c>
      <c r="B23" s="102">
        <v>7.15</v>
      </c>
    </row>
    <row r="24" spans="1:2" ht="25.5">
      <c r="A24" s="277" t="s">
        <v>506</v>
      </c>
      <c r="B24" s="102">
        <v>2.2000000000000002</v>
      </c>
    </row>
    <row r="25" spans="1:2" ht="25.5">
      <c r="A25" s="68" t="s">
        <v>507</v>
      </c>
      <c r="B25" s="103">
        <v>23.4</v>
      </c>
    </row>
    <row r="26" spans="1:2">
      <c r="A26" s="68" t="s">
        <v>508</v>
      </c>
      <c r="B26" s="103">
        <v>23.4</v>
      </c>
    </row>
    <row r="27" spans="1:2">
      <c r="A27" s="68" t="s">
        <v>509</v>
      </c>
      <c r="B27" s="103">
        <f>5*4</f>
        <v>20</v>
      </c>
    </row>
    <row r="28" spans="1:2">
      <c r="A28" s="104" t="s">
        <v>510</v>
      </c>
      <c r="B28" s="105">
        <f>SUM(B3:B27)</f>
        <v>186.54000000000002</v>
      </c>
    </row>
  </sheetData>
  <mergeCells count="1">
    <mergeCell ref="A1:B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79998168889431442"/>
  </sheetPr>
  <dimension ref="A1:I16"/>
  <sheetViews>
    <sheetView view="pageLayout" topLeftCell="C5" zoomScaleNormal="100" workbookViewId="0">
      <selection activeCell="H14" sqref="H14"/>
    </sheetView>
  </sheetViews>
  <sheetFormatPr defaultColWidth="8.7109375" defaultRowHeight="12.75"/>
  <cols>
    <col min="1" max="1" width="21.28515625" style="20" customWidth="1"/>
    <col min="2" max="4" width="19.7109375" style="20" customWidth="1"/>
    <col min="5" max="5" width="12.85546875" style="20" customWidth="1"/>
    <col min="6" max="6" width="10.42578125" style="20" customWidth="1"/>
    <col min="7" max="16384" width="8.7109375" style="20"/>
  </cols>
  <sheetData>
    <row r="1" spans="1:9" ht="12.95" customHeight="1">
      <c r="A1" s="559" t="s">
        <v>511</v>
      </c>
      <c r="B1" s="560"/>
      <c r="C1" s="560"/>
      <c r="D1" s="560"/>
      <c r="E1" s="560"/>
      <c r="F1" s="560"/>
    </row>
    <row r="2" spans="1:9" s="453" customFormat="1" ht="25.5">
      <c r="A2" s="444" t="s">
        <v>512</v>
      </c>
      <c r="B2" s="444" t="s">
        <v>513</v>
      </c>
      <c r="C2" s="444" t="s">
        <v>514</v>
      </c>
      <c r="D2" s="444" t="s">
        <v>515</v>
      </c>
      <c r="E2" s="469" t="s">
        <v>516</v>
      </c>
      <c r="F2" s="469" t="s">
        <v>517</v>
      </c>
    </row>
    <row r="3" spans="1:9">
      <c r="A3" s="448" t="s">
        <v>518</v>
      </c>
      <c r="B3" s="146">
        <v>40</v>
      </c>
      <c r="C3" s="445">
        <f>'Minimum Costs'!B8</f>
        <v>927</v>
      </c>
      <c r="D3" s="446">
        <f>C3*12</f>
        <v>11124</v>
      </c>
      <c r="E3" s="447">
        <f>C3/(4*B3)</f>
        <v>5.7937500000000002</v>
      </c>
      <c r="F3" s="447">
        <f t="shared" ref="F3:F4" si="0">E3/60</f>
        <v>9.6562500000000009E-2</v>
      </c>
      <c r="G3" s="86"/>
      <c r="H3" s="86"/>
      <c r="I3" s="86"/>
    </row>
    <row r="4" spans="1:9">
      <c r="A4" s="448" t="s">
        <v>180</v>
      </c>
      <c r="B4" s="146">
        <v>40</v>
      </c>
      <c r="C4" s="445">
        <f>'Minimum Costs'!B9</f>
        <v>685.98</v>
      </c>
      <c r="D4" s="446">
        <f t="shared" ref="D4" si="1">C4*12</f>
        <v>8231.76</v>
      </c>
      <c r="E4" s="447">
        <f t="shared" ref="E4" si="2">C4/(4*B4)</f>
        <v>4.2873749999999999</v>
      </c>
      <c r="F4" s="447">
        <f t="shared" si="0"/>
        <v>7.1456249999999999E-2</v>
      </c>
    </row>
    <row r="5" spans="1:9" ht="13.5" thickBot="1">
      <c r="A5" s="80" t="s">
        <v>519</v>
      </c>
      <c r="B5" s="80"/>
      <c r="C5" s="80"/>
      <c r="D5" s="80"/>
      <c r="E5" s="80"/>
    </row>
    <row r="6" spans="1:9" ht="38.25">
      <c r="A6" s="81" t="s">
        <v>520</v>
      </c>
      <c r="B6" s="82" t="s">
        <v>521</v>
      </c>
      <c r="C6" s="82" t="s">
        <v>522</v>
      </c>
      <c r="D6" s="83" t="s">
        <v>523</v>
      </c>
      <c r="E6" s="83" t="s">
        <v>524</v>
      </c>
    </row>
    <row r="7" spans="1:9">
      <c r="A7" s="46" t="s">
        <v>525</v>
      </c>
      <c r="B7" s="84">
        <f>F4</f>
        <v>7.1456249999999999E-2</v>
      </c>
      <c r="C7" s="145">
        <v>20</v>
      </c>
      <c r="D7" s="85">
        <f t="shared" ref="D7:D8" si="3">C7*B7</f>
        <v>1.429125</v>
      </c>
      <c r="E7" s="85">
        <f>D7*1.15</f>
        <v>1.6434937499999998</v>
      </c>
    </row>
    <row r="8" spans="1:9">
      <c r="A8" s="46" t="s">
        <v>518</v>
      </c>
      <c r="B8" s="84">
        <f>F3</f>
        <v>9.6562500000000009E-2</v>
      </c>
      <c r="C8" s="145">
        <v>20</v>
      </c>
      <c r="D8" s="85">
        <f t="shared" si="3"/>
        <v>1.9312500000000001</v>
      </c>
      <c r="E8" s="85">
        <f>D8*1.15</f>
        <v>2.2209374999999998</v>
      </c>
    </row>
    <row r="9" spans="1:9" ht="13.5" thickBot="1">
      <c r="A9" s="80" t="s">
        <v>526</v>
      </c>
      <c r="B9" s="80"/>
      <c r="C9" s="80"/>
      <c r="D9" s="80"/>
      <c r="E9" s="80"/>
    </row>
    <row r="10" spans="1:9" ht="25.5">
      <c r="A10" s="81" t="s">
        <v>520</v>
      </c>
      <c r="B10" s="82" t="s">
        <v>521</v>
      </c>
      <c r="C10" s="82" t="s">
        <v>522</v>
      </c>
      <c r="D10" s="83"/>
      <c r="E10" s="83" t="s">
        <v>523</v>
      </c>
    </row>
    <row r="11" spans="1:9">
      <c r="A11" s="46" t="s">
        <v>525</v>
      </c>
      <c r="B11" s="84">
        <f>F4</f>
        <v>7.1456249999999999E-2</v>
      </c>
      <c r="C11" s="145">
        <v>15</v>
      </c>
      <c r="D11" s="85"/>
      <c r="E11" s="85">
        <f>B11*C11</f>
        <v>1.07184375</v>
      </c>
    </row>
    <row r="12" spans="1:9">
      <c r="A12" s="46" t="s">
        <v>518</v>
      </c>
      <c r="B12" s="84">
        <f>F3</f>
        <v>9.6562500000000009E-2</v>
      </c>
      <c r="C12" s="145">
        <v>15</v>
      </c>
      <c r="D12" s="85"/>
      <c r="E12" s="85">
        <f>B12*C12</f>
        <v>1.4484375</v>
      </c>
    </row>
    <row r="13" spans="1:9" ht="13.5" thickBot="1">
      <c r="A13" s="80" t="s">
        <v>527</v>
      </c>
      <c r="B13" s="80"/>
      <c r="C13" s="80"/>
      <c r="D13" s="80"/>
      <c r="E13" s="80"/>
    </row>
    <row r="14" spans="1:9" ht="51">
      <c r="A14" s="81" t="s">
        <v>520</v>
      </c>
      <c r="B14" s="82" t="s">
        <v>521</v>
      </c>
      <c r="C14" s="82" t="s">
        <v>522</v>
      </c>
      <c r="D14" s="83" t="s">
        <v>523</v>
      </c>
      <c r="E14" s="83" t="s">
        <v>528</v>
      </c>
    </row>
    <row r="15" spans="1:9">
      <c r="A15" s="46" t="s">
        <v>525</v>
      </c>
      <c r="B15" s="84">
        <f>B11</f>
        <v>7.1456249999999999E-2</v>
      </c>
      <c r="C15" s="145">
        <v>60</v>
      </c>
      <c r="D15" s="85">
        <f>C15*B15</f>
        <v>4.2873749999999999</v>
      </c>
      <c r="E15" s="85">
        <f>B15*C15*1.2</f>
        <v>5.1448499999999999</v>
      </c>
    </row>
    <row r="16" spans="1:9">
      <c r="A16" s="46" t="s">
        <v>518</v>
      </c>
      <c r="B16" s="84">
        <f>B12</f>
        <v>9.6562500000000009E-2</v>
      </c>
      <c r="C16" s="145">
        <v>60</v>
      </c>
      <c r="D16" s="85">
        <f>C16*B16</f>
        <v>5.7937500000000002</v>
      </c>
      <c r="E16" s="85">
        <f>B16*C16*1.2</f>
        <v>6.9524999999999997</v>
      </c>
    </row>
  </sheetData>
  <mergeCells count="1">
    <mergeCell ref="A1:F1"/>
  </mergeCells>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D29"/>
  <sheetViews>
    <sheetView workbookViewId="0">
      <selection activeCell="F9" sqref="F9"/>
    </sheetView>
  </sheetViews>
  <sheetFormatPr defaultColWidth="14.42578125" defaultRowHeight="12.75"/>
  <cols>
    <col min="1" max="1" width="48.5703125" style="20" customWidth="1"/>
    <col min="2" max="2" width="15.140625" style="20" customWidth="1"/>
    <col min="3" max="16384" width="14.42578125" style="20"/>
  </cols>
  <sheetData>
    <row r="1" spans="1:4">
      <c r="A1" s="518" t="s">
        <v>529</v>
      </c>
      <c r="B1" s="519"/>
      <c r="C1" s="519"/>
      <c r="D1" s="519"/>
    </row>
    <row r="2" spans="1:4">
      <c r="A2" s="363" t="s">
        <v>530</v>
      </c>
      <c r="B2" s="363" t="s">
        <v>531</v>
      </c>
      <c r="C2" s="364" t="s">
        <v>532</v>
      </c>
      <c r="D2" s="364" t="s">
        <v>13</v>
      </c>
    </row>
    <row r="3" spans="1:4">
      <c r="A3" s="243" t="s">
        <v>533</v>
      </c>
      <c r="B3" s="358" t="s">
        <v>534</v>
      </c>
      <c r="C3" s="54" t="s">
        <v>535</v>
      </c>
      <c r="D3" s="54">
        <v>49.599999999999994</v>
      </c>
    </row>
    <row r="4" spans="1:4">
      <c r="A4" s="244">
        <v>2</v>
      </c>
      <c r="B4" s="358" t="s">
        <v>536</v>
      </c>
      <c r="C4" s="54" t="s">
        <v>537</v>
      </c>
      <c r="D4" s="54">
        <v>55.9</v>
      </c>
    </row>
    <row r="5" spans="1:4">
      <c r="A5" s="244">
        <v>3</v>
      </c>
      <c r="B5" s="358" t="s">
        <v>536</v>
      </c>
      <c r="C5" s="54" t="s">
        <v>537</v>
      </c>
      <c r="D5" s="54">
        <v>55.9</v>
      </c>
    </row>
    <row r="6" spans="1:4">
      <c r="A6" s="244">
        <v>4</v>
      </c>
      <c r="B6" s="358" t="s">
        <v>536</v>
      </c>
      <c r="C6" s="54" t="s">
        <v>537</v>
      </c>
      <c r="D6" s="54">
        <v>55.9</v>
      </c>
    </row>
    <row r="7" spans="1:4">
      <c r="A7" s="244">
        <v>5</v>
      </c>
      <c r="B7" s="358" t="s">
        <v>536</v>
      </c>
      <c r="C7" s="54" t="s">
        <v>537</v>
      </c>
      <c r="D7" s="54">
        <v>55.9</v>
      </c>
    </row>
    <row r="8" spans="1:4">
      <c r="A8" s="244">
        <v>6</v>
      </c>
      <c r="B8" s="358" t="s">
        <v>538</v>
      </c>
      <c r="C8" s="54" t="s">
        <v>539</v>
      </c>
      <c r="D8" s="54">
        <v>64.800000000000011</v>
      </c>
    </row>
    <row r="9" spans="1:4">
      <c r="A9" s="244">
        <v>7</v>
      </c>
      <c r="B9" s="358" t="s">
        <v>538</v>
      </c>
      <c r="C9" s="54" t="s">
        <v>539</v>
      </c>
      <c r="D9" s="54">
        <v>64.800000000000011</v>
      </c>
    </row>
    <row r="10" spans="1:4">
      <c r="A10" s="244">
        <v>8</v>
      </c>
      <c r="B10" s="358" t="s">
        <v>538</v>
      </c>
      <c r="C10" s="54" t="s">
        <v>539</v>
      </c>
      <c r="D10" s="54">
        <v>64.800000000000011</v>
      </c>
    </row>
    <row r="11" spans="1:4">
      <c r="A11" s="244">
        <v>9</v>
      </c>
      <c r="B11" s="358" t="s">
        <v>538</v>
      </c>
      <c r="C11" s="54" t="s">
        <v>539</v>
      </c>
      <c r="D11" s="54">
        <v>64.800000000000011</v>
      </c>
    </row>
    <row r="12" spans="1:4">
      <c r="A12" s="244">
        <v>10</v>
      </c>
      <c r="B12" s="358" t="s">
        <v>540</v>
      </c>
      <c r="C12" s="54" t="s">
        <v>541</v>
      </c>
      <c r="D12" s="54">
        <v>56.2</v>
      </c>
    </row>
    <row r="13" spans="1:4">
      <c r="A13" s="244">
        <v>11</v>
      </c>
      <c r="B13" s="358" t="s">
        <v>540</v>
      </c>
      <c r="C13" s="54" t="s">
        <v>541</v>
      </c>
      <c r="D13" s="54">
        <v>56.2</v>
      </c>
    </row>
    <row r="14" spans="1:4">
      <c r="A14" s="244">
        <v>12</v>
      </c>
      <c r="B14" s="358" t="s">
        <v>540</v>
      </c>
      <c r="C14" s="54" t="s">
        <v>541</v>
      </c>
      <c r="D14" s="54">
        <v>56.2</v>
      </c>
    </row>
    <row r="15" spans="1:4">
      <c r="A15" s="244">
        <v>13</v>
      </c>
      <c r="B15" s="358" t="s">
        <v>540</v>
      </c>
      <c r="C15" s="54" t="s">
        <v>541</v>
      </c>
      <c r="D15" s="54">
        <v>56.2</v>
      </c>
    </row>
    <row r="16" spans="1:4">
      <c r="A16" s="244">
        <v>14</v>
      </c>
      <c r="B16" s="358" t="s">
        <v>542</v>
      </c>
      <c r="C16" s="54" t="s">
        <v>543</v>
      </c>
      <c r="D16" s="54">
        <v>51.400000000000006</v>
      </c>
    </row>
    <row r="17" spans="1:4">
      <c r="A17" s="243" t="s">
        <v>544</v>
      </c>
      <c r="B17" s="358" t="s">
        <v>545</v>
      </c>
      <c r="C17" s="54" t="s">
        <v>546</v>
      </c>
      <c r="D17" s="54">
        <v>154.19999999999999</v>
      </c>
    </row>
    <row r="18" spans="1:4">
      <c r="A18" s="243" t="s">
        <v>547</v>
      </c>
      <c r="B18" s="359" t="s">
        <v>548</v>
      </c>
      <c r="C18" s="54" t="s">
        <v>549</v>
      </c>
      <c r="D18" s="54">
        <v>1000.4000000000001</v>
      </c>
    </row>
    <row r="19" spans="1:4">
      <c r="A19" s="243" t="s">
        <v>550</v>
      </c>
      <c r="B19" s="359" t="s">
        <v>551</v>
      </c>
      <c r="C19" s="54" t="s">
        <v>552</v>
      </c>
      <c r="D19" s="54">
        <v>474.7</v>
      </c>
    </row>
    <row r="20" spans="1:4">
      <c r="A20" s="243" t="s">
        <v>553</v>
      </c>
      <c r="B20" s="359" t="s">
        <v>554</v>
      </c>
      <c r="C20" s="54" t="s">
        <v>555</v>
      </c>
      <c r="D20" s="54">
        <v>725.5</v>
      </c>
    </row>
    <row r="21" spans="1:4">
      <c r="A21" s="243" t="s">
        <v>556</v>
      </c>
      <c r="B21" s="359" t="s">
        <v>557</v>
      </c>
      <c r="C21" s="54" t="s">
        <v>558</v>
      </c>
      <c r="D21" s="54">
        <v>557.20000000000005</v>
      </c>
    </row>
    <row r="22" spans="1:4">
      <c r="A22" s="144" t="s">
        <v>13</v>
      </c>
      <c r="B22" s="361" t="s">
        <v>559</v>
      </c>
      <c r="C22" s="362" t="s">
        <v>560</v>
      </c>
      <c r="D22" s="362">
        <v>3720.2</v>
      </c>
    </row>
    <row r="23" spans="1:4">
      <c r="A23" s="354"/>
      <c r="B23" s="354"/>
      <c r="C23" s="66"/>
      <c r="D23" s="54"/>
    </row>
    <row r="24" spans="1:4" ht="25.5">
      <c r="A24" s="355" t="s">
        <v>561</v>
      </c>
      <c r="B24" s="360" t="s">
        <v>562</v>
      </c>
      <c r="C24" s="360" t="s">
        <v>563</v>
      </c>
    </row>
    <row r="25" spans="1:4" ht="38.25">
      <c r="A25" s="365" t="s">
        <v>564</v>
      </c>
      <c r="B25" s="356">
        <f>C25*$D$22*1000</f>
        <v>408035.49365957448</v>
      </c>
      <c r="C25" s="357">
        <v>0.10968106382978723</v>
      </c>
    </row>
    <row r="26" spans="1:4" ht="25.5">
      <c r="A26" s="365" t="s">
        <v>565</v>
      </c>
      <c r="B26" s="356">
        <f t="shared" ref="B26:B27" si="0">C26*$D$22*1000</f>
        <v>931367.9006382979</v>
      </c>
      <c r="C26" s="357">
        <v>0.25035425531914896</v>
      </c>
    </row>
    <row r="27" spans="1:4">
      <c r="A27" s="365" t="s">
        <v>566</v>
      </c>
      <c r="B27" s="356">
        <f t="shared" si="0"/>
        <v>21747.339361702128</v>
      </c>
      <c r="C27" s="357">
        <v>5.8457446808510638E-3</v>
      </c>
    </row>
    <row r="28" spans="1:4">
      <c r="A28" s="366" t="s">
        <v>13</v>
      </c>
      <c r="B28" s="356">
        <f>SUM(B25:B27)</f>
        <v>1361150.7336595745</v>
      </c>
      <c r="C28" s="357">
        <v>0.36588106382978725</v>
      </c>
    </row>
    <row r="29" spans="1:4">
      <c r="A29" s="143"/>
      <c r="B29" s="143"/>
      <c r="C29" s="228"/>
    </row>
  </sheetData>
  <mergeCells count="1">
    <mergeCell ref="A1:D1"/>
  </mergeCells>
  <pageMargins left="0.7" right="0.7" top="0.75" bottom="0.75" header="0" footer="0"/>
  <pageSetup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L56"/>
  <sheetViews>
    <sheetView workbookViewId="0">
      <selection activeCell="A5" sqref="A5"/>
    </sheetView>
  </sheetViews>
  <sheetFormatPr defaultColWidth="8.7109375" defaultRowHeight="12.75"/>
  <cols>
    <col min="1" max="1" width="35.85546875" style="20" customWidth="1"/>
    <col min="2" max="2" width="12.5703125" style="20" customWidth="1"/>
    <col min="3" max="3" width="15.28515625" style="20" customWidth="1"/>
    <col min="4" max="4" width="13.28515625" style="53" customWidth="1"/>
    <col min="5" max="5" width="9.42578125" style="53" customWidth="1"/>
    <col min="6" max="6" width="10.28515625" style="20" customWidth="1"/>
    <col min="7" max="7" width="8.7109375" style="20"/>
    <col min="8" max="8" width="29.5703125" style="20" customWidth="1"/>
    <col min="9" max="9" width="13.42578125" style="53" customWidth="1"/>
    <col min="10" max="10" width="13.5703125" style="53" customWidth="1"/>
    <col min="11" max="11" width="12.85546875" style="20" customWidth="1"/>
    <col min="12" max="12" width="15.140625" style="20" customWidth="1"/>
    <col min="13" max="16384" width="8.7109375" style="20"/>
  </cols>
  <sheetData>
    <row r="1" spans="1:12">
      <c r="A1" s="561" t="s">
        <v>567</v>
      </c>
      <c r="B1" s="562"/>
      <c r="C1" s="562"/>
      <c r="D1" s="562"/>
      <c r="E1" s="562"/>
      <c r="F1" s="562"/>
      <c r="G1" s="562"/>
      <c r="H1" s="562"/>
      <c r="I1" s="562"/>
      <c r="J1" s="562"/>
      <c r="K1" s="562"/>
      <c r="L1" s="563"/>
    </row>
    <row r="2" spans="1:12" ht="28.5" customHeight="1">
      <c r="A2" s="191" t="s">
        <v>48</v>
      </c>
      <c r="B2" s="191" t="s">
        <v>568</v>
      </c>
      <c r="C2" s="191" t="s">
        <v>569</v>
      </c>
      <c r="D2" s="280" t="s">
        <v>570</v>
      </c>
      <c r="E2" s="486" t="s">
        <v>571</v>
      </c>
      <c r="F2" s="233" t="s">
        <v>572</v>
      </c>
      <c r="H2" s="190" t="s">
        <v>573</v>
      </c>
    </row>
    <row r="3" spans="1:12">
      <c r="A3" s="191" t="s">
        <v>574</v>
      </c>
      <c r="B3" s="357">
        <v>1</v>
      </c>
      <c r="C3" s="87"/>
      <c r="D3" s="21"/>
      <c r="E3" s="21"/>
      <c r="F3" s="21"/>
      <c r="H3" s="191"/>
      <c r="I3" s="280" t="s">
        <v>272</v>
      </c>
      <c r="J3" s="280" t="s">
        <v>575</v>
      </c>
      <c r="K3" s="280" t="s">
        <v>569</v>
      </c>
      <c r="L3" s="280" t="s">
        <v>570</v>
      </c>
    </row>
    <row r="4" spans="1:12">
      <c r="A4" s="191" t="s">
        <v>576</v>
      </c>
      <c r="B4" s="21">
        <v>2500</v>
      </c>
      <c r="C4" s="210">
        <v>2.0008281973280253</v>
      </c>
      <c r="D4" s="200">
        <v>89321772.716396645</v>
      </c>
      <c r="E4" s="357">
        <f>D4/$D$16</f>
        <v>0.82787357394294003</v>
      </c>
      <c r="F4" s="200"/>
      <c r="H4" s="191" t="s">
        <v>577</v>
      </c>
      <c r="I4" s="21"/>
      <c r="J4" s="21"/>
      <c r="K4" s="147">
        <v>6.0918711342555847</v>
      </c>
      <c r="L4" s="150">
        <v>55846673.044640623</v>
      </c>
    </row>
    <row r="5" spans="1:12">
      <c r="A5" s="191" t="s">
        <v>578</v>
      </c>
      <c r="B5" s="21"/>
      <c r="C5" s="100">
        <v>1.4348281973280252</v>
      </c>
      <c r="D5" s="199">
        <v>64054174.316396639</v>
      </c>
      <c r="E5" s="357">
        <f t="shared" ref="E5:E15" si="0">D5/$D$16</f>
        <v>0.59368233079799781</v>
      </c>
      <c r="F5" s="357">
        <f>D5/$D$4</f>
        <v>0.71711714141381255</v>
      </c>
      <c r="H5" s="476" t="s">
        <v>579</v>
      </c>
      <c r="I5" s="199">
        <v>11774</v>
      </c>
      <c r="J5" s="474">
        <v>0.5</v>
      </c>
      <c r="K5" s="21"/>
      <c r="L5" s="21"/>
    </row>
    <row r="6" spans="1:12">
      <c r="A6" s="191" t="s">
        <v>12</v>
      </c>
      <c r="B6" s="21"/>
      <c r="C6" s="100">
        <v>0.56600000000000017</v>
      </c>
      <c r="D6" s="199">
        <v>25267598.400000006</v>
      </c>
      <c r="E6" s="357">
        <f t="shared" si="0"/>
        <v>0.2341912431449423</v>
      </c>
      <c r="F6" s="357">
        <f t="shared" ref="F6:F13" si="1">D6/$D$4</f>
        <v>0.28288285858618745</v>
      </c>
      <c r="H6" s="476" t="s">
        <v>580</v>
      </c>
      <c r="I6" s="199">
        <v>76672</v>
      </c>
      <c r="J6" s="474">
        <v>0.7</v>
      </c>
      <c r="K6" s="21"/>
      <c r="L6" s="21"/>
    </row>
    <row r="7" spans="1:12">
      <c r="A7" s="191" t="s">
        <v>581</v>
      </c>
      <c r="B7" s="21" t="s">
        <v>582</v>
      </c>
      <c r="C7" s="198">
        <v>0.60416666666666663</v>
      </c>
      <c r="D7" s="199">
        <v>26971450</v>
      </c>
      <c r="E7" s="357">
        <f t="shared" si="0"/>
        <v>0.24998329104841449</v>
      </c>
      <c r="F7" s="357">
        <f t="shared" si="1"/>
        <v>0.3019582928076941</v>
      </c>
      <c r="H7" s="476" t="s">
        <v>583</v>
      </c>
      <c r="I7" s="199">
        <v>1117792</v>
      </c>
      <c r="J7" s="474">
        <v>0.7</v>
      </c>
      <c r="K7" s="21"/>
      <c r="L7" s="21"/>
    </row>
    <row r="8" spans="1:12">
      <c r="A8" s="191" t="s">
        <v>584</v>
      </c>
      <c r="B8" s="198">
        <v>927</v>
      </c>
      <c r="C8" s="21"/>
      <c r="D8" s="21"/>
      <c r="E8" s="357"/>
      <c r="F8" s="357"/>
      <c r="H8" s="477" t="s">
        <v>585</v>
      </c>
      <c r="I8" s="199"/>
      <c r="J8" s="474"/>
      <c r="K8" s="147">
        <v>2.1007741330069192</v>
      </c>
      <c r="L8" s="150">
        <v>19258655.273740001</v>
      </c>
    </row>
    <row r="9" spans="1:12">
      <c r="A9" s="191" t="s">
        <v>586</v>
      </c>
      <c r="B9" s="198">
        <v>685.98</v>
      </c>
      <c r="C9" s="21"/>
      <c r="D9" s="21"/>
      <c r="E9" s="357"/>
      <c r="F9" s="357"/>
      <c r="H9" s="477" t="s">
        <v>587</v>
      </c>
      <c r="I9" s="199"/>
      <c r="J9" s="474"/>
      <c r="K9" s="147">
        <v>2.0596198521841087</v>
      </c>
      <c r="L9" s="150">
        <v>18881377.1575673</v>
      </c>
    </row>
    <row r="10" spans="1:12">
      <c r="A10" s="191" t="s">
        <v>588</v>
      </c>
      <c r="B10" s="198"/>
      <c r="C10" s="100">
        <f>'Minimum Costs'!H22</f>
        <v>0.91911802542018295</v>
      </c>
      <c r="D10" s="199">
        <f>C10*12*'Capitation Summary'!$B$4</f>
        <v>41031634.538017973</v>
      </c>
      <c r="E10" s="357">
        <f t="shared" si="0"/>
        <v>0.38029928086586084</v>
      </c>
      <c r="F10" s="357">
        <f t="shared" si="1"/>
        <v>0.45936878870839815</v>
      </c>
      <c r="H10" s="475"/>
      <c r="K10" s="424"/>
      <c r="L10" s="424"/>
    </row>
    <row r="11" spans="1:12">
      <c r="A11" s="191" t="s">
        <v>422</v>
      </c>
      <c r="B11" s="198"/>
      <c r="C11" s="100">
        <v>0.17172719047619048</v>
      </c>
      <c r="D11" s="199">
        <f>C11*12*'Capitation Summary'!$B$4</f>
        <v>7666313.9281142866</v>
      </c>
      <c r="E11" s="357">
        <f t="shared" si="0"/>
        <v>7.1054777772804487E-2</v>
      </c>
      <c r="F11" s="357">
        <f t="shared" si="1"/>
        <v>8.582805395561742E-2</v>
      </c>
      <c r="H11" s="191" t="s">
        <v>589</v>
      </c>
      <c r="I11" s="280" t="s">
        <v>272</v>
      </c>
      <c r="J11" s="280" t="s">
        <v>575</v>
      </c>
      <c r="K11" s="280" t="s">
        <v>569</v>
      </c>
      <c r="L11" s="280" t="s">
        <v>570</v>
      </c>
    </row>
    <row r="12" spans="1:12">
      <c r="A12" s="191" t="s">
        <v>590</v>
      </c>
      <c r="B12" s="198"/>
      <c r="C12" s="100">
        <v>0.34398298143165174</v>
      </c>
      <c r="D12" s="199">
        <f>C12*12*'Capitation Summary'!$B$4</f>
        <v>15356225.850264369</v>
      </c>
      <c r="E12" s="357">
        <f t="shared" si="0"/>
        <v>0.14232827215933233</v>
      </c>
      <c r="F12" s="357">
        <f t="shared" si="1"/>
        <v>0.17192029874979689</v>
      </c>
      <c r="H12" s="476" t="s">
        <v>591</v>
      </c>
      <c r="I12" s="199">
        <v>273200</v>
      </c>
      <c r="J12" s="474">
        <v>0.95</v>
      </c>
      <c r="K12" s="147">
        <v>2.3782610930636889</v>
      </c>
      <c r="L12" s="197">
        <v>7407046.6091249976</v>
      </c>
    </row>
    <row r="13" spans="1:12">
      <c r="A13" s="191" t="s">
        <v>592</v>
      </c>
      <c r="B13" s="21" t="s">
        <v>593</v>
      </c>
      <c r="C13" s="100">
        <v>0.10946666666666667</v>
      </c>
      <c r="D13" s="199">
        <v>407237.89333333337</v>
      </c>
      <c r="E13" s="487">
        <f t="shared" si="0"/>
        <v>3.7744603577149114E-3</v>
      </c>
      <c r="F13" s="487">
        <f t="shared" si="1"/>
        <v>4.559223142898701E-3</v>
      </c>
      <c r="H13" s="476" t="s">
        <v>594</v>
      </c>
      <c r="I13" s="199">
        <v>105500</v>
      </c>
      <c r="J13" s="474">
        <v>0.95</v>
      </c>
      <c r="K13" s="147">
        <v>1.0665167950236965</v>
      </c>
      <c r="L13" s="197">
        <v>1282699.7493749997</v>
      </c>
    </row>
    <row r="14" spans="1:12">
      <c r="A14" s="191" t="s">
        <v>288</v>
      </c>
      <c r="B14" s="474">
        <v>0</v>
      </c>
      <c r="C14" s="21"/>
      <c r="D14" s="199"/>
      <c r="E14" s="357"/>
      <c r="F14" s="199"/>
      <c r="H14" s="476" t="s">
        <v>595</v>
      </c>
      <c r="I14" s="199">
        <v>962800.00000000023</v>
      </c>
      <c r="J14" s="474">
        <v>0.95</v>
      </c>
      <c r="K14" s="147">
        <v>1.2968182946224549</v>
      </c>
      <c r="L14" s="197">
        <v>14233773.856312498</v>
      </c>
    </row>
    <row r="15" spans="1:12">
      <c r="A15" s="191" t="s">
        <v>596</v>
      </c>
      <c r="B15" s="21">
        <v>52</v>
      </c>
      <c r="C15" s="21"/>
      <c r="D15" s="199">
        <v>18571238.399999999</v>
      </c>
      <c r="E15" s="357">
        <f t="shared" si="0"/>
        <v>0.17212642605705999</v>
      </c>
      <c r="F15" s="199"/>
      <c r="H15" s="190"/>
    </row>
    <row r="16" spans="1:12">
      <c r="A16" s="191" t="s">
        <v>597</v>
      </c>
      <c r="B16" s="191"/>
      <c r="C16" s="191"/>
      <c r="D16" s="200">
        <v>107893011.11639664</v>
      </c>
      <c r="E16" s="488"/>
      <c r="F16" s="200"/>
      <c r="H16" s="191" t="s">
        <v>598</v>
      </c>
      <c r="I16" s="280" t="s">
        <v>599</v>
      </c>
      <c r="J16" s="280" t="s">
        <v>600</v>
      </c>
    </row>
    <row r="17" spans="1:11">
      <c r="A17" s="211"/>
      <c r="B17" s="212"/>
      <c r="C17" s="212"/>
      <c r="D17" s="234"/>
      <c r="E17" s="234"/>
      <c r="F17" s="143"/>
      <c r="H17" s="479">
        <v>1</v>
      </c>
      <c r="I17" s="199">
        <v>88178957.438906252</v>
      </c>
      <c r="J17" s="357">
        <f>I17*100%/$L$4-1</f>
        <v>0.57894736842105265</v>
      </c>
    </row>
    <row r="18" spans="1:11">
      <c r="A18" s="191" t="s">
        <v>601</v>
      </c>
      <c r="B18" s="87"/>
      <c r="C18" s="191" t="s">
        <v>599</v>
      </c>
      <c r="D18" s="280" t="s">
        <v>602</v>
      </c>
      <c r="E18" s="485"/>
      <c r="F18" s="227"/>
      <c r="H18" s="479">
        <v>0.8</v>
      </c>
      <c r="I18" s="199">
        <v>70543165.951125026</v>
      </c>
      <c r="J18" s="357">
        <f t="shared" ref="J18:J21" si="2">I18*100%/$L$4-1</f>
        <v>0.2631578947368427</v>
      </c>
    </row>
    <row r="19" spans="1:11">
      <c r="A19" s="192">
        <v>0.9</v>
      </c>
      <c r="B19" s="87"/>
      <c r="C19" s="199">
        <v>80389595.444756985</v>
      </c>
      <c r="D19" s="357">
        <f>C19*100%/$D$4-1</f>
        <v>-9.9999999999999978E-2</v>
      </c>
      <c r="E19" s="484"/>
      <c r="F19" s="225"/>
      <c r="H19" s="479">
        <v>0.7</v>
      </c>
      <c r="I19" s="199">
        <v>61725270.207234368</v>
      </c>
      <c r="J19" s="357">
        <f t="shared" si="2"/>
        <v>0.10526315789473673</v>
      </c>
    </row>
    <row r="20" spans="1:11">
      <c r="A20" s="192">
        <v>0.8</v>
      </c>
      <c r="B20" s="87"/>
      <c r="C20" s="199">
        <v>71457418.17311731</v>
      </c>
      <c r="D20" s="357">
        <f t="shared" ref="D20:D23" si="3">C20*100%/$D$4-1</f>
        <v>-0.20000000000000007</v>
      </c>
      <c r="E20" s="484"/>
      <c r="F20" s="225"/>
      <c r="H20" s="479">
        <v>0.6</v>
      </c>
      <c r="I20" s="199">
        <v>52907374.463343754</v>
      </c>
      <c r="J20" s="357">
        <f t="shared" si="2"/>
        <v>-5.2631578947368363E-2</v>
      </c>
    </row>
    <row r="21" spans="1:11">
      <c r="A21" s="192">
        <v>0.7</v>
      </c>
      <c r="B21" s="87"/>
      <c r="C21" s="199">
        <v>62525240.90147765</v>
      </c>
      <c r="D21" s="357">
        <f>C21*100%/$D$4-1</f>
        <v>-0.30000000000000004</v>
      </c>
      <c r="E21" s="484"/>
      <c r="F21" s="225"/>
      <c r="H21" s="479">
        <v>0.5</v>
      </c>
      <c r="I21" s="199">
        <v>44089478.719453126</v>
      </c>
      <c r="J21" s="357">
        <f t="shared" si="2"/>
        <v>-0.21052631578947367</v>
      </c>
    </row>
    <row r="22" spans="1:11">
      <c r="A22" s="192">
        <v>0.65</v>
      </c>
      <c r="B22" s="87"/>
      <c r="C22" s="199">
        <v>58059152.265657827</v>
      </c>
      <c r="D22" s="357">
        <f t="shared" si="3"/>
        <v>-0.34999999999999987</v>
      </c>
      <c r="E22" s="484"/>
      <c r="F22" s="225"/>
      <c r="K22" s="225"/>
    </row>
    <row r="23" spans="1:11">
      <c r="A23" s="192">
        <v>0.6</v>
      </c>
      <c r="B23" s="87"/>
      <c r="C23" s="199">
        <v>53593063.62983799</v>
      </c>
      <c r="D23" s="357">
        <f t="shared" si="3"/>
        <v>-0.39999999999999991</v>
      </c>
      <c r="E23" s="484"/>
      <c r="F23" s="225"/>
      <c r="H23" s="191" t="s">
        <v>603</v>
      </c>
      <c r="I23" s="280" t="s">
        <v>599</v>
      </c>
      <c r="J23" s="280" t="s">
        <v>600</v>
      </c>
    </row>
    <row r="24" spans="1:11">
      <c r="H24" s="479">
        <v>1</v>
      </c>
      <c r="I24" s="199">
        <v>7796891.1674999977</v>
      </c>
      <c r="J24" s="357">
        <f>I24*100%/$L$12-1</f>
        <v>5.2631578947368363E-2</v>
      </c>
    </row>
    <row r="25" spans="1:11">
      <c r="A25" s="191" t="s">
        <v>604</v>
      </c>
      <c r="B25" s="191" t="s">
        <v>569</v>
      </c>
      <c r="C25" s="191" t="s">
        <v>599</v>
      </c>
      <c r="D25" s="280" t="s">
        <v>602</v>
      </c>
      <c r="E25" s="485"/>
      <c r="F25" s="227"/>
      <c r="H25" s="479">
        <v>0.9</v>
      </c>
      <c r="I25" s="199">
        <v>7017202.0507499976</v>
      </c>
      <c r="J25" s="357">
        <f>I25*100%/$L$12-1</f>
        <v>-5.2631578947368474E-2</v>
      </c>
    </row>
    <row r="26" spans="1:11">
      <c r="A26" s="87">
        <v>1500</v>
      </c>
      <c r="B26" s="100">
        <v>2.957380328880042</v>
      </c>
      <c r="C26" s="199">
        <v>132024555.59399438</v>
      </c>
      <c r="D26" s="357">
        <f>C26*100%/$D$4-1</f>
        <v>0.47807809427587467</v>
      </c>
      <c r="E26" s="484"/>
      <c r="F26" s="225"/>
      <c r="H26" s="479">
        <v>0.8</v>
      </c>
      <c r="I26" s="199">
        <v>6237512.9340000004</v>
      </c>
      <c r="J26" s="357">
        <f t="shared" ref="J26:J27" si="4">I26*100%/$L$12-1</f>
        <v>-0.15789473684210498</v>
      </c>
    </row>
    <row r="27" spans="1:11">
      <c r="A27" s="87">
        <v>2000</v>
      </c>
      <c r="B27" s="100">
        <v>2.3595352466600317</v>
      </c>
      <c r="C27" s="199">
        <v>105335316.29549578</v>
      </c>
      <c r="D27" s="357">
        <f t="shared" ref="D27:D28" si="5">C27*100%/$D$4-1</f>
        <v>0.17927928535345283</v>
      </c>
      <c r="E27" s="484"/>
      <c r="F27" s="225"/>
      <c r="H27" s="479">
        <v>0.7</v>
      </c>
      <c r="I27" s="199">
        <v>5457823.8172499985</v>
      </c>
      <c r="J27" s="357">
        <f t="shared" si="4"/>
        <v>-0.26315789473684204</v>
      </c>
    </row>
    <row r="28" spans="1:11">
      <c r="A28" s="87">
        <v>3000</v>
      </c>
      <c r="B28" s="100">
        <v>1.7616901644400209</v>
      </c>
      <c r="C28" s="199">
        <v>78646076.996997193</v>
      </c>
      <c r="D28" s="357">
        <f t="shared" si="5"/>
        <v>-0.11951952356896889</v>
      </c>
      <c r="E28" s="484"/>
      <c r="F28" s="225"/>
    </row>
    <row r="30" spans="1:11">
      <c r="A30" s="191" t="s">
        <v>12</v>
      </c>
      <c r="B30" s="191" t="s">
        <v>569</v>
      </c>
      <c r="C30" s="191" t="s">
        <v>599</v>
      </c>
      <c r="D30" s="280" t="s">
        <v>600</v>
      </c>
      <c r="E30" s="485"/>
      <c r="F30" s="227"/>
    </row>
    <row r="31" spans="1:11" ht="11.45" customHeight="1">
      <c r="A31" s="87" t="s">
        <v>605</v>
      </c>
      <c r="B31" s="198">
        <v>1.3142222222222222</v>
      </c>
      <c r="C31" s="199">
        <v>58670034.133333333</v>
      </c>
      <c r="D31" s="357">
        <f>C31*100%/$D$6-1</f>
        <v>1.3219473890851976</v>
      </c>
      <c r="E31" s="484"/>
      <c r="F31" s="225"/>
    </row>
    <row r="32" spans="1:11" ht="25.5">
      <c r="A32" s="23" t="s">
        <v>606</v>
      </c>
      <c r="B32" s="198">
        <v>0.39614166666666661</v>
      </c>
      <c r="C32" s="199">
        <v>20457787.129684646</v>
      </c>
      <c r="D32" s="357">
        <f t="shared" ref="D32:D35" si="6">C32*100%/$D$6-1</f>
        <v>-0.19035490410182232</v>
      </c>
      <c r="E32" s="484"/>
      <c r="F32" s="225"/>
    </row>
    <row r="33" spans="1:6" ht="25.5">
      <c r="A33" s="23" t="s">
        <v>607</v>
      </c>
      <c r="B33" s="198">
        <v>0.91995555555555564</v>
      </c>
      <c r="C33" s="199">
        <v>35286220.373071745</v>
      </c>
      <c r="D33" s="357">
        <f t="shared" si="6"/>
        <v>0.39650076016214264</v>
      </c>
      <c r="E33" s="484"/>
      <c r="F33" s="225"/>
    </row>
    <row r="34" spans="1:6" ht="38.25">
      <c r="A34" s="23" t="s">
        <v>608</v>
      </c>
      <c r="B34" s="198">
        <v>0.48389583333333341</v>
      </c>
      <c r="C34" s="199">
        <v>22941983.959604435</v>
      </c>
      <c r="D34" s="357">
        <f t="shared" si="6"/>
        <v>-9.2039393834737027E-2</v>
      </c>
      <c r="E34" s="484"/>
      <c r="F34" s="225"/>
    </row>
    <row r="35" spans="1:6" ht="38.25">
      <c r="A35" s="23" t="s">
        <v>609</v>
      </c>
      <c r="B35" s="198">
        <v>1.0408263888888889</v>
      </c>
      <c r="C35" s="199">
        <v>38707903.381435215</v>
      </c>
      <c r="D35" s="357">
        <f t="shared" si="6"/>
        <v>0.53191857685355659</v>
      </c>
      <c r="E35" s="484"/>
      <c r="F35" s="225"/>
    </row>
    <row r="36" spans="1:6">
      <c r="A36" s="98"/>
      <c r="B36" s="143"/>
      <c r="C36" s="143"/>
    </row>
    <row r="37" spans="1:6">
      <c r="A37" s="233" t="s">
        <v>581</v>
      </c>
      <c r="B37" s="191" t="s">
        <v>569</v>
      </c>
      <c r="C37" s="191" t="s">
        <v>599</v>
      </c>
      <c r="D37" s="280" t="s">
        <v>600</v>
      </c>
      <c r="E37" s="485"/>
      <c r="F37" s="227"/>
    </row>
    <row r="38" spans="1:6" ht="38.25">
      <c r="A38" s="23" t="s">
        <v>402</v>
      </c>
      <c r="B38" s="480">
        <v>0.42291666666666661</v>
      </c>
      <c r="C38" s="199">
        <v>21840517.84570957</v>
      </c>
      <c r="D38" s="357">
        <f>C38*100%/$D$7-1</f>
        <v>-0.19023568085106402</v>
      </c>
      <c r="E38" s="484"/>
      <c r="F38" s="484"/>
    </row>
    <row r="39" spans="1:6" ht="38.25">
      <c r="A39" s="23" t="s">
        <v>403</v>
      </c>
      <c r="B39" s="480">
        <v>0.36249999999999999</v>
      </c>
      <c r="C39" s="199">
        <v>22234039.335258506</v>
      </c>
      <c r="D39" s="357">
        <f>C39*100%/$D$7-1</f>
        <v>-0.17564538297872356</v>
      </c>
      <c r="E39" s="484"/>
      <c r="F39" s="484"/>
    </row>
    <row r="40" spans="1:6">
      <c r="A40" s="143"/>
      <c r="B40" s="143"/>
      <c r="C40" s="143"/>
      <c r="D40" s="484"/>
      <c r="E40" s="484"/>
      <c r="F40" s="225"/>
    </row>
    <row r="41" spans="1:6">
      <c r="A41" s="191" t="s">
        <v>610</v>
      </c>
      <c r="B41" s="191" t="s">
        <v>569</v>
      </c>
      <c r="C41" s="191" t="s">
        <v>599</v>
      </c>
      <c r="D41" s="280" t="s">
        <v>600</v>
      </c>
      <c r="E41" s="485"/>
      <c r="F41" s="227"/>
    </row>
    <row r="42" spans="1:6">
      <c r="A42" s="87" t="s">
        <v>611</v>
      </c>
      <c r="B42" s="472">
        <v>0.85945660834029314</v>
      </c>
      <c r="C42" s="199">
        <f>B42*'Capitation Summary'!$B$4*12</f>
        <v>38368205.692170702</v>
      </c>
      <c r="D42" s="357">
        <f>C42*100%/$D$10-1</f>
        <v>-6.4911595061597271E-2</v>
      </c>
      <c r="E42" s="484"/>
      <c r="F42" s="484"/>
    </row>
    <row r="43" spans="1:6" ht="25.5">
      <c r="A43" s="23" t="s">
        <v>612</v>
      </c>
      <c r="B43" s="472">
        <v>1.0211962959435987</v>
      </c>
      <c r="C43" s="199">
        <f>B43*'Capitation Summary'!$B$4*12</f>
        <v>45588653.522032514</v>
      </c>
      <c r="D43" s="357">
        <f>C43*100%/$D$10-1</f>
        <v>0.11106111261037444</v>
      </c>
      <c r="E43" s="484"/>
      <c r="F43" s="484"/>
    </row>
    <row r="44" spans="1:6">
      <c r="A44" s="87" t="s">
        <v>613</v>
      </c>
      <c r="B44" s="100">
        <v>0.80250547658402205</v>
      </c>
      <c r="C44" s="199">
        <f>B44*'Capitation Summary'!$B$4*12</f>
        <v>35825770.48785454</v>
      </c>
      <c r="D44" s="357">
        <f>C44*100%/$D$10-1</f>
        <v>-0.12687440090498769</v>
      </c>
      <c r="E44" s="484"/>
      <c r="F44" s="484"/>
    </row>
    <row r="45" spans="1:6">
      <c r="A45" s="87" t="s">
        <v>614</v>
      </c>
      <c r="B45" s="100">
        <v>0.8257905323072352</v>
      </c>
      <c r="C45" s="199">
        <f>B45*'Capitation Summary'!$B$4*12</f>
        <v>36865271.259472519</v>
      </c>
      <c r="D45" s="357">
        <f>C45*100%/$D$10-1</f>
        <v>-0.10154027070710769</v>
      </c>
      <c r="E45" s="484"/>
      <c r="F45" s="484"/>
    </row>
    <row r="47" spans="1:6">
      <c r="A47" s="191" t="s">
        <v>615</v>
      </c>
      <c r="B47" s="280" t="s">
        <v>569</v>
      </c>
      <c r="C47" s="280" t="s">
        <v>599</v>
      </c>
      <c r="D47" s="280" t="s">
        <v>602</v>
      </c>
      <c r="E47" s="485"/>
      <c r="F47" s="485"/>
    </row>
    <row r="48" spans="1:6">
      <c r="A48" s="87" t="s">
        <v>616</v>
      </c>
      <c r="B48" s="482">
        <v>2.4168281973280252</v>
      </c>
      <c r="C48" s="148">
        <v>107893011.11639664</v>
      </c>
      <c r="D48" s="357">
        <f>C48*100%/$D$4-1</f>
        <v>0.20791390313048397</v>
      </c>
      <c r="E48" s="484"/>
      <c r="F48" s="484"/>
    </row>
    <row r="49" spans="1:6">
      <c r="A49" s="87" t="s">
        <v>617</v>
      </c>
      <c r="B49" s="482">
        <v>1.8482269335132975</v>
      </c>
      <c r="C49" s="199">
        <v>86547563.156674042</v>
      </c>
      <c r="D49" s="357">
        <f t="shared" ref="D49:D51" si="7">C49*100%/$D$4-1</f>
        <v>-3.1058603914310146E-2</v>
      </c>
      <c r="E49" s="484"/>
      <c r="F49" s="484"/>
    </row>
    <row r="50" spans="1:6">
      <c r="A50" s="87" t="s">
        <v>618</v>
      </c>
      <c r="B50" s="100">
        <v>2.5087787608821395</v>
      </c>
      <c r="C50" s="199">
        <v>111997904.95480482</v>
      </c>
      <c r="D50" s="357">
        <f t="shared" si="7"/>
        <v>0.25387015448525196</v>
      </c>
      <c r="E50" s="484"/>
      <c r="F50" s="484"/>
    </row>
    <row r="51" spans="1:6">
      <c r="A51" s="87" t="s">
        <v>619</v>
      </c>
      <c r="B51" s="100">
        <v>2.0127787608821395</v>
      </c>
      <c r="C51" s="199">
        <v>89855274.554804832</v>
      </c>
      <c r="D51" s="357">
        <f t="shared" si="7"/>
        <v>5.9728084450596519E-3</v>
      </c>
      <c r="E51" s="484"/>
      <c r="F51" s="484"/>
    </row>
    <row r="53" spans="1:6">
      <c r="A53" s="191" t="s">
        <v>620</v>
      </c>
      <c r="B53" s="280" t="s">
        <v>621</v>
      </c>
      <c r="C53" s="280" t="s">
        <v>600</v>
      </c>
    </row>
    <row r="54" spans="1:6">
      <c r="A54" s="481" t="s">
        <v>622</v>
      </c>
      <c r="B54" s="199">
        <v>14285568</v>
      </c>
      <c r="C54" s="357">
        <f>B54*100%/$D$15-1</f>
        <v>-0.23076923076923073</v>
      </c>
    </row>
    <row r="55" spans="1:6">
      <c r="A55" s="481" t="s">
        <v>623</v>
      </c>
      <c r="B55" s="199">
        <v>21428352</v>
      </c>
      <c r="C55" s="357">
        <f t="shared" ref="C55:C56" si="8">B55*100%/$D$15-1</f>
        <v>0.15384615384615397</v>
      </c>
    </row>
    <row r="56" spans="1:6">
      <c r="A56" s="481" t="s">
        <v>624</v>
      </c>
      <c r="B56" s="199">
        <v>24999744</v>
      </c>
      <c r="C56" s="357">
        <f t="shared" si="8"/>
        <v>0.34615384615384626</v>
      </c>
    </row>
  </sheetData>
  <mergeCells count="1">
    <mergeCell ref="A1:L1"/>
  </mergeCells>
  <pageMargins left="0.7" right="0.7" top="0.75" bottom="0.75" header="0.3" footer="0.3"/>
  <pageSetup paperSize="9" orientation="portrait"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G10"/>
  <sheetViews>
    <sheetView tabSelected="1" workbookViewId="0">
      <selection activeCell="F18" sqref="F18"/>
    </sheetView>
  </sheetViews>
  <sheetFormatPr defaultColWidth="8.7109375" defaultRowHeight="12.75"/>
  <cols>
    <col min="1" max="1" width="18.42578125" style="20" customWidth="1"/>
    <col min="2" max="2" width="17" style="20" customWidth="1"/>
    <col min="3" max="3" width="13.85546875" style="20" customWidth="1"/>
    <col min="4" max="4" width="14.85546875" style="20" customWidth="1"/>
    <col min="5" max="5" width="9.85546875" style="20" customWidth="1"/>
    <col min="6" max="6" width="12.42578125" style="20" customWidth="1"/>
    <col min="7" max="7" width="12" style="20" customWidth="1"/>
    <col min="8" max="16384" width="8.7109375" style="20"/>
  </cols>
  <sheetData>
    <row r="1" spans="1:7">
      <c r="A1" s="510" t="s">
        <v>625</v>
      </c>
      <c r="B1" s="511"/>
      <c r="C1" s="511"/>
      <c r="D1" s="511"/>
      <c r="E1" s="511"/>
      <c r="F1" s="511"/>
      <c r="G1" s="511"/>
    </row>
    <row r="2" spans="1:7" ht="51">
      <c r="A2" s="489" t="s">
        <v>48</v>
      </c>
      <c r="B2" s="489" t="s">
        <v>626</v>
      </c>
      <c r="C2" s="489" t="s">
        <v>627</v>
      </c>
      <c r="D2" s="489" t="s">
        <v>628</v>
      </c>
      <c r="E2" s="489" t="s">
        <v>629</v>
      </c>
      <c r="F2" s="489" t="s">
        <v>630</v>
      </c>
      <c r="G2" s="489" t="s">
        <v>631</v>
      </c>
    </row>
    <row r="3" spans="1:7">
      <c r="A3" s="564" t="s">
        <v>632</v>
      </c>
      <c r="B3" s="490" t="s">
        <v>10</v>
      </c>
      <c r="C3" s="564">
        <v>2500</v>
      </c>
      <c r="D3" s="507">
        <f>'Capitation Summary'!F4</f>
        <v>1.4348281973280252</v>
      </c>
      <c r="E3" s="569">
        <f>SUM(D3:D4)</f>
        <v>2.0008281973280253</v>
      </c>
      <c r="F3" s="565">
        <f>E3*C3*12</f>
        <v>60024.845919840758</v>
      </c>
      <c r="G3" s="495">
        <f>D3*C3*12/F8</f>
        <v>0.38093790906395836</v>
      </c>
    </row>
    <row r="4" spans="1:7">
      <c r="A4" s="564"/>
      <c r="B4" s="490" t="s">
        <v>12</v>
      </c>
      <c r="C4" s="564"/>
      <c r="D4" s="507">
        <f>'Capitation Summary'!F5</f>
        <v>0.56600000000000017</v>
      </c>
      <c r="E4" s="564"/>
      <c r="F4" s="566"/>
      <c r="G4" s="495">
        <f>D4*2500*12/F8</f>
        <v>0.15026945869318481</v>
      </c>
    </row>
    <row r="5" spans="1:7" ht="38.25">
      <c r="A5" s="567" t="s">
        <v>633</v>
      </c>
      <c r="B5" s="490" t="s">
        <v>634</v>
      </c>
      <c r="C5" s="491">
        <f>'Capitation Summary'!F12</f>
        <v>810.60023654642225</v>
      </c>
      <c r="D5" s="507"/>
      <c r="E5" s="507">
        <v>6.0918711342555847</v>
      </c>
      <c r="F5" s="491">
        <f>'Capitation Summary'!G12</f>
        <v>37529.348586528024</v>
      </c>
      <c r="G5" s="127">
        <f>F5/F8</f>
        <v>0.33212690796262689</v>
      </c>
    </row>
    <row r="6" spans="1:7" ht="25.5">
      <c r="A6" s="568"/>
      <c r="B6" s="490" t="s">
        <v>635</v>
      </c>
      <c r="C6" s="491">
        <f>'Capitation Summary'!G15</f>
        <v>109.28</v>
      </c>
      <c r="D6" s="506"/>
      <c r="E6" s="507">
        <f>'Capitation Summary'!F15</f>
        <v>2.3782610930636889</v>
      </c>
      <c r="F6" s="491">
        <f>'Capitation Summary'!H15*0.95</f>
        <v>2962.8186436499991</v>
      </c>
      <c r="G6" s="127">
        <f>F6/F8</f>
        <v>2.622032707817204E-2</v>
      </c>
    </row>
    <row r="7" spans="1:7">
      <c r="A7" s="492" t="s">
        <v>636</v>
      </c>
      <c r="B7" s="492"/>
      <c r="C7" s="492"/>
      <c r="D7" s="506"/>
      <c r="E7" s="506"/>
      <c r="F7" s="491">
        <f>1040*12</f>
        <v>12480</v>
      </c>
      <c r="G7" s="127">
        <f>F7/F8</f>
        <v>0.11044539720205805</v>
      </c>
    </row>
    <row r="8" spans="1:7" ht="17.45" customHeight="1">
      <c r="A8" s="493" t="s">
        <v>637</v>
      </c>
      <c r="B8" s="493"/>
      <c r="C8" s="493"/>
      <c r="D8" s="494"/>
      <c r="E8" s="494"/>
      <c r="F8" s="356">
        <f>SUM(F3:F7)</f>
        <v>112997.01315001877</v>
      </c>
      <c r="G8" s="492"/>
    </row>
    <row r="10" spans="1:7" ht="72.599999999999994" customHeight="1"/>
  </sheetData>
  <mergeCells count="6">
    <mergeCell ref="A1:G1"/>
    <mergeCell ref="A3:A4"/>
    <mergeCell ref="F3:F4"/>
    <mergeCell ref="C3:C4"/>
    <mergeCell ref="A5:A6"/>
    <mergeCell ref="E3:E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79998168889431442"/>
  </sheetPr>
  <dimension ref="A1:J35"/>
  <sheetViews>
    <sheetView zoomScale="88" workbookViewId="0">
      <selection activeCell="I7" sqref="I7"/>
    </sheetView>
  </sheetViews>
  <sheetFormatPr defaultColWidth="8.7109375" defaultRowHeight="12.75"/>
  <cols>
    <col min="1" max="1" width="33.7109375" style="20" customWidth="1"/>
    <col min="2" max="2" width="18.85546875" style="20" customWidth="1"/>
    <col min="3" max="3" width="13.42578125" style="20" customWidth="1"/>
    <col min="4" max="4" width="13.28515625" style="20" customWidth="1"/>
    <col min="5" max="5" width="10.140625" style="20" customWidth="1"/>
    <col min="6" max="6" width="10.7109375" style="20" customWidth="1"/>
    <col min="7" max="8" width="10.5703125" style="20" customWidth="1"/>
    <col min="9" max="9" width="10.42578125" style="53" customWidth="1"/>
    <col min="10" max="10" width="39.85546875" style="20" customWidth="1"/>
    <col min="11" max="16384" width="8.7109375" style="20"/>
  </cols>
  <sheetData>
    <row r="1" spans="1:10">
      <c r="A1" s="17" t="s">
        <v>41</v>
      </c>
    </row>
    <row r="2" spans="1:10" s="379" customFormat="1">
      <c r="A2" s="432"/>
      <c r="B2" s="432" t="s">
        <v>42</v>
      </c>
      <c r="C2" s="378"/>
      <c r="D2" s="377"/>
      <c r="I2" s="449"/>
    </row>
    <row r="3" spans="1:10" ht="18.600000000000001" customHeight="1">
      <c r="A3" s="99" t="s">
        <v>43</v>
      </c>
      <c r="B3" s="380">
        <v>242</v>
      </c>
      <c r="C3" s="381"/>
      <c r="D3" s="377"/>
      <c r="E3" s="382"/>
    </row>
    <row r="4" spans="1:10" ht="12.95" customHeight="1">
      <c r="A4" s="99" t="s">
        <v>44</v>
      </c>
      <c r="B4" s="380">
        <v>24</v>
      </c>
      <c r="C4" s="381"/>
      <c r="D4" s="379"/>
      <c r="E4" s="379"/>
      <c r="F4" s="86"/>
    </row>
    <row r="5" spans="1:10">
      <c r="A5" s="383"/>
      <c r="B5" s="379"/>
      <c r="C5" s="377"/>
      <c r="D5" s="384"/>
      <c r="E5" s="379"/>
      <c r="F5" s="379"/>
      <c r="G5" s="379"/>
      <c r="H5" s="53"/>
    </row>
    <row r="6" spans="1:10">
      <c r="A6" s="432" t="s">
        <v>45</v>
      </c>
      <c r="B6" s="432" t="s">
        <v>46</v>
      </c>
      <c r="C6" s="432"/>
      <c r="D6" s="432"/>
      <c r="E6" s="515" t="s">
        <v>47</v>
      </c>
      <c r="F6" s="516"/>
      <c r="G6" s="517"/>
      <c r="H6" s="53"/>
    </row>
    <row r="7" spans="1:10" s="453" customFormat="1" ht="44.45" customHeight="1">
      <c r="A7" s="451"/>
      <c r="B7" s="451" t="s">
        <v>48</v>
      </c>
      <c r="C7" s="451" t="s">
        <v>49</v>
      </c>
      <c r="D7" s="451" t="s">
        <v>50</v>
      </c>
      <c r="E7" s="451" t="s">
        <v>48</v>
      </c>
      <c r="F7" s="451" t="s">
        <v>49</v>
      </c>
      <c r="G7" s="451" t="s">
        <v>50</v>
      </c>
      <c r="H7" s="452"/>
      <c r="I7" s="452"/>
    </row>
    <row r="8" spans="1:10" ht="16.5" customHeight="1">
      <c r="A8" s="99" t="s">
        <v>51</v>
      </c>
      <c r="B8" s="385">
        <v>927</v>
      </c>
      <c r="C8" s="385">
        <v>901.753086419753</v>
      </c>
      <c r="D8" s="385">
        <v>1106.9405833333333</v>
      </c>
      <c r="E8" s="385">
        <v>750</v>
      </c>
      <c r="F8" s="385">
        <f>(C8/1.236)</f>
        <v>729.5736945143633</v>
      </c>
      <c r="G8" s="385">
        <f>(D8*1.236)</f>
        <v>1368.1785609999999</v>
      </c>
      <c r="H8" s="470"/>
    </row>
    <row r="9" spans="1:10">
      <c r="A9" s="99" t="s">
        <v>52</v>
      </c>
      <c r="B9" s="385">
        <v>685.98</v>
      </c>
      <c r="C9" s="385">
        <v>580.44735802469143</v>
      </c>
      <c r="D9" s="385">
        <v>729.79794444444451</v>
      </c>
      <c r="E9" s="385">
        <v>555</v>
      </c>
      <c r="F9" s="385">
        <f>(C9/1.236)</f>
        <v>469.61760357984741</v>
      </c>
      <c r="G9" s="385">
        <f>(D9*1.236)</f>
        <v>902.03025933333345</v>
      </c>
      <c r="H9" s="470"/>
    </row>
    <row r="10" spans="1:10">
      <c r="A10" s="99" t="s">
        <v>53</v>
      </c>
      <c r="B10" s="385"/>
      <c r="C10" s="385">
        <v>291.53137209040187</v>
      </c>
      <c r="D10" s="385"/>
      <c r="E10" s="385"/>
      <c r="F10" s="385">
        <f>(C10/1.236)</f>
        <v>235.8668058983834</v>
      </c>
      <c r="G10" s="385"/>
      <c r="H10" s="470"/>
    </row>
    <row r="11" spans="1:10">
      <c r="A11" s="22"/>
      <c r="B11" s="22"/>
      <c r="C11" s="22"/>
      <c r="D11" s="22"/>
      <c r="E11" s="22"/>
    </row>
    <row r="12" spans="1:10" s="458" customFormat="1" ht="39" thickBot="1">
      <c r="A12" s="433" t="s">
        <v>54</v>
      </c>
      <c r="B12" s="433" t="s">
        <v>55</v>
      </c>
      <c r="C12" s="454" t="s">
        <v>56</v>
      </c>
      <c r="D12" s="454" t="s">
        <v>57</v>
      </c>
      <c r="E12" s="454" t="s">
        <v>58</v>
      </c>
      <c r="F12" s="454" t="s">
        <v>59</v>
      </c>
      <c r="G12" s="455" t="s">
        <v>60</v>
      </c>
      <c r="H12" s="456" t="s">
        <v>61</v>
      </c>
      <c r="I12" s="456" t="s">
        <v>62</v>
      </c>
      <c r="J12" s="457" t="s">
        <v>63</v>
      </c>
    </row>
    <row r="13" spans="1:10">
      <c r="A13" s="386" t="s">
        <v>64</v>
      </c>
      <c r="B13" s="387" t="s">
        <v>65</v>
      </c>
      <c r="C13" s="388" t="s">
        <v>66</v>
      </c>
      <c r="D13" s="388">
        <v>1</v>
      </c>
      <c r="E13" s="471">
        <f>G13/$B$3</f>
        <v>45.966942148760332</v>
      </c>
      <c r="F13" s="389">
        <f>B8*D13</f>
        <v>927</v>
      </c>
      <c r="G13" s="390">
        <f>F13*12</f>
        <v>11124</v>
      </c>
      <c r="H13" s="472">
        <f>G13/'Capitation Summary'!$D$3/12</f>
        <v>0.37080000000000002</v>
      </c>
      <c r="I13" s="357">
        <f t="shared" ref="I13:I30" si="0">G13/$G$33</f>
        <v>0.25842815236731026</v>
      </c>
      <c r="J13" s="87"/>
    </row>
    <row r="14" spans="1:10">
      <c r="A14" s="391"/>
      <c r="B14" s="392" t="s">
        <v>67</v>
      </c>
      <c r="C14" s="393" t="s">
        <v>66</v>
      </c>
      <c r="D14" s="393">
        <v>1</v>
      </c>
      <c r="E14" s="397">
        <f t="shared" ref="E14:E15" si="1">G14/$B$3</f>
        <v>34.015537190082647</v>
      </c>
      <c r="F14" s="394">
        <f>B9*D14</f>
        <v>685.98</v>
      </c>
      <c r="G14" s="394">
        <f t="shared" ref="G14:G15" si="2">F14*12</f>
        <v>8231.76</v>
      </c>
      <c r="H14" s="472">
        <f>G14/'Capitation Summary'!$D$3/12</f>
        <v>0.27439200000000002</v>
      </c>
      <c r="I14" s="357">
        <f t="shared" si="0"/>
        <v>0.19123683275180961</v>
      </c>
      <c r="J14" s="87"/>
    </row>
    <row r="15" spans="1:10">
      <c r="A15" s="391"/>
      <c r="B15" s="392" t="s">
        <v>68</v>
      </c>
      <c r="C15" s="295" t="s">
        <v>66</v>
      </c>
      <c r="D15" s="393">
        <v>1</v>
      </c>
      <c r="E15" s="397">
        <f t="shared" si="1"/>
        <v>14.456101095391828</v>
      </c>
      <c r="F15" s="395">
        <f>C10*D15</f>
        <v>291.53137209040187</v>
      </c>
      <c r="G15" s="396">
        <f t="shared" si="2"/>
        <v>3498.3764650848225</v>
      </c>
      <c r="H15" s="472">
        <f>G15/'Capitation Summary'!$D$3/12</f>
        <v>0.11661254883616075</v>
      </c>
      <c r="I15" s="357">
        <f t="shared" si="0"/>
        <v>8.1272830470797627E-2</v>
      </c>
      <c r="J15" s="87"/>
    </row>
    <row r="16" spans="1:10">
      <c r="A16" s="391"/>
      <c r="B16" s="392" t="s">
        <v>69</v>
      </c>
      <c r="C16" s="295" t="s">
        <v>70</v>
      </c>
      <c r="D16" s="393">
        <f>B4</f>
        <v>24</v>
      </c>
      <c r="E16" s="397">
        <f>E13</f>
        <v>45.966942148760332</v>
      </c>
      <c r="F16" s="394">
        <f>G16/12</f>
        <v>91.933884297520663</v>
      </c>
      <c r="G16" s="394">
        <f>E16*D16</f>
        <v>1103.206611570248</v>
      </c>
      <c r="H16" s="472">
        <f>G16/'Capitation Summary'!$D$3/12</f>
        <v>3.6773553719008263E-2</v>
      </c>
      <c r="I16" s="357">
        <f t="shared" si="0"/>
        <v>2.5629238251303501E-2</v>
      </c>
      <c r="J16" s="87"/>
    </row>
    <row r="17" spans="1:10">
      <c r="A17" s="391"/>
      <c r="B17" s="398" t="s">
        <v>71</v>
      </c>
      <c r="C17" s="295" t="s">
        <v>70</v>
      </c>
      <c r="D17" s="393">
        <f>B4</f>
        <v>24</v>
      </c>
      <c r="E17" s="266">
        <f>E14</f>
        <v>34.015537190082647</v>
      </c>
      <c r="F17" s="395">
        <f t="shared" ref="F17:F21" si="3">G17/12</f>
        <v>68.031074380165293</v>
      </c>
      <c r="G17" s="396">
        <f>E17*D17</f>
        <v>816.37289256198346</v>
      </c>
      <c r="H17" s="472">
        <f>G17/'Capitation Summary'!$D$3/12</f>
        <v>2.7212429752066114E-2</v>
      </c>
      <c r="I17" s="357">
        <f t="shared" si="0"/>
        <v>1.8965636305964588E-2</v>
      </c>
      <c r="J17" s="87"/>
    </row>
    <row r="18" spans="1:10">
      <c r="A18" s="391"/>
      <c r="B18" s="398" t="s">
        <v>72</v>
      </c>
      <c r="C18" s="295" t="s">
        <v>70</v>
      </c>
      <c r="D18" s="399">
        <v>10</v>
      </c>
      <c r="E18" s="400">
        <v>100</v>
      </c>
      <c r="F18" s="394">
        <f>G18/12</f>
        <v>83.333333333333329</v>
      </c>
      <c r="G18" s="394">
        <f>D18*E18</f>
        <v>1000</v>
      </c>
      <c r="H18" s="472">
        <f>G18/'Capitation Summary'!$D$3/12</f>
        <v>3.3333333333333333E-2</v>
      </c>
      <c r="I18" s="357">
        <f t="shared" si="0"/>
        <v>2.3231585074371654E-2</v>
      </c>
      <c r="J18" s="401" t="s">
        <v>73</v>
      </c>
    </row>
    <row r="19" spans="1:10">
      <c r="A19" s="391"/>
      <c r="B19" s="398" t="s">
        <v>74</v>
      </c>
      <c r="C19" s="295" t="s">
        <v>70</v>
      </c>
      <c r="D19" s="399">
        <v>10</v>
      </c>
      <c r="E19" s="400">
        <v>100</v>
      </c>
      <c r="F19" s="394">
        <f t="shared" si="3"/>
        <v>83.333333333333329</v>
      </c>
      <c r="G19" s="394">
        <f>D19*E19</f>
        <v>1000</v>
      </c>
      <c r="H19" s="472">
        <f>G19/'Capitation Summary'!$D$3/12</f>
        <v>3.3333333333333333E-2</v>
      </c>
      <c r="I19" s="357">
        <f t="shared" si="0"/>
        <v>2.3231585074371654E-2</v>
      </c>
      <c r="J19" s="401" t="s">
        <v>73</v>
      </c>
    </row>
    <row r="20" spans="1:10">
      <c r="A20" s="391"/>
      <c r="B20" s="398" t="s">
        <v>75</v>
      </c>
      <c r="C20" s="295" t="s">
        <v>70</v>
      </c>
      <c r="D20" s="399">
        <v>10</v>
      </c>
      <c r="E20" s="400">
        <f>E13</f>
        <v>45.966942148760332</v>
      </c>
      <c r="F20" s="395">
        <f t="shared" si="3"/>
        <v>38.305785123966942</v>
      </c>
      <c r="G20" s="394">
        <f>D20*E20</f>
        <v>459.6694214876033</v>
      </c>
      <c r="H20" s="472">
        <f>G20/'Capitation Summary'!$D$3/12</f>
        <v>1.5322314049586776E-2</v>
      </c>
      <c r="I20" s="357">
        <f t="shared" si="0"/>
        <v>1.0678849271376458E-2</v>
      </c>
      <c r="J20" s="87"/>
    </row>
    <row r="21" spans="1:10">
      <c r="A21" s="391"/>
      <c r="B21" s="398" t="s">
        <v>76</v>
      </c>
      <c r="C21" s="295" t="s">
        <v>70</v>
      </c>
      <c r="D21" s="399">
        <v>10</v>
      </c>
      <c r="E21" s="400">
        <f>E14</f>
        <v>34.015537190082647</v>
      </c>
      <c r="F21" s="395">
        <f t="shared" si="3"/>
        <v>28.34628099173554</v>
      </c>
      <c r="G21" s="394">
        <f>D21*E21</f>
        <v>340.15537190082648</v>
      </c>
      <c r="H21" s="472">
        <f>G21/'Capitation Summary'!$D$3/12</f>
        <v>1.1338512396694216E-2</v>
      </c>
      <c r="I21" s="357">
        <f t="shared" si="0"/>
        <v>7.9023484608185795E-3</v>
      </c>
      <c r="J21" s="87"/>
    </row>
    <row r="22" spans="1:10" ht="13.5" thickBot="1">
      <c r="A22" s="402" t="s">
        <v>77</v>
      </c>
      <c r="B22" s="403"/>
      <c r="C22" s="403"/>
      <c r="D22" s="404"/>
      <c r="E22" s="404"/>
      <c r="F22" s="405">
        <f>SUM(F13:F21)</f>
        <v>2297.7950635504571</v>
      </c>
      <c r="G22" s="406">
        <f>SUM(G13:G21)</f>
        <v>27573.540762605488</v>
      </c>
      <c r="H22" s="473">
        <f>G22/'Capitation Summary'!$D$3/12</f>
        <v>0.91911802542018295</v>
      </c>
      <c r="I22" s="357">
        <f t="shared" si="0"/>
        <v>0.64057705802812404</v>
      </c>
      <c r="J22" s="87"/>
    </row>
    <row r="23" spans="1:10">
      <c r="A23" s="512" t="s">
        <v>78</v>
      </c>
      <c r="B23" s="407" t="s">
        <v>79</v>
      </c>
      <c r="C23" s="407"/>
      <c r="D23" s="407"/>
      <c r="E23" s="407"/>
      <c r="F23" s="389">
        <f>'Medical Equipment'!D55</f>
        <v>43.607500000000009</v>
      </c>
      <c r="G23" s="408">
        <f>F23*12</f>
        <v>523.29000000000008</v>
      </c>
      <c r="H23" s="472">
        <f>G23/'Capitation Summary'!$D$3/12</f>
        <v>1.7443000000000004E-2</v>
      </c>
      <c r="I23" s="357">
        <f t="shared" si="0"/>
        <v>1.2156856153567945E-2</v>
      </c>
      <c r="J23" s="409" t="s">
        <v>80</v>
      </c>
    </row>
    <row r="24" spans="1:10">
      <c r="A24" s="513"/>
      <c r="B24" s="410" t="s">
        <v>81</v>
      </c>
      <c r="C24" s="411"/>
      <c r="D24" s="410"/>
      <c r="E24" s="410"/>
      <c r="F24" s="395">
        <f>G24/12</f>
        <v>15.545000000000002</v>
      </c>
      <c r="G24" s="408">
        <f>Medicines!B28</f>
        <v>186.54000000000002</v>
      </c>
      <c r="H24" s="472">
        <f>G24/'Capitation Summary'!$D$3/12</f>
        <v>6.2180000000000004E-3</v>
      </c>
      <c r="I24" s="357">
        <f t="shared" si="0"/>
        <v>4.3336198797732893E-3</v>
      </c>
      <c r="J24" s="409"/>
    </row>
    <row r="25" spans="1:10" ht="33.75" customHeight="1">
      <c r="A25" s="514"/>
      <c r="B25" s="410" t="s">
        <v>82</v>
      </c>
      <c r="C25" s="411"/>
      <c r="D25" s="410"/>
      <c r="E25" s="410"/>
      <c r="F25" s="395">
        <f>'Medical Equipment'!D65</f>
        <v>273.66666666666669</v>
      </c>
      <c r="G25" s="408">
        <f>F25*12</f>
        <v>3284</v>
      </c>
      <c r="H25" s="472">
        <f>G25/'Capitation Summary'!$D$3/12</f>
        <v>0.10946666666666667</v>
      </c>
      <c r="I25" s="357">
        <f t="shared" si="0"/>
        <v>7.6292525384236518E-2</v>
      </c>
      <c r="J25" s="412" t="s">
        <v>83</v>
      </c>
    </row>
    <row r="26" spans="1:10" ht="36.75" customHeight="1">
      <c r="A26" s="413" t="s">
        <v>84</v>
      </c>
      <c r="B26" s="411"/>
      <c r="C26" s="411"/>
      <c r="D26" s="411"/>
      <c r="E26" s="411"/>
      <c r="F26" s="414">
        <f>'Medical Equipment'!E34</f>
        <v>96.498809523809499</v>
      </c>
      <c r="G26" s="408">
        <f>F26*12</f>
        <v>1157.985714285714</v>
      </c>
      <c r="H26" s="472">
        <f>G26/'Capitation Summary'!$D$3/12</f>
        <v>3.8599523809523799E-2</v>
      </c>
      <c r="I26" s="357">
        <f t="shared" si="0"/>
        <v>2.6901843636335594E-2</v>
      </c>
      <c r="J26" s="409" t="s">
        <v>85</v>
      </c>
    </row>
    <row r="27" spans="1:10">
      <c r="A27" s="413" t="s">
        <v>86</v>
      </c>
      <c r="B27" s="411"/>
      <c r="C27" s="411"/>
      <c r="D27" s="411"/>
      <c r="E27" s="411"/>
      <c r="F27" s="414">
        <f>Premises!E34</f>
        <v>248.74941620879122</v>
      </c>
      <c r="G27" s="408">
        <f>F27*12</f>
        <v>2984.9929945054946</v>
      </c>
      <c r="H27" s="472">
        <f>G27/'Capitation Summary'!$D$3/12</f>
        <v>9.9499766483516494E-2</v>
      </c>
      <c r="I27" s="357">
        <f t="shared" si="0"/>
        <v>6.9346118698257797E-2</v>
      </c>
      <c r="J27" s="409" t="s">
        <v>85</v>
      </c>
    </row>
    <row r="28" spans="1:10">
      <c r="A28" s="413" t="s">
        <v>87</v>
      </c>
      <c r="B28" s="411"/>
      <c r="C28" s="411"/>
      <c r="D28" s="411"/>
      <c r="E28" s="411"/>
      <c r="F28" s="414">
        <f>G28/12</f>
        <v>8.4409722222222232</v>
      </c>
      <c r="G28" s="408">
        <f>Premises!D52</f>
        <v>101.29166666666667</v>
      </c>
      <c r="H28" s="472">
        <f>G28/'Capitation Summary'!$D$3/12</f>
        <v>3.3763888888888888E-3</v>
      </c>
      <c r="I28" s="357">
        <f t="shared" si="0"/>
        <v>2.3531659714915625E-3</v>
      </c>
      <c r="J28" s="409" t="s">
        <v>80</v>
      </c>
    </row>
    <row r="29" spans="1:10" ht="25.5">
      <c r="A29" s="413" t="s">
        <v>88</v>
      </c>
      <c r="B29" s="411"/>
      <c r="C29" s="411"/>
      <c r="D29" s="411"/>
      <c r="E29" s="411"/>
      <c r="F29" s="414">
        <f>Premises!B72</f>
        <v>400.58390561129681</v>
      </c>
      <c r="G29" s="408">
        <f t="shared" ref="G29:G30" si="4">F29*12</f>
        <v>4807.0068673355618</v>
      </c>
      <c r="H29" s="472">
        <f>G29/'Capitation Summary'!$D$3/12</f>
        <v>0.16023356224451873</v>
      </c>
      <c r="I29" s="357">
        <f t="shared" si="0"/>
        <v>0.11167438899159488</v>
      </c>
      <c r="J29" s="412"/>
    </row>
    <row r="30" spans="1:10" ht="43.5" customHeight="1">
      <c r="A30" s="413" t="s">
        <v>89</v>
      </c>
      <c r="B30" s="411"/>
      <c r="C30" s="415" t="s">
        <v>90</v>
      </c>
      <c r="D30" s="416">
        <f>Premises!B13</f>
        <v>52</v>
      </c>
      <c r="E30" s="417">
        <f>SUM(Premises!B16:B17)</f>
        <v>2.9876408885285688</v>
      </c>
      <c r="F30" s="414">
        <f>D30*E30</f>
        <v>155.35732620348557</v>
      </c>
      <c r="G30" s="408">
        <f t="shared" si="4"/>
        <v>1864.2879144418268</v>
      </c>
      <c r="H30" s="472">
        <f>G30/'Capitation Summary'!$D$3/12</f>
        <v>6.2142930481394222E-2</v>
      </c>
      <c r="I30" s="357">
        <f t="shared" si="0"/>
        <v>4.3310363287478205E-2</v>
      </c>
      <c r="J30" s="412" t="s">
        <v>91</v>
      </c>
    </row>
    <row r="31" spans="1:10" s="379" customFormat="1" ht="62.25" customHeight="1">
      <c r="A31" s="418" t="s">
        <v>92</v>
      </c>
      <c r="B31" s="419"/>
      <c r="C31" s="419"/>
      <c r="D31" s="419"/>
      <c r="E31" s="419"/>
      <c r="F31" s="420">
        <f>G31/12</f>
        <v>46.825833333333328</v>
      </c>
      <c r="G31" s="421">
        <v>561.91</v>
      </c>
      <c r="H31" s="472">
        <f>G31/'Capitation Summary'!$D$3/12</f>
        <v>1.8730333333333331E-2</v>
      </c>
      <c r="I31" s="114"/>
      <c r="J31" s="422" t="s">
        <v>93</v>
      </c>
    </row>
    <row r="32" spans="1:10" ht="13.5" thickBot="1">
      <c r="A32" s="423" t="s">
        <v>13</v>
      </c>
      <c r="B32" s="423"/>
      <c r="C32" s="423"/>
      <c r="D32" s="423"/>
      <c r="E32" s="423"/>
      <c r="F32" s="406">
        <f>SUM(F23:F31)</f>
        <v>1289.2754297696054</v>
      </c>
      <c r="G32" s="406">
        <f>SUM(G23:G31)</f>
        <v>15471.305157235265</v>
      </c>
      <c r="H32" s="472">
        <f>G32/'Capitation Summary'!$D$3/12</f>
        <v>0.51571017190784219</v>
      </c>
      <c r="I32" s="357">
        <f>G32/$G$33</f>
        <v>0.35942294197187596</v>
      </c>
      <c r="J32" s="87"/>
    </row>
    <row r="33" spans="1:10">
      <c r="A33" s="429" t="s">
        <v>94</v>
      </c>
      <c r="B33" s="429"/>
      <c r="C33" s="429"/>
      <c r="D33" s="429"/>
      <c r="E33" s="429"/>
      <c r="F33" s="430">
        <f>SUM(F32,F22)</f>
        <v>3587.0704933200623</v>
      </c>
      <c r="G33" s="431">
        <f>SUM(G32,G22)</f>
        <v>43044.845919840751</v>
      </c>
      <c r="H33" s="431">
        <f>G33/'Capitation Summary'!$D$3/12</f>
        <v>1.4348281973280252</v>
      </c>
      <c r="I33" s="450"/>
      <c r="J33" s="87"/>
    </row>
    <row r="34" spans="1:10">
      <c r="F34" s="424"/>
      <c r="G34" s="424"/>
      <c r="H34" s="424"/>
    </row>
    <row r="35" spans="1:10" ht="51">
      <c r="A35" s="87" t="s">
        <v>95</v>
      </c>
      <c r="B35" s="87"/>
      <c r="C35" s="87"/>
      <c r="D35" s="87"/>
      <c r="E35" s="87"/>
      <c r="F35" s="196">
        <f>SUM(F14,F17,F19,F21)</f>
        <v>865.69068870523415</v>
      </c>
      <c r="G35" s="196">
        <f>SUM(G14,G17,G19,G21)</f>
        <v>10388.28826446281</v>
      </c>
      <c r="H35" s="196"/>
      <c r="I35" s="357">
        <f>G35/G33</f>
        <v>0.24133640259296443</v>
      </c>
      <c r="J35" s="412" t="s">
        <v>96</v>
      </c>
    </row>
  </sheetData>
  <mergeCells count="2">
    <mergeCell ref="A23:A25"/>
    <mergeCell ref="E6:G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T25"/>
  <sheetViews>
    <sheetView zoomScale="105" workbookViewId="0">
      <selection activeCell="C28" sqref="C28"/>
    </sheetView>
  </sheetViews>
  <sheetFormatPr defaultColWidth="14.42578125" defaultRowHeight="12.75"/>
  <cols>
    <col min="1" max="1" width="20.28515625" style="25" customWidth="1"/>
    <col min="2" max="2" width="18.7109375" style="25" customWidth="1"/>
    <col min="3" max="14" width="3.42578125" style="20" customWidth="1"/>
    <col min="15" max="15" width="4.42578125" style="20" customWidth="1"/>
    <col min="16" max="16" width="8.140625" style="53" customWidth="1"/>
    <col min="17" max="17" width="9.7109375" style="53" customWidth="1"/>
    <col min="18" max="18" width="9.28515625" style="59" customWidth="1"/>
    <col min="19" max="19" width="9.85546875" style="53" customWidth="1"/>
    <col min="20" max="20" width="9.5703125" style="53" customWidth="1"/>
    <col min="21" max="16384" width="14.42578125" style="20"/>
  </cols>
  <sheetData>
    <row r="1" spans="1:20" ht="13.5" thickBot="1">
      <c r="A1" s="518" t="s">
        <v>97</v>
      </c>
      <c r="B1" s="519"/>
      <c r="C1" s="519"/>
      <c r="D1" s="519"/>
      <c r="E1" s="519"/>
      <c r="F1" s="519"/>
      <c r="G1" s="519"/>
      <c r="H1" s="519"/>
      <c r="I1" s="519"/>
      <c r="J1" s="519"/>
      <c r="K1" s="519"/>
      <c r="L1" s="519"/>
      <c r="M1" s="519"/>
      <c r="N1" s="519"/>
      <c r="O1" s="519"/>
      <c r="P1" s="519"/>
      <c r="Q1" s="519"/>
      <c r="R1" s="519"/>
      <c r="S1" s="519"/>
      <c r="T1" s="519"/>
    </row>
    <row r="2" spans="1:20" ht="40.5" customHeight="1">
      <c r="A2" s="239" t="s">
        <v>98</v>
      </c>
      <c r="B2" s="239" t="s">
        <v>99</v>
      </c>
      <c r="C2" s="26">
        <v>1</v>
      </c>
      <c r="D2" s="26">
        <v>2</v>
      </c>
      <c r="E2" s="26">
        <v>3</v>
      </c>
      <c r="F2" s="26">
        <v>4</v>
      </c>
      <c r="G2" s="26">
        <v>5</v>
      </c>
      <c r="H2" s="26">
        <v>6</v>
      </c>
      <c r="I2" s="26">
        <v>7</v>
      </c>
      <c r="J2" s="26">
        <v>8</v>
      </c>
      <c r="K2" s="26">
        <v>9</v>
      </c>
      <c r="L2" s="26">
        <v>10</v>
      </c>
      <c r="M2" s="26">
        <v>11</v>
      </c>
      <c r="N2" s="27">
        <v>12</v>
      </c>
      <c r="O2" s="28"/>
      <c r="P2" s="279" t="s">
        <v>100</v>
      </c>
      <c r="Q2" s="29" t="s">
        <v>101</v>
      </c>
      <c r="R2" s="30" t="s">
        <v>102</v>
      </c>
      <c r="S2" s="29" t="s">
        <v>103</v>
      </c>
      <c r="T2" s="31" t="s">
        <v>104</v>
      </c>
    </row>
    <row r="3" spans="1:20" ht="25.5">
      <c r="A3" s="32" t="s">
        <v>105</v>
      </c>
      <c r="B3" s="278" t="s">
        <v>106</v>
      </c>
      <c r="C3" s="523" t="s">
        <v>107</v>
      </c>
      <c r="D3" s="521"/>
      <c r="E3" s="521"/>
      <c r="F3" s="521"/>
      <c r="G3" s="521"/>
      <c r="H3" s="521"/>
      <c r="I3" s="523" t="s">
        <v>107</v>
      </c>
      <c r="J3" s="521"/>
      <c r="K3" s="521"/>
      <c r="L3" s="521"/>
      <c r="M3" s="521"/>
      <c r="N3" s="522"/>
      <c r="O3" s="33"/>
      <c r="P3" s="61">
        <f>Tests!B18</f>
        <v>20</v>
      </c>
      <c r="Q3" s="54">
        <v>2</v>
      </c>
      <c r="R3" s="67">
        <f>'Capitation Summary'!$B$10</f>
        <v>76672</v>
      </c>
      <c r="S3" s="54">
        <v>1</v>
      </c>
      <c r="T3" s="61">
        <f>1*P3*R3+1*R3*P3*S3</f>
        <v>3066880</v>
      </c>
    </row>
    <row r="4" spans="1:20" ht="38.25">
      <c r="A4" s="34" t="s">
        <v>108</v>
      </c>
      <c r="B4" s="164" t="s">
        <v>109</v>
      </c>
      <c r="C4" s="523" t="s">
        <v>107</v>
      </c>
      <c r="D4" s="521"/>
      <c r="E4" s="521"/>
      <c r="F4" s="521"/>
      <c r="G4" s="521"/>
      <c r="H4" s="521"/>
      <c r="I4" s="523" t="s">
        <v>107</v>
      </c>
      <c r="J4" s="521"/>
      <c r="K4" s="521"/>
      <c r="L4" s="521"/>
      <c r="M4" s="521"/>
      <c r="N4" s="522"/>
      <c r="O4" s="33"/>
      <c r="P4" s="168">
        <f>Tests!B6</f>
        <v>8</v>
      </c>
      <c r="Q4" s="54">
        <v>2</v>
      </c>
      <c r="R4" s="67">
        <f>'Capitation Summary'!$B$10</f>
        <v>76672</v>
      </c>
      <c r="S4" s="54">
        <f>1-'NCD Summary'!$B$9</f>
        <v>0.19999999999999996</v>
      </c>
      <c r="T4" s="61">
        <f>1*P4*R4+1*R4*P4*S4</f>
        <v>736051.19999999995</v>
      </c>
    </row>
    <row r="5" spans="1:20" ht="25.5">
      <c r="A5" s="34" t="s">
        <v>110</v>
      </c>
      <c r="B5" s="164" t="s">
        <v>111</v>
      </c>
      <c r="C5" s="523" t="s">
        <v>107</v>
      </c>
      <c r="D5" s="525"/>
      <c r="E5" s="525"/>
      <c r="F5" s="525"/>
      <c r="G5" s="525"/>
      <c r="H5" s="525"/>
      <c r="I5" s="525"/>
      <c r="J5" s="525"/>
      <c r="K5" s="525"/>
      <c r="L5" s="525"/>
      <c r="M5" s="525"/>
      <c r="N5" s="526"/>
      <c r="O5" s="33"/>
      <c r="P5" s="168">
        <f>Tests!B11</f>
        <v>13</v>
      </c>
      <c r="Q5" s="54">
        <v>1</v>
      </c>
      <c r="R5" s="67">
        <f>'Capitation Summary'!$B$10</f>
        <v>76672</v>
      </c>
      <c r="S5" s="54">
        <f>1-'NCD Summary'!$B$9</f>
        <v>0.19999999999999996</v>
      </c>
      <c r="T5" s="61">
        <f>Q5*P5*R5*S5</f>
        <v>199347.19999999995</v>
      </c>
    </row>
    <row r="6" spans="1:20">
      <c r="A6" s="527" t="s">
        <v>112</v>
      </c>
      <c r="B6" s="164" t="s">
        <v>113</v>
      </c>
      <c r="C6" s="523" t="s">
        <v>107</v>
      </c>
      <c r="D6" s="525"/>
      <c r="E6" s="525"/>
      <c r="F6" s="525"/>
      <c r="G6" s="525"/>
      <c r="H6" s="525"/>
      <c r="I6" s="525"/>
      <c r="J6" s="525"/>
      <c r="K6" s="525"/>
      <c r="L6" s="525"/>
      <c r="M6" s="525"/>
      <c r="N6" s="526"/>
      <c r="O6" s="36"/>
      <c r="P6" s="168">
        <f>Tests!B7</f>
        <v>7</v>
      </c>
      <c r="Q6" s="54">
        <v>1</v>
      </c>
      <c r="R6" s="67">
        <f>'Capitation Summary'!$B$10</f>
        <v>76672</v>
      </c>
      <c r="S6" s="54">
        <f>1-'NCD Summary'!$B$9</f>
        <v>0.19999999999999996</v>
      </c>
      <c r="T6" s="61">
        <f t="shared" ref="T6:T8" si="0">Q6*P6*R6*S6</f>
        <v>107340.79999999997</v>
      </c>
    </row>
    <row r="7" spans="1:20">
      <c r="A7" s="528"/>
      <c r="B7" s="164" t="s">
        <v>114</v>
      </c>
      <c r="C7" s="524" t="s">
        <v>107</v>
      </c>
      <c r="D7" s="521"/>
      <c r="E7" s="521"/>
      <c r="F7" s="521"/>
      <c r="G7" s="521"/>
      <c r="H7" s="521"/>
      <c r="I7" s="521"/>
      <c r="J7" s="521"/>
      <c r="K7" s="521"/>
      <c r="L7" s="521"/>
      <c r="M7" s="521"/>
      <c r="N7" s="522"/>
      <c r="O7" s="37"/>
      <c r="P7" s="62">
        <f>Tests!B24</f>
        <v>6</v>
      </c>
      <c r="Q7" s="54">
        <v>1</v>
      </c>
      <c r="R7" s="67">
        <f>'Capitation Summary'!$B$10</f>
        <v>76672</v>
      </c>
      <c r="S7" s="54">
        <f>1-'NCD Summary'!$B$9</f>
        <v>0.19999999999999996</v>
      </c>
      <c r="T7" s="61">
        <f t="shared" si="0"/>
        <v>92006.39999999998</v>
      </c>
    </row>
    <row r="8" spans="1:20">
      <c r="A8" s="529"/>
      <c r="B8" s="164" t="s">
        <v>115</v>
      </c>
      <c r="C8" s="524" t="s">
        <v>107</v>
      </c>
      <c r="D8" s="521"/>
      <c r="E8" s="521"/>
      <c r="F8" s="521"/>
      <c r="G8" s="521"/>
      <c r="H8" s="521"/>
      <c r="I8" s="521"/>
      <c r="J8" s="521"/>
      <c r="K8" s="521"/>
      <c r="L8" s="521"/>
      <c r="M8" s="521"/>
      <c r="N8" s="522"/>
      <c r="O8" s="37"/>
      <c r="P8" s="62">
        <f>Tests!B25</f>
        <v>5</v>
      </c>
      <c r="Q8" s="54">
        <v>1</v>
      </c>
      <c r="R8" s="67">
        <f>'Capitation Summary'!$B$10</f>
        <v>76672</v>
      </c>
      <c r="S8" s="54">
        <f>1-'NCD Summary'!$B$9</f>
        <v>0.19999999999999996</v>
      </c>
      <c r="T8" s="61">
        <f t="shared" si="0"/>
        <v>76671.999999999985</v>
      </c>
    </row>
    <row r="9" spans="1:20">
      <c r="A9" s="38" t="s">
        <v>116</v>
      </c>
      <c r="B9" s="164" t="s">
        <v>117</v>
      </c>
      <c r="C9" s="524" t="s">
        <v>107</v>
      </c>
      <c r="D9" s="521"/>
      <c r="E9" s="521"/>
      <c r="F9" s="521"/>
      <c r="G9" s="521"/>
      <c r="H9" s="521"/>
      <c r="I9" s="521"/>
      <c r="J9" s="521"/>
      <c r="K9" s="521"/>
      <c r="L9" s="521"/>
      <c r="M9" s="521"/>
      <c r="N9" s="522"/>
      <c r="O9" s="36"/>
      <c r="P9" s="168">
        <f>Tests!B15</f>
        <v>8</v>
      </c>
      <c r="Q9" s="54">
        <v>1</v>
      </c>
      <c r="R9" s="67">
        <f>'Capitation Summary'!$B$10</f>
        <v>76672</v>
      </c>
      <c r="S9" s="54">
        <f>1-'NCD Summary'!$B$9</f>
        <v>0.19999999999999996</v>
      </c>
      <c r="T9" s="61">
        <f>Q9*P9*R9*S9</f>
        <v>122675.19999999997</v>
      </c>
    </row>
    <row r="10" spans="1:20">
      <c r="A10" s="34" t="s">
        <v>118</v>
      </c>
      <c r="B10" s="164"/>
      <c r="C10" s="39" t="s">
        <v>107</v>
      </c>
      <c r="D10" s="39"/>
      <c r="E10" s="39"/>
      <c r="F10" s="39"/>
      <c r="G10" s="39"/>
      <c r="H10" s="39"/>
      <c r="I10" s="39"/>
      <c r="J10" s="39"/>
      <c r="K10" s="39"/>
      <c r="L10" s="39"/>
      <c r="M10" s="39"/>
      <c r="N10" s="39"/>
      <c r="O10" s="37"/>
      <c r="P10" s="169">
        <f>Tests!B27</f>
        <v>15</v>
      </c>
      <c r="Q10" s="63">
        <v>1</v>
      </c>
      <c r="R10" s="60">
        <f>R3*0.3</f>
        <v>23001.599999999999</v>
      </c>
      <c r="S10" s="64">
        <v>1</v>
      </c>
      <c r="T10" s="61">
        <f t="shared" ref="T10:T20" si="1">Q10*P10*R10*S10</f>
        <v>345024</v>
      </c>
    </row>
    <row r="11" spans="1:20">
      <c r="A11" s="34" t="s">
        <v>119</v>
      </c>
      <c r="B11" s="164"/>
      <c r="C11" s="39" t="s">
        <v>107</v>
      </c>
      <c r="D11" s="39"/>
      <c r="E11" s="39"/>
      <c r="F11" s="39"/>
      <c r="G11" s="39"/>
      <c r="H11" s="39"/>
      <c r="I11" s="39"/>
      <c r="J11" s="39"/>
      <c r="K11" s="39"/>
      <c r="L11" s="39"/>
      <c r="M11" s="39"/>
      <c r="N11" s="39"/>
      <c r="O11" s="37"/>
      <c r="P11" s="169">
        <v>8</v>
      </c>
      <c r="Q11" s="63">
        <v>1</v>
      </c>
      <c r="R11" s="60">
        <f>R4*0.3</f>
        <v>23001.599999999999</v>
      </c>
      <c r="S11" s="54">
        <v>1</v>
      </c>
      <c r="T11" s="61">
        <f t="shared" si="1"/>
        <v>184012.79999999999</v>
      </c>
    </row>
    <row r="12" spans="1:20" ht="38.25">
      <c r="A12" s="34" t="s">
        <v>120</v>
      </c>
      <c r="B12" s="164" t="s">
        <v>121</v>
      </c>
      <c r="C12" s="520" t="s">
        <v>107</v>
      </c>
      <c r="D12" s="521"/>
      <c r="E12" s="521"/>
      <c r="F12" s="521"/>
      <c r="G12" s="521"/>
      <c r="H12" s="521"/>
      <c r="I12" s="521"/>
      <c r="J12" s="521"/>
      <c r="K12" s="521"/>
      <c r="L12" s="521"/>
      <c r="M12" s="521"/>
      <c r="N12" s="522"/>
      <c r="O12" s="37"/>
      <c r="P12" s="496">
        <f>Specialists!B5</f>
        <v>25</v>
      </c>
      <c r="Q12" s="54">
        <v>1</v>
      </c>
      <c r="R12" s="67">
        <f>'Capitation Summary'!$B$10</f>
        <v>76672</v>
      </c>
      <c r="S12" s="54">
        <f>1-'NCD Summary'!$B$9</f>
        <v>0.19999999999999996</v>
      </c>
      <c r="T12" s="61">
        <f>Q12*P12*R12*S12</f>
        <v>383359.99999999994</v>
      </c>
    </row>
    <row r="13" spans="1:20" ht="25.5">
      <c r="A13" s="34" t="s">
        <v>122</v>
      </c>
      <c r="B13" s="35" t="s">
        <v>123</v>
      </c>
      <c r="C13" s="520" t="s">
        <v>107</v>
      </c>
      <c r="D13" s="521"/>
      <c r="E13" s="521"/>
      <c r="F13" s="521"/>
      <c r="G13" s="521"/>
      <c r="H13" s="521"/>
      <c r="I13" s="521"/>
      <c r="J13" s="521"/>
      <c r="K13" s="521"/>
      <c r="L13" s="521"/>
      <c r="M13" s="521"/>
      <c r="N13" s="522"/>
      <c r="O13" s="37"/>
      <c r="P13" s="170">
        <f>'Visit Costs'!E7</f>
        <v>1.6434937499999998</v>
      </c>
      <c r="Q13" s="54">
        <v>1</v>
      </c>
      <c r="R13" s="67">
        <f>'Capitation Summary'!$B$10</f>
        <v>76672</v>
      </c>
      <c r="S13" s="54">
        <v>1</v>
      </c>
      <c r="T13" s="61">
        <f t="shared" si="1"/>
        <v>126009.95279999998</v>
      </c>
    </row>
    <row r="14" spans="1:20" ht="51">
      <c r="A14" s="34" t="s">
        <v>124</v>
      </c>
      <c r="B14" s="35" t="s">
        <v>125</v>
      </c>
      <c r="C14" s="520" t="s">
        <v>107</v>
      </c>
      <c r="D14" s="521"/>
      <c r="E14" s="521"/>
      <c r="F14" s="521"/>
      <c r="G14" s="521"/>
      <c r="H14" s="521"/>
      <c r="I14" s="521"/>
      <c r="J14" s="521"/>
      <c r="K14" s="521"/>
      <c r="L14" s="521"/>
      <c r="M14" s="521"/>
      <c r="N14" s="522"/>
      <c r="O14" s="37"/>
      <c r="P14" s="207">
        <v>0</v>
      </c>
      <c r="Q14" s="54">
        <v>1</v>
      </c>
      <c r="R14" s="67">
        <f>'Capitation Summary'!$B$10</f>
        <v>76672</v>
      </c>
      <c r="S14" s="54">
        <v>1</v>
      </c>
      <c r="T14" s="61">
        <f t="shared" si="1"/>
        <v>0</v>
      </c>
    </row>
    <row r="15" spans="1:20" ht="38.25">
      <c r="A15" s="34" t="s">
        <v>126</v>
      </c>
      <c r="B15" s="35" t="s">
        <v>127</v>
      </c>
      <c r="C15" s="520" t="s">
        <v>107</v>
      </c>
      <c r="D15" s="521"/>
      <c r="E15" s="521"/>
      <c r="F15" s="521"/>
      <c r="G15" s="521"/>
      <c r="H15" s="521"/>
      <c r="I15" s="521"/>
      <c r="J15" s="521"/>
      <c r="K15" s="521"/>
      <c r="L15" s="521"/>
      <c r="M15" s="521"/>
      <c r="N15" s="522"/>
      <c r="O15" s="37"/>
      <c r="P15" s="170">
        <v>0</v>
      </c>
      <c r="Q15" s="54">
        <v>1</v>
      </c>
      <c r="R15" s="67">
        <f>'Capitation Summary'!$B$10</f>
        <v>76672</v>
      </c>
      <c r="S15" s="54">
        <v>1</v>
      </c>
      <c r="T15" s="61">
        <f t="shared" si="1"/>
        <v>0</v>
      </c>
    </row>
    <row r="16" spans="1:20" ht="25.5">
      <c r="A16" s="34" t="s">
        <v>128</v>
      </c>
      <c r="B16" s="35" t="s">
        <v>129</v>
      </c>
      <c r="C16" s="520" t="s">
        <v>130</v>
      </c>
      <c r="D16" s="521"/>
      <c r="E16" s="521"/>
      <c r="F16" s="521"/>
      <c r="G16" s="521"/>
      <c r="H16" s="521"/>
      <c r="I16" s="521"/>
      <c r="J16" s="521"/>
      <c r="K16" s="521"/>
      <c r="L16" s="521"/>
      <c r="M16" s="521"/>
      <c r="N16" s="522"/>
      <c r="O16" s="37"/>
      <c r="P16" s="170">
        <v>0</v>
      </c>
      <c r="Q16" s="54">
        <v>1</v>
      </c>
      <c r="R16" s="67">
        <f>'Capitation Summary'!$B$10</f>
        <v>76672</v>
      </c>
      <c r="S16" s="54">
        <v>1</v>
      </c>
      <c r="T16" s="61">
        <f t="shared" si="1"/>
        <v>0</v>
      </c>
    </row>
    <row r="17" spans="1:20" ht="51">
      <c r="A17" s="34" t="s">
        <v>131</v>
      </c>
      <c r="B17" s="35" t="s">
        <v>132</v>
      </c>
      <c r="C17" s="520" t="s">
        <v>130</v>
      </c>
      <c r="D17" s="521"/>
      <c r="E17" s="521"/>
      <c r="F17" s="521"/>
      <c r="G17" s="521"/>
      <c r="H17" s="521"/>
      <c r="I17" s="521"/>
      <c r="J17" s="521"/>
      <c r="K17" s="521"/>
      <c r="L17" s="521"/>
      <c r="M17" s="521"/>
      <c r="N17" s="522"/>
      <c r="O17" s="37"/>
      <c r="P17" s="170">
        <v>0</v>
      </c>
      <c r="Q17" s="54">
        <v>1</v>
      </c>
      <c r="R17" s="67">
        <f>'Capitation Summary'!$B$10</f>
        <v>76672</v>
      </c>
      <c r="S17" s="54">
        <v>1</v>
      </c>
      <c r="T17" s="61">
        <f t="shared" si="1"/>
        <v>0</v>
      </c>
    </row>
    <row r="18" spans="1:20" ht="25.5">
      <c r="A18" s="34" t="s">
        <v>133</v>
      </c>
      <c r="B18" s="35" t="s">
        <v>134</v>
      </c>
      <c r="C18" s="520" t="s">
        <v>107</v>
      </c>
      <c r="D18" s="521"/>
      <c r="E18" s="521"/>
      <c r="F18" s="521"/>
      <c r="G18" s="521"/>
      <c r="H18" s="521"/>
      <c r="I18" s="521"/>
      <c r="J18" s="521"/>
      <c r="K18" s="521"/>
      <c r="L18" s="521"/>
      <c r="M18" s="521"/>
      <c r="N18" s="522"/>
      <c r="O18" s="37"/>
      <c r="P18" s="170">
        <v>0</v>
      </c>
      <c r="Q18" s="54">
        <v>1</v>
      </c>
      <c r="R18" s="67">
        <f>'Capitation Summary'!$B$10</f>
        <v>76672</v>
      </c>
      <c r="S18" s="54">
        <v>1</v>
      </c>
      <c r="T18" s="61">
        <f t="shared" si="1"/>
        <v>0</v>
      </c>
    </row>
    <row r="19" spans="1:20" ht="38.25">
      <c r="A19" s="40" t="s">
        <v>135</v>
      </c>
      <c r="B19" s="35" t="s">
        <v>136</v>
      </c>
      <c r="C19" s="520" t="s">
        <v>107</v>
      </c>
      <c r="D19" s="521"/>
      <c r="E19" s="521"/>
      <c r="F19" s="521"/>
      <c r="G19" s="521"/>
      <c r="H19" s="521"/>
      <c r="I19" s="521"/>
      <c r="J19" s="521"/>
      <c r="K19" s="521"/>
      <c r="L19" s="521"/>
      <c r="M19" s="521"/>
      <c r="N19" s="522"/>
      <c r="O19" s="36"/>
      <c r="P19" s="170">
        <v>0</v>
      </c>
      <c r="Q19" s="66">
        <v>1</v>
      </c>
      <c r="R19" s="67">
        <f>'Capitation Summary'!$B$10</f>
        <v>76672</v>
      </c>
      <c r="S19" s="54">
        <v>1</v>
      </c>
      <c r="T19" s="61">
        <f t="shared" si="1"/>
        <v>0</v>
      </c>
    </row>
    <row r="20" spans="1:20" ht="26.45" customHeight="1" thickBot="1">
      <c r="A20" s="34" t="s">
        <v>137</v>
      </c>
      <c r="B20" s="35"/>
      <c r="C20" s="520" t="s">
        <v>107</v>
      </c>
      <c r="D20" s="521"/>
      <c r="E20" s="521"/>
      <c r="F20" s="521"/>
      <c r="G20" s="521"/>
      <c r="H20" s="521"/>
      <c r="I20" s="521"/>
      <c r="J20" s="521"/>
      <c r="K20" s="521"/>
      <c r="L20" s="521"/>
      <c r="M20" s="521"/>
      <c r="N20" s="522"/>
      <c r="O20" s="36"/>
      <c r="P20" s="65">
        <f>Specialists!B4</f>
        <v>25</v>
      </c>
      <c r="Q20" s="66">
        <v>0</v>
      </c>
      <c r="R20" s="67">
        <f>'Capitation Summary'!$B$10</f>
        <v>76672</v>
      </c>
      <c r="S20" s="54">
        <v>1</v>
      </c>
      <c r="T20" s="61">
        <f t="shared" si="1"/>
        <v>0</v>
      </c>
    </row>
    <row r="21" spans="1:20" ht="13.5" thickBot="1">
      <c r="A21" s="425"/>
      <c r="B21" s="425"/>
      <c r="C21" s="425"/>
      <c r="D21" s="425"/>
      <c r="E21" s="425"/>
      <c r="F21" s="425"/>
      <c r="G21" s="425"/>
      <c r="H21" s="425"/>
      <c r="I21" s="425"/>
      <c r="J21" s="425"/>
      <c r="K21" s="425"/>
      <c r="L21" s="425"/>
      <c r="M21" s="425"/>
      <c r="N21" s="425"/>
      <c r="O21" s="425"/>
      <c r="P21" s="426"/>
      <c r="Q21" s="425"/>
      <c r="R21" s="426"/>
      <c r="S21" s="426"/>
      <c r="T21" s="426"/>
    </row>
    <row r="22" spans="1:20">
      <c r="A22" s="20"/>
      <c r="B22" s="20"/>
      <c r="G22" s="41"/>
      <c r="H22" s="41"/>
      <c r="I22" s="41"/>
      <c r="J22" s="41"/>
      <c r="K22" s="41"/>
      <c r="L22" s="41"/>
      <c r="M22" s="41"/>
      <c r="N22" s="41"/>
      <c r="O22" s="41"/>
      <c r="S22" s="280" t="s">
        <v>138</v>
      </c>
      <c r="T22" s="281">
        <f>SUM(T3:T21)</f>
        <v>5439379.5528000006</v>
      </c>
    </row>
    <row r="23" spans="1:20">
      <c r="A23" s="20"/>
      <c r="B23" s="20"/>
      <c r="G23" s="22"/>
      <c r="H23" s="22"/>
      <c r="I23" s="22"/>
      <c r="J23" s="22"/>
      <c r="K23" s="22"/>
      <c r="L23" s="22"/>
      <c r="M23" s="22"/>
      <c r="N23" s="22"/>
      <c r="O23" s="22"/>
      <c r="S23" s="21" t="s">
        <v>139</v>
      </c>
      <c r="T23" s="282">
        <f>T22/R3/12</f>
        <v>5.9119578124999999</v>
      </c>
    </row>
    <row r="24" spans="1:20">
      <c r="A24" s="20"/>
      <c r="B24" s="20"/>
      <c r="O24" s="22"/>
    </row>
    <row r="25" spans="1:20">
      <c r="A25" s="20"/>
      <c r="B25" s="20"/>
      <c r="O25" s="22"/>
    </row>
  </sheetData>
  <mergeCells count="20">
    <mergeCell ref="C15:N15"/>
    <mergeCell ref="C17:N17"/>
    <mergeCell ref="C20:N20"/>
    <mergeCell ref="C19:N19"/>
    <mergeCell ref="C16:N16"/>
    <mergeCell ref="C18:N18"/>
    <mergeCell ref="A1:T1"/>
    <mergeCell ref="C14:N14"/>
    <mergeCell ref="C13:N13"/>
    <mergeCell ref="C3:H3"/>
    <mergeCell ref="I3:N3"/>
    <mergeCell ref="C7:N7"/>
    <mergeCell ref="C6:N6"/>
    <mergeCell ref="C9:N9"/>
    <mergeCell ref="C8:N8"/>
    <mergeCell ref="C4:H4"/>
    <mergeCell ref="C12:N12"/>
    <mergeCell ref="I4:N4"/>
    <mergeCell ref="C5:N5"/>
    <mergeCell ref="A6:A8"/>
  </mergeCell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V218"/>
  <sheetViews>
    <sheetView topLeftCell="C9" workbookViewId="0">
      <selection activeCell="R11" sqref="R11"/>
    </sheetView>
  </sheetViews>
  <sheetFormatPr defaultColWidth="14.42578125" defaultRowHeight="12.75"/>
  <cols>
    <col min="1" max="1" width="17.140625" style="20" customWidth="1"/>
    <col min="2" max="2" width="20.85546875" style="20" customWidth="1"/>
    <col min="3" max="15" width="3.42578125" style="20" customWidth="1"/>
    <col min="16" max="16" width="8.140625" style="20" customWidth="1"/>
    <col min="17" max="17" width="8.42578125" style="53" customWidth="1"/>
    <col min="18" max="18" width="13.140625" style="53" customWidth="1"/>
    <col min="19" max="19" width="10.7109375" style="53" customWidth="1"/>
    <col min="20" max="22" width="8.85546875" style="20" customWidth="1"/>
    <col min="23" max="16384" width="14.42578125" style="20"/>
  </cols>
  <sheetData>
    <row r="1" spans="1:22" ht="13.5" thickBot="1">
      <c r="A1" s="518" t="s">
        <v>140</v>
      </c>
      <c r="B1" s="519"/>
      <c r="C1" s="519"/>
      <c r="D1" s="519"/>
      <c r="E1" s="519"/>
      <c r="F1" s="519"/>
      <c r="G1" s="519"/>
      <c r="H1" s="519"/>
      <c r="I1" s="519"/>
      <c r="J1" s="519"/>
      <c r="K1" s="519"/>
      <c r="L1" s="519"/>
      <c r="M1" s="519"/>
      <c r="N1" s="519"/>
      <c r="O1" s="519"/>
      <c r="P1" s="519"/>
      <c r="Q1" s="519"/>
      <c r="R1" s="519"/>
      <c r="S1" s="519"/>
    </row>
    <row r="2" spans="1:22" ht="25.5">
      <c r="A2" s="78" t="s">
        <v>98</v>
      </c>
      <c r="B2" s="78" t="s">
        <v>141</v>
      </c>
      <c r="C2" s="26">
        <v>1</v>
      </c>
      <c r="D2" s="26">
        <v>2</v>
      </c>
      <c r="E2" s="26">
        <v>3</v>
      </c>
      <c r="F2" s="26">
        <v>4</v>
      </c>
      <c r="G2" s="26">
        <v>5</v>
      </c>
      <c r="H2" s="26">
        <v>6</v>
      </c>
      <c r="I2" s="26">
        <v>7</v>
      </c>
      <c r="J2" s="26">
        <v>8</v>
      </c>
      <c r="K2" s="26">
        <v>9</v>
      </c>
      <c r="L2" s="26">
        <v>10</v>
      </c>
      <c r="M2" s="26">
        <v>11</v>
      </c>
      <c r="N2" s="27">
        <v>12</v>
      </c>
      <c r="O2" s="45"/>
      <c r="P2" s="459" t="s">
        <v>142</v>
      </c>
      <c r="Q2" s="29" t="s">
        <v>101</v>
      </c>
      <c r="R2" s="29" t="s">
        <v>102</v>
      </c>
      <c r="S2" s="31" t="s">
        <v>104</v>
      </c>
    </row>
    <row r="3" spans="1:22" ht="25.5">
      <c r="A3" s="70" t="s">
        <v>143</v>
      </c>
      <c r="B3" s="71" t="s">
        <v>144</v>
      </c>
      <c r="C3" s="523" t="s">
        <v>107</v>
      </c>
      <c r="D3" s="521"/>
      <c r="E3" s="521"/>
      <c r="F3" s="521"/>
      <c r="G3" s="521"/>
      <c r="H3" s="521"/>
      <c r="I3" s="521"/>
      <c r="J3" s="521"/>
      <c r="K3" s="521"/>
      <c r="L3" s="521"/>
      <c r="M3" s="521"/>
      <c r="N3" s="522"/>
      <c r="O3" s="33"/>
      <c r="P3" s="201">
        <f>Tests!B6</f>
        <v>8</v>
      </c>
      <c r="Q3" s="54">
        <v>1</v>
      </c>
      <c r="R3" s="69">
        <f>'Capitation Summary'!$B$11</f>
        <v>1117792</v>
      </c>
      <c r="S3" s="72">
        <f t="shared" ref="S3:S16" si="0">P3*Q3*R3</f>
        <v>8942336</v>
      </c>
    </row>
    <row r="4" spans="1:22" ht="38.25">
      <c r="A4" s="70" t="s">
        <v>145</v>
      </c>
      <c r="B4" s="166" t="s">
        <v>146</v>
      </c>
      <c r="C4" s="523" t="s">
        <v>107</v>
      </c>
      <c r="D4" s="525"/>
      <c r="E4" s="525"/>
      <c r="F4" s="525"/>
      <c r="G4" s="525"/>
      <c r="H4" s="525"/>
      <c r="I4" s="525"/>
      <c r="J4" s="525"/>
      <c r="K4" s="525"/>
      <c r="L4" s="525"/>
      <c r="M4" s="525"/>
      <c r="N4" s="526"/>
      <c r="O4" s="33"/>
      <c r="P4" s="202">
        <f>Tests!B11</f>
        <v>13</v>
      </c>
      <c r="Q4" s="54">
        <v>1</v>
      </c>
      <c r="R4" s="69">
        <f>'Capitation Summary'!$B$11</f>
        <v>1117792</v>
      </c>
      <c r="S4" s="72">
        <f t="shared" si="0"/>
        <v>14531296</v>
      </c>
    </row>
    <row r="5" spans="1:22">
      <c r="A5" s="530" t="s">
        <v>112</v>
      </c>
      <c r="B5" s="71" t="s">
        <v>113</v>
      </c>
      <c r="C5" s="524" t="s">
        <v>107</v>
      </c>
      <c r="D5" s="521"/>
      <c r="E5" s="521"/>
      <c r="F5" s="521"/>
      <c r="G5" s="521"/>
      <c r="H5" s="521"/>
      <c r="I5" s="521"/>
      <c r="J5" s="521"/>
      <c r="K5" s="521"/>
      <c r="L5" s="521"/>
      <c r="M5" s="521"/>
      <c r="N5" s="522"/>
      <c r="O5" s="36"/>
      <c r="P5" s="203">
        <f>Tests!B7</f>
        <v>7</v>
      </c>
      <c r="Q5" s="54">
        <v>1</v>
      </c>
      <c r="R5" s="69">
        <f>'Capitation Summary'!$B$11</f>
        <v>1117792</v>
      </c>
      <c r="S5" s="72">
        <f t="shared" si="0"/>
        <v>7824544</v>
      </c>
    </row>
    <row r="6" spans="1:22">
      <c r="A6" s="531"/>
      <c r="B6" s="71" t="s">
        <v>114</v>
      </c>
      <c r="C6" s="524" t="s">
        <v>107</v>
      </c>
      <c r="D6" s="521"/>
      <c r="E6" s="521"/>
      <c r="F6" s="521"/>
      <c r="G6" s="521"/>
      <c r="H6" s="521"/>
      <c r="I6" s="521"/>
      <c r="J6" s="521"/>
      <c r="K6" s="521"/>
      <c r="L6" s="521"/>
      <c r="M6" s="521"/>
      <c r="N6" s="522"/>
      <c r="O6" s="37"/>
      <c r="P6" s="204">
        <f>Tests!B24</f>
        <v>6</v>
      </c>
      <c r="Q6" s="54">
        <v>1</v>
      </c>
      <c r="R6" s="69">
        <f>'Capitation Summary'!$B$11</f>
        <v>1117792</v>
      </c>
      <c r="S6" s="72">
        <f t="shared" si="0"/>
        <v>6706752</v>
      </c>
    </row>
    <row r="7" spans="1:22">
      <c r="A7" s="532"/>
      <c r="B7" s="71" t="s">
        <v>115</v>
      </c>
      <c r="C7" s="524" t="s">
        <v>107</v>
      </c>
      <c r="D7" s="521"/>
      <c r="E7" s="521"/>
      <c r="F7" s="521"/>
      <c r="G7" s="521"/>
      <c r="H7" s="521"/>
      <c r="I7" s="521"/>
      <c r="J7" s="521"/>
      <c r="K7" s="521"/>
      <c r="L7" s="521"/>
      <c r="M7" s="521"/>
      <c r="N7" s="522"/>
      <c r="O7" s="37"/>
      <c r="P7" s="205">
        <f>Tests!B25</f>
        <v>5</v>
      </c>
      <c r="Q7" s="54">
        <v>1</v>
      </c>
      <c r="R7" s="69">
        <f>'Capitation Summary'!$B$11</f>
        <v>1117792</v>
      </c>
      <c r="S7" s="72">
        <f t="shared" si="0"/>
        <v>5588960</v>
      </c>
    </row>
    <row r="8" spans="1:22" ht="25.5">
      <c r="A8" s="73" t="s">
        <v>147</v>
      </c>
      <c r="B8" s="71" t="s">
        <v>117</v>
      </c>
      <c r="C8" s="524" t="s">
        <v>107</v>
      </c>
      <c r="D8" s="521"/>
      <c r="E8" s="521"/>
      <c r="F8" s="521"/>
      <c r="G8" s="521"/>
      <c r="H8" s="521"/>
      <c r="I8" s="521"/>
      <c r="J8" s="521"/>
      <c r="K8" s="521"/>
      <c r="L8" s="521"/>
      <c r="M8" s="521"/>
      <c r="N8" s="522"/>
      <c r="O8" s="37"/>
      <c r="P8" s="206">
        <f>Tests!B15</f>
        <v>8</v>
      </c>
      <c r="Q8" s="54">
        <v>1</v>
      </c>
      <c r="R8" s="69">
        <f>'Capitation Summary'!$B$11</f>
        <v>1117792</v>
      </c>
      <c r="S8" s="72">
        <f t="shared" si="0"/>
        <v>8942336</v>
      </c>
    </row>
    <row r="9" spans="1:22" ht="38.25">
      <c r="A9" s="70" t="s">
        <v>120</v>
      </c>
      <c r="B9" s="74" t="s">
        <v>121</v>
      </c>
      <c r="C9" s="524" t="s">
        <v>107</v>
      </c>
      <c r="D9" s="521"/>
      <c r="E9" s="521"/>
      <c r="F9" s="521"/>
      <c r="G9" s="521"/>
      <c r="H9" s="521"/>
      <c r="I9" s="521"/>
      <c r="J9" s="521"/>
      <c r="K9" s="521"/>
      <c r="L9" s="521"/>
      <c r="M9" s="521"/>
      <c r="N9" s="522"/>
      <c r="O9" s="37"/>
      <c r="P9" s="215">
        <f>Specialists!B5</f>
        <v>25</v>
      </c>
      <c r="Q9" s="54">
        <v>1</v>
      </c>
      <c r="R9" s="69">
        <f>'Capitation Summary'!$B$11</f>
        <v>1117792</v>
      </c>
      <c r="S9" s="72">
        <f t="shared" si="0"/>
        <v>27944800</v>
      </c>
    </row>
    <row r="10" spans="1:22" ht="63.75">
      <c r="A10" s="70" t="s">
        <v>148</v>
      </c>
      <c r="B10" s="74" t="s">
        <v>149</v>
      </c>
      <c r="C10" s="524" t="s">
        <v>130</v>
      </c>
      <c r="D10" s="521"/>
      <c r="E10" s="521"/>
      <c r="F10" s="521"/>
      <c r="G10" s="521"/>
      <c r="H10" s="521"/>
      <c r="I10" s="521"/>
      <c r="J10" s="521"/>
      <c r="K10" s="521"/>
      <c r="L10" s="521"/>
      <c r="M10" s="521"/>
      <c r="N10" s="522"/>
      <c r="O10" s="33"/>
      <c r="P10" s="207">
        <f>'Visit Costs'!E7</f>
        <v>1.6434937499999998</v>
      </c>
      <c r="Q10" s="54">
        <v>1</v>
      </c>
      <c r="R10" s="69">
        <f>'Capitation Summary'!$B$11</f>
        <v>1117792</v>
      </c>
      <c r="S10" s="72">
        <f t="shared" si="0"/>
        <v>1837084.1657999996</v>
      </c>
      <c r="T10" s="75"/>
      <c r="U10" s="75"/>
      <c r="V10" s="22"/>
    </row>
    <row r="11" spans="1:22" ht="38.25">
      <c r="A11" s="70" t="s">
        <v>124</v>
      </c>
      <c r="B11" s="74" t="s">
        <v>125</v>
      </c>
      <c r="C11" s="524" t="s">
        <v>107</v>
      </c>
      <c r="D11" s="521"/>
      <c r="E11" s="521"/>
      <c r="F11" s="521"/>
      <c r="G11" s="521"/>
      <c r="H11" s="521"/>
      <c r="I11" s="521"/>
      <c r="J11" s="521"/>
      <c r="K11" s="521"/>
      <c r="L11" s="521"/>
      <c r="M11" s="521"/>
      <c r="N11" s="522"/>
      <c r="O11" s="37"/>
      <c r="P11" s="207">
        <v>0</v>
      </c>
      <c r="Q11" s="54">
        <v>1</v>
      </c>
      <c r="R11" s="69">
        <f>'Capitation Summary'!$B$11</f>
        <v>1117792</v>
      </c>
      <c r="S11" s="72">
        <f t="shared" si="0"/>
        <v>0</v>
      </c>
    </row>
    <row r="12" spans="1:22" ht="25.5">
      <c r="A12" s="70" t="s">
        <v>128</v>
      </c>
      <c r="B12" s="74" t="s">
        <v>129</v>
      </c>
      <c r="C12" s="524" t="s">
        <v>107</v>
      </c>
      <c r="D12" s="521"/>
      <c r="E12" s="521"/>
      <c r="F12" s="521"/>
      <c r="G12" s="521"/>
      <c r="H12" s="521"/>
      <c r="I12" s="521"/>
      <c r="J12" s="521"/>
      <c r="K12" s="521"/>
      <c r="L12" s="521"/>
      <c r="M12" s="521"/>
      <c r="N12" s="522"/>
      <c r="O12" s="37"/>
      <c r="P12" s="207">
        <v>0</v>
      </c>
      <c r="Q12" s="54">
        <v>1</v>
      </c>
      <c r="R12" s="69">
        <f>'Capitation Summary'!$B$11</f>
        <v>1117792</v>
      </c>
      <c r="S12" s="72">
        <f t="shared" si="0"/>
        <v>0</v>
      </c>
    </row>
    <row r="13" spans="1:22" ht="38.25">
      <c r="A13" s="34" t="s">
        <v>131</v>
      </c>
      <c r="B13" s="35" t="s">
        <v>132</v>
      </c>
      <c r="C13" s="524" t="s">
        <v>107</v>
      </c>
      <c r="D13" s="521"/>
      <c r="E13" s="521"/>
      <c r="F13" s="521"/>
      <c r="G13" s="521"/>
      <c r="H13" s="521"/>
      <c r="I13" s="521"/>
      <c r="J13" s="521"/>
      <c r="K13" s="521"/>
      <c r="L13" s="521"/>
      <c r="M13" s="521"/>
      <c r="N13" s="522"/>
      <c r="O13" s="37"/>
      <c r="P13" s="207">
        <v>0</v>
      </c>
      <c r="Q13" s="54">
        <v>1</v>
      </c>
      <c r="R13" s="69">
        <f>'Capitation Summary'!$B$11</f>
        <v>1117792</v>
      </c>
      <c r="S13" s="72">
        <f t="shared" ref="S13" si="1">P13*Q13*R13</f>
        <v>0</v>
      </c>
    </row>
    <row r="14" spans="1:22" ht="25.5">
      <c r="A14" s="70" t="s">
        <v>133</v>
      </c>
      <c r="B14" s="74" t="s">
        <v>134</v>
      </c>
      <c r="C14" s="524" t="s">
        <v>107</v>
      </c>
      <c r="D14" s="521"/>
      <c r="E14" s="521"/>
      <c r="F14" s="521"/>
      <c r="G14" s="521"/>
      <c r="H14" s="521"/>
      <c r="I14" s="521"/>
      <c r="J14" s="521"/>
      <c r="K14" s="521"/>
      <c r="L14" s="521"/>
      <c r="M14" s="521"/>
      <c r="N14" s="522"/>
      <c r="O14" s="37"/>
      <c r="P14" s="207">
        <v>0</v>
      </c>
      <c r="Q14" s="54">
        <v>1</v>
      </c>
      <c r="R14" s="69">
        <f>'Capitation Summary'!$B$11</f>
        <v>1117792</v>
      </c>
      <c r="S14" s="72">
        <f t="shared" si="0"/>
        <v>0</v>
      </c>
    </row>
    <row r="15" spans="1:22" ht="25.5">
      <c r="A15" s="76" t="s">
        <v>135</v>
      </c>
      <c r="B15" s="74" t="s">
        <v>136</v>
      </c>
      <c r="C15" s="524" t="s">
        <v>107</v>
      </c>
      <c r="D15" s="521"/>
      <c r="E15" s="521"/>
      <c r="F15" s="521"/>
      <c r="G15" s="521"/>
      <c r="H15" s="521"/>
      <c r="I15" s="521"/>
      <c r="J15" s="521"/>
      <c r="K15" s="521"/>
      <c r="L15" s="521"/>
      <c r="M15" s="521"/>
      <c r="N15" s="522"/>
      <c r="O15" s="37"/>
      <c r="P15" s="207">
        <v>0</v>
      </c>
      <c r="Q15" s="54">
        <v>1</v>
      </c>
      <c r="R15" s="69">
        <f>'Capitation Summary'!$B$11</f>
        <v>1117792</v>
      </c>
      <c r="S15" s="72">
        <f t="shared" si="0"/>
        <v>0</v>
      </c>
    </row>
    <row r="16" spans="1:22" ht="26.25" thickBot="1">
      <c r="A16" s="235"/>
      <c r="B16" s="236" t="s">
        <v>150</v>
      </c>
      <c r="C16" s="524" t="s">
        <v>107</v>
      </c>
      <c r="D16" s="521"/>
      <c r="E16" s="521"/>
      <c r="F16" s="521"/>
      <c r="G16" s="521"/>
      <c r="H16" s="521"/>
      <c r="I16" s="521"/>
      <c r="J16" s="521"/>
      <c r="K16" s="521"/>
      <c r="L16" s="521"/>
      <c r="M16" s="521"/>
      <c r="N16" s="522"/>
      <c r="O16" s="237"/>
      <c r="P16" s="238">
        <f>Specialists!B6</f>
        <v>25</v>
      </c>
      <c r="Q16" s="234">
        <v>0</v>
      </c>
      <c r="R16" s="69">
        <f>'Capitation Summary'!$B$11</f>
        <v>1117792</v>
      </c>
      <c r="S16" s="72">
        <f t="shared" si="0"/>
        <v>0</v>
      </c>
    </row>
    <row r="17" spans="1:19" ht="13.5" thickBot="1">
      <c r="A17" s="425"/>
      <c r="B17" s="425"/>
      <c r="C17" s="425"/>
      <c r="D17" s="425"/>
      <c r="E17" s="425"/>
      <c r="F17" s="425"/>
      <c r="G17" s="425"/>
      <c r="H17" s="425"/>
      <c r="I17" s="425"/>
      <c r="J17" s="425"/>
      <c r="K17" s="425"/>
      <c r="L17" s="425"/>
      <c r="M17" s="425"/>
      <c r="N17" s="425"/>
      <c r="O17" s="425"/>
      <c r="P17" s="426"/>
      <c r="Q17" s="425"/>
      <c r="R17" s="426"/>
      <c r="S17" s="426"/>
    </row>
    <row r="18" spans="1:19">
      <c r="A18" s="41"/>
      <c r="B18" s="41"/>
      <c r="C18" s="41"/>
      <c r="D18" s="41"/>
      <c r="E18" s="41"/>
      <c r="F18" s="41"/>
      <c r="G18" s="41"/>
      <c r="H18" s="41"/>
      <c r="I18" s="41"/>
      <c r="J18" s="41"/>
      <c r="K18" s="41"/>
      <c r="L18" s="41"/>
      <c r="M18" s="41"/>
      <c r="N18" s="41"/>
      <c r="O18" s="41"/>
      <c r="P18" s="208"/>
      <c r="Q18" s="41"/>
      <c r="R18" s="280" t="s">
        <v>138</v>
      </c>
      <c r="S18" s="281">
        <f>SUM(S3:S17)</f>
        <v>82318108.165800005</v>
      </c>
    </row>
    <row r="19" spans="1:19">
      <c r="O19" s="22"/>
      <c r="R19" s="285" t="s">
        <v>151</v>
      </c>
      <c r="S19" s="284">
        <f>S18/R3/12</f>
        <v>6.1369578125000004</v>
      </c>
    </row>
    <row r="20" spans="1:19">
      <c r="O20" s="22"/>
    </row>
    <row r="21" spans="1:19">
      <c r="O21" s="22"/>
    </row>
    <row r="22" spans="1:19">
      <c r="O22" s="22"/>
    </row>
    <row r="23" spans="1:19">
      <c r="O23" s="22"/>
    </row>
    <row r="24" spans="1:19">
      <c r="O24" s="22"/>
    </row>
    <row r="25" spans="1:19">
      <c r="O25" s="22"/>
    </row>
    <row r="26" spans="1:19">
      <c r="O26" s="22"/>
    </row>
    <row r="27" spans="1:19">
      <c r="O27" s="22"/>
    </row>
    <row r="28" spans="1:19">
      <c r="O28" s="22"/>
    </row>
    <row r="29" spans="1:19">
      <c r="O29" s="22"/>
    </row>
    <row r="30" spans="1:19">
      <c r="O30" s="22"/>
    </row>
    <row r="31" spans="1:19">
      <c r="O31" s="22"/>
    </row>
    <row r="32" spans="1:19">
      <c r="O32" s="22"/>
    </row>
    <row r="33" spans="15:15">
      <c r="O33" s="22"/>
    </row>
    <row r="34" spans="15:15">
      <c r="O34" s="22"/>
    </row>
    <row r="35" spans="15:15">
      <c r="O35" s="22"/>
    </row>
    <row r="36" spans="15:15">
      <c r="O36" s="22"/>
    </row>
    <row r="37" spans="15:15">
      <c r="O37" s="22"/>
    </row>
    <row r="38" spans="15:15">
      <c r="O38" s="22"/>
    </row>
    <row r="39" spans="15:15">
      <c r="O39" s="22"/>
    </row>
    <row r="40" spans="15:15">
      <c r="O40" s="22"/>
    </row>
    <row r="41" spans="15:15">
      <c r="O41" s="22"/>
    </row>
    <row r="42" spans="15:15">
      <c r="O42" s="22"/>
    </row>
    <row r="43" spans="15:15">
      <c r="O43" s="22"/>
    </row>
    <row r="44" spans="15:15">
      <c r="O44" s="22"/>
    </row>
    <row r="45" spans="15:15">
      <c r="O45" s="22"/>
    </row>
    <row r="46" spans="15:15">
      <c r="O46" s="22"/>
    </row>
    <row r="47" spans="15:15">
      <c r="O47" s="22"/>
    </row>
    <row r="48" spans="15:15">
      <c r="O48" s="22"/>
    </row>
    <row r="49" spans="15:15">
      <c r="O49" s="22"/>
    </row>
    <row r="50" spans="15:15">
      <c r="O50" s="22"/>
    </row>
    <row r="51" spans="15:15">
      <c r="O51" s="22"/>
    </row>
    <row r="52" spans="15:15">
      <c r="O52" s="22"/>
    </row>
    <row r="53" spans="15:15">
      <c r="O53" s="22"/>
    </row>
    <row r="54" spans="15:15">
      <c r="O54" s="22"/>
    </row>
    <row r="55" spans="15:15">
      <c r="O55" s="22"/>
    </row>
    <row r="56" spans="15:15">
      <c r="O56" s="22"/>
    </row>
    <row r="57" spans="15:15">
      <c r="O57" s="22"/>
    </row>
    <row r="58" spans="15:15">
      <c r="O58" s="22"/>
    </row>
    <row r="59" spans="15:15">
      <c r="O59" s="22"/>
    </row>
    <row r="60" spans="15:15">
      <c r="O60" s="22"/>
    </row>
    <row r="61" spans="15:15">
      <c r="O61" s="22"/>
    </row>
    <row r="62" spans="15:15">
      <c r="O62" s="22"/>
    </row>
    <row r="63" spans="15:15">
      <c r="O63" s="22"/>
    </row>
    <row r="64" spans="15:15">
      <c r="O64" s="22"/>
    </row>
    <row r="65" spans="15:15">
      <c r="O65" s="22"/>
    </row>
    <row r="66" spans="15:15">
      <c r="O66" s="22"/>
    </row>
    <row r="67" spans="15:15">
      <c r="O67" s="22"/>
    </row>
    <row r="68" spans="15:15">
      <c r="O68" s="22"/>
    </row>
    <row r="69" spans="15:15">
      <c r="O69" s="22"/>
    </row>
    <row r="70" spans="15:15">
      <c r="O70" s="22"/>
    </row>
    <row r="71" spans="15:15">
      <c r="O71" s="22"/>
    </row>
    <row r="72" spans="15:15">
      <c r="O72" s="22"/>
    </row>
    <row r="73" spans="15:15">
      <c r="O73" s="22"/>
    </row>
    <row r="74" spans="15:15">
      <c r="O74" s="22"/>
    </row>
    <row r="75" spans="15:15">
      <c r="O75" s="22"/>
    </row>
    <row r="76" spans="15:15">
      <c r="O76" s="22"/>
    </row>
    <row r="77" spans="15:15">
      <c r="O77" s="22"/>
    </row>
    <row r="78" spans="15:15">
      <c r="O78" s="22"/>
    </row>
    <row r="79" spans="15:15">
      <c r="O79" s="22"/>
    </row>
    <row r="80" spans="15:15">
      <c r="O80" s="22"/>
    </row>
    <row r="81" spans="15:15">
      <c r="O81" s="22"/>
    </row>
    <row r="82" spans="15:15">
      <c r="O82" s="22"/>
    </row>
    <row r="83" spans="15:15">
      <c r="O83" s="22"/>
    </row>
    <row r="84" spans="15:15">
      <c r="O84" s="22"/>
    </row>
    <row r="85" spans="15:15">
      <c r="O85" s="22"/>
    </row>
    <row r="86" spans="15:15">
      <c r="O86" s="22"/>
    </row>
    <row r="87" spans="15:15">
      <c r="O87" s="22"/>
    </row>
    <row r="88" spans="15:15">
      <c r="O88" s="22"/>
    </row>
    <row r="89" spans="15:15">
      <c r="O89" s="22"/>
    </row>
    <row r="90" spans="15:15">
      <c r="O90" s="22"/>
    </row>
    <row r="91" spans="15:15">
      <c r="O91" s="22"/>
    </row>
    <row r="92" spans="15:15">
      <c r="O92" s="22"/>
    </row>
    <row r="93" spans="15:15">
      <c r="O93" s="22"/>
    </row>
    <row r="94" spans="15:15">
      <c r="O94" s="22"/>
    </row>
    <row r="95" spans="15:15">
      <c r="O95" s="22"/>
    </row>
    <row r="96" spans="15:15">
      <c r="O96" s="22"/>
    </row>
    <row r="97" spans="15:15">
      <c r="O97" s="22"/>
    </row>
    <row r="98" spans="15:15">
      <c r="O98" s="22"/>
    </row>
    <row r="99" spans="15:15">
      <c r="O99" s="22"/>
    </row>
    <row r="100" spans="15:15">
      <c r="O100" s="22"/>
    </row>
    <row r="101" spans="15:15">
      <c r="O101" s="22"/>
    </row>
    <row r="102" spans="15:15">
      <c r="O102" s="22"/>
    </row>
    <row r="103" spans="15:15">
      <c r="O103" s="22"/>
    </row>
    <row r="104" spans="15:15">
      <c r="O104" s="22"/>
    </row>
    <row r="105" spans="15:15">
      <c r="O105" s="22"/>
    </row>
    <row r="106" spans="15:15">
      <c r="O106" s="22"/>
    </row>
    <row r="107" spans="15:15">
      <c r="O107" s="22"/>
    </row>
    <row r="108" spans="15:15">
      <c r="O108" s="22"/>
    </row>
    <row r="109" spans="15:15">
      <c r="O109" s="22"/>
    </row>
    <row r="110" spans="15:15">
      <c r="O110" s="22"/>
    </row>
    <row r="111" spans="15:15">
      <c r="O111" s="22"/>
    </row>
    <row r="112" spans="15:15">
      <c r="O112" s="22"/>
    </row>
    <row r="113" spans="15:15">
      <c r="O113" s="22"/>
    </row>
    <row r="114" spans="15:15">
      <c r="O114" s="22"/>
    </row>
    <row r="115" spans="15:15">
      <c r="O115" s="22"/>
    </row>
    <row r="116" spans="15:15">
      <c r="O116" s="22"/>
    </row>
    <row r="117" spans="15:15">
      <c r="O117" s="22"/>
    </row>
    <row r="118" spans="15:15">
      <c r="O118" s="22"/>
    </row>
    <row r="119" spans="15:15">
      <c r="O119" s="22"/>
    </row>
    <row r="120" spans="15:15">
      <c r="O120" s="22"/>
    </row>
    <row r="121" spans="15:15">
      <c r="O121" s="22"/>
    </row>
    <row r="122" spans="15:15">
      <c r="O122" s="22"/>
    </row>
    <row r="123" spans="15:15">
      <c r="O123" s="22"/>
    </row>
    <row r="124" spans="15:15">
      <c r="O124" s="22"/>
    </row>
    <row r="125" spans="15:15">
      <c r="O125" s="22"/>
    </row>
    <row r="126" spans="15:15">
      <c r="O126" s="22"/>
    </row>
    <row r="127" spans="15:15">
      <c r="O127" s="22"/>
    </row>
    <row r="128" spans="15:15">
      <c r="O128" s="22"/>
    </row>
    <row r="129" spans="15:15">
      <c r="O129" s="22"/>
    </row>
    <row r="130" spans="15:15">
      <c r="O130" s="22"/>
    </row>
    <row r="131" spans="15:15">
      <c r="O131" s="22"/>
    </row>
    <row r="132" spans="15:15">
      <c r="O132" s="22"/>
    </row>
    <row r="133" spans="15:15">
      <c r="O133" s="22"/>
    </row>
    <row r="134" spans="15:15">
      <c r="O134" s="22"/>
    </row>
    <row r="135" spans="15:15">
      <c r="O135" s="22"/>
    </row>
    <row r="136" spans="15:15">
      <c r="O136" s="22"/>
    </row>
    <row r="137" spans="15:15">
      <c r="O137" s="22"/>
    </row>
    <row r="138" spans="15:15">
      <c r="O138" s="22"/>
    </row>
    <row r="139" spans="15:15">
      <c r="O139" s="22"/>
    </row>
    <row r="140" spans="15:15">
      <c r="O140" s="22"/>
    </row>
    <row r="141" spans="15:15">
      <c r="O141" s="22"/>
    </row>
    <row r="142" spans="15:15">
      <c r="O142" s="22"/>
    </row>
    <row r="143" spans="15:15">
      <c r="O143" s="22"/>
    </row>
    <row r="144" spans="15:15">
      <c r="O144" s="22"/>
    </row>
    <row r="145" spans="15:15">
      <c r="O145" s="22"/>
    </row>
    <row r="146" spans="15:15">
      <c r="O146" s="22"/>
    </row>
    <row r="147" spans="15:15">
      <c r="O147" s="22"/>
    </row>
    <row r="148" spans="15:15">
      <c r="O148" s="22"/>
    </row>
    <row r="149" spans="15:15">
      <c r="O149" s="22"/>
    </row>
    <row r="150" spans="15:15">
      <c r="O150" s="22"/>
    </row>
    <row r="151" spans="15:15">
      <c r="O151" s="22"/>
    </row>
    <row r="152" spans="15:15">
      <c r="O152" s="22"/>
    </row>
    <row r="153" spans="15:15">
      <c r="O153" s="22"/>
    </row>
    <row r="154" spans="15:15">
      <c r="O154" s="22"/>
    </row>
    <row r="155" spans="15:15">
      <c r="O155" s="22"/>
    </row>
    <row r="156" spans="15:15">
      <c r="O156" s="22"/>
    </row>
    <row r="157" spans="15:15">
      <c r="O157" s="22"/>
    </row>
    <row r="158" spans="15:15">
      <c r="O158" s="22"/>
    </row>
    <row r="159" spans="15:15">
      <c r="O159" s="22"/>
    </row>
    <row r="160" spans="15:15">
      <c r="O160" s="22"/>
    </row>
    <row r="161" spans="15:15">
      <c r="O161" s="22"/>
    </row>
    <row r="162" spans="15:15">
      <c r="O162" s="22"/>
    </row>
    <row r="163" spans="15:15">
      <c r="O163" s="22"/>
    </row>
    <row r="164" spans="15:15">
      <c r="O164" s="22"/>
    </row>
    <row r="165" spans="15:15">
      <c r="O165" s="22"/>
    </row>
    <row r="166" spans="15:15">
      <c r="O166" s="22"/>
    </row>
    <row r="167" spans="15:15">
      <c r="O167" s="22"/>
    </row>
    <row r="168" spans="15:15">
      <c r="O168" s="22"/>
    </row>
    <row r="169" spans="15:15">
      <c r="O169" s="22"/>
    </row>
    <row r="170" spans="15:15">
      <c r="O170" s="22"/>
    </row>
    <row r="171" spans="15:15">
      <c r="O171" s="22"/>
    </row>
    <row r="172" spans="15:15">
      <c r="O172" s="22"/>
    </row>
    <row r="173" spans="15:15">
      <c r="O173" s="22"/>
    </row>
    <row r="174" spans="15:15">
      <c r="O174" s="22"/>
    </row>
    <row r="175" spans="15:15">
      <c r="O175" s="22"/>
    </row>
    <row r="176" spans="15:15">
      <c r="O176" s="22"/>
    </row>
    <row r="177" spans="15:15">
      <c r="O177" s="22"/>
    </row>
    <row r="178" spans="15:15">
      <c r="O178" s="22"/>
    </row>
    <row r="179" spans="15:15">
      <c r="O179" s="22"/>
    </row>
    <row r="180" spans="15:15">
      <c r="O180" s="22"/>
    </row>
    <row r="181" spans="15:15">
      <c r="O181" s="22"/>
    </row>
    <row r="182" spans="15:15">
      <c r="O182" s="22"/>
    </row>
    <row r="183" spans="15:15">
      <c r="O183" s="22"/>
    </row>
    <row r="184" spans="15:15">
      <c r="O184" s="22"/>
    </row>
    <row r="185" spans="15:15">
      <c r="O185" s="22"/>
    </row>
    <row r="186" spans="15:15">
      <c r="O186" s="22"/>
    </row>
    <row r="187" spans="15:15">
      <c r="O187" s="22"/>
    </row>
    <row r="188" spans="15:15">
      <c r="O188" s="22"/>
    </row>
    <row r="189" spans="15:15">
      <c r="O189" s="22"/>
    </row>
    <row r="190" spans="15:15">
      <c r="O190" s="22"/>
    </row>
    <row r="191" spans="15:15">
      <c r="O191" s="22"/>
    </row>
    <row r="192" spans="15:15">
      <c r="O192" s="22"/>
    </row>
    <row r="193" spans="15:15">
      <c r="O193" s="22"/>
    </row>
    <row r="194" spans="15:15">
      <c r="O194" s="22"/>
    </row>
    <row r="195" spans="15:15">
      <c r="O195" s="22"/>
    </row>
    <row r="196" spans="15:15">
      <c r="O196" s="22"/>
    </row>
    <row r="197" spans="15:15">
      <c r="O197" s="22"/>
    </row>
    <row r="198" spans="15:15">
      <c r="O198" s="22"/>
    </row>
    <row r="199" spans="15:15">
      <c r="O199" s="22"/>
    </row>
    <row r="200" spans="15:15">
      <c r="O200" s="22"/>
    </row>
    <row r="201" spans="15:15">
      <c r="O201" s="22"/>
    </row>
    <row r="202" spans="15:15">
      <c r="O202" s="22"/>
    </row>
    <row r="203" spans="15:15">
      <c r="O203" s="22"/>
    </row>
    <row r="204" spans="15:15">
      <c r="O204" s="22"/>
    </row>
    <row r="205" spans="15:15">
      <c r="O205" s="22"/>
    </row>
    <row r="206" spans="15:15">
      <c r="O206" s="22"/>
    </row>
    <row r="207" spans="15:15">
      <c r="O207" s="22"/>
    </row>
    <row r="208" spans="15:15">
      <c r="O208" s="22"/>
    </row>
    <row r="209" spans="15:15">
      <c r="O209" s="22"/>
    </row>
    <row r="210" spans="15:15">
      <c r="O210" s="22"/>
    </row>
    <row r="211" spans="15:15">
      <c r="O211" s="22"/>
    </row>
    <row r="212" spans="15:15">
      <c r="O212" s="22"/>
    </row>
    <row r="213" spans="15:15">
      <c r="O213" s="22"/>
    </row>
    <row r="214" spans="15:15">
      <c r="O214" s="22"/>
    </row>
    <row r="215" spans="15:15">
      <c r="O215" s="22"/>
    </row>
    <row r="216" spans="15:15">
      <c r="O216" s="22"/>
    </row>
    <row r="217" spans="15:15">
      <c r="O217" s="22"/>
    </row>
    <row r="218" spans="15:15">
      <c r="O218" s="22"/>
    </row>
  </sheetData>
  <mergeCells count="16">
    <mergeCell ref="C16:N16"/>
    <mergeCell ref="A1:S1"/>
    <mergeCell ref="C3:N3"/>
    <mergeCell ref="C11:N11"/>
    <mergeCell ref="C4:N4"/>
    <mergeCell ref="C10:N10"/>
    <mergeCell ref="A5:A7"/>
    <mergeCell ref="C15:N15"/>
    <mergeCell ref="C5:N5"/>
    <mergeCell ref="C6:N6"/>
    <mergeCell ref="C12:N12"/>
    <mergeCell ref="C14:N14"/>
    <mergeCell ref="C8:N8"/>
    <mergeCell ref="C7:N7"/>
    <mergeCell ref="C9:N9"/>
    <mergeCell ref="C13:N13"/>
  </mergeCells>
  <pageMargins left="0.7" right="0.7" top="0.75" bottom="0.75" header="0" footer="0"/>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AD985"/>
  <sheetViews>
    <sheetView topLeftCell="D5" zoomScale="72" workbookViewId="0">
      <selection activeCell="M18" sqref="M18"/>
    </sheetView>
  </sheetViews>
  <sheetFormatPr defaultColWidth="14.42578125" defaultRowHeight="15" customHeight="1"/>
  <cols>
    <col min="1" max="1" width="20.140625" style="305" customWidth="1"/>
    <col min="2" max="2" width="9.7109375" style="305" customWidth="1"/>
    <col min="3" max="3" width="13.140625" style="305" customWidth="1"/>
    <col min="4" max="4" width="11.85546875" style="305" customWidth="1"/>
    <col min="5" max="5" width="13" style="305" customWidth="1"/>
    <col min="6" max="6" width="13.28515625" style="247" customWidth="1"/>
    <col min="7" max="7" width="14.5703125" style="247" customWidth="1"/>
    <col min="8" max="8" width="12.140625" style="247" customWidth="1"/>
    <col min="9" max="9" width="10.140625" style="247" customWidth="1"/>
    <col min="10" max="10" width="7.5703125" style="247" customWidth="1"/>
    <col min="11" max="11" width="17.7109375" style="247" customWidth="1"/>
    <col min="12" max="12" width="12.140625" style="247" customWidth="1"/>
    <col min="13" max="13" width="9.85546875" style="247" customWidth="1"/>
    <col min="14" max="14" width="11.7109375" style="247" customWidth="1"/>
    <col min="15" max="15" width="4.28515625" style="247" customWidth="1"/>
    <col min="16" max="22" width="3" style="18" customWidth="1"/>
    <col min="23" max="24" width="3.42578125" style="18" customWidth="1"/>
    <col min="25" max="25" width="16.140625" style="18" customWidth="1"/>
    <col min="26" max="26" width="11.140625" style="18" customWidth="1"/>
    <col min="27" max="27" width="12.7109375" style="18" customWidth="1"/>
    <col min="28" max="28" width="18" style="18" customWidth="1"/>
    <col min="29" max="29" width="16.5703125" style="18" customWidth="1"/>
    <col min="30" max="30" width="13.42578125" style="18" customWidth="1"/>
    <col min="31" max="31" width="10" style="97" customWidth="1"/>
    <col min="32" max="16384" width="14.42578125" style="97"/>
  </cols>
  <sheetData>
    <row r="1" spans="1:30" ht="15" customHeight="1">
      <c r="A1" s="518" t="s">
        <v>152</v>
      </c>
      <c r="B1" s="519"/>
      <c r="C1" s="519"/>
      <c r="D1" s="519"/>
      <c r="E1" s="519"/>
      <c r="F1" s="519"/>
      <c r="G1" s="519"/>
      <c r="H1" s="519"/>
      <c r="I1" s="519"/>
      <c r="J1" s="519"/>
      <c r="K1" s="519"/>
      <c r="L1" s="519"/>
      <c r="M1" s="519"/>
      <c r="N1" s="519"/>
    </row>
    <row r="2" spans="1:30" ht="15.75" customHeight="1">
      <c r="A2" s="287" t="s">
        <v>153</v>
      </c>
      <c r="B2" s="536" t="s">
        <v>154</v>
      </c>
      <c r="C2" s="537"/>
      <c r="D2" s="537"/>
      <c r="E2" s="538"/>
      <c r="F2" s="288" t="s">
        <v>155</v>
      </c>
      <c r="G2" s="288" t="s">
        <v>156</v>
      </c>
      <c r="H2" s="288" t="s">
        <v>157</v>
      </c>
      <c r="I2" s="288" t="s">
        <v>158</v>
      </c>
      <c r="J2" s="288"/>
      <c r="K2" s="289"/>
      <c r="L2" s="289"/>
      <c r="M2" s="289"/>
      <c r="N2" s="289"/>
      <c r="O2" s="18"/>
      <c r="P2" s="97"/>
      <c r="Q2" s="97"/>
      <c r="R2" s="97"/>
      <c r="S2" s="97"/>
      <c r="T2" s="97"/>
      <c r="U2" s="97"/>
      <c r="V2" s="97"/>
      <c r="W2" s="97"/>
      <c r="X2" s="97"/>
      <c r="Y2" s="97"/>
      <c r="Z2" s="97"/>
      <c r="AA2" s="97"/>
      <c r="AB2" s="97"/>
      <c r="AC2" s="97"/>
      <c r="AD2" s="97"/>
    </row>
    <row r="3" spans="1:30" ht="15.75" customHeight="1">
      <c r="A3" s="316" t="s">
        <v>159</v>
      </c>
      <c r="B3" s="290" t="s">
        <v>160</v>
      </c>
      <c r="C3" s="290" t="s">
        <v>161</v>
      </c>
      <c r="D3" s="290" t="s">
        <v>162</v>
      </c>
      <c r="E3" s="288" t="s">
        <v>163</v>
      </c>
      <c r="F3" s="288" t="s">
        <v>164</v>
      </c>
      <c r="G3" s="288" t="s">
        <v>165</v>
      </c>
      <c r="H3" s="288"/>
      <c r="I3" s="288"/>
      <c r="J3" s="291" t="s">
        <v>166</v>
      </c>
      <c r="K3" s="292"/>
      <c r="L3" s="293" t="s">
        <v>154</v>
      </c>
      <c r="M3" s="293" t="s">
        <v>167</v>
      </c>
      <c r="N3" s="293" t="s">
        <v>13</v>
      </c>
      <c r="O3" s="97"/>
      <c r="P3" s="97"/>
      <c r="Q3" s="97"/>
      <c r="R3" s="97"/>
      <c r="S3" s="97"/>
      <c r="T3" s="97"/>
      <c r="U3" s="97"/>
      <c r="V3" s="97"/>
      <c r="W3" s="97"/>
      <c r="X3" s="97"/>
      <c r="Y3" s="97"/>
      <c r="Z3" s="97"/>
      <c r="AA3" s="97"/>
      <c r="AB3" s="97"/>
      <c r="AC3" s="97"/>
      <c r="AD3" s="97"/>
    </row>
    <row r="4" spans="1:30" ht="15.75" customHeight="1">
      <c r="A4" s="294" t="s">
        <v>168</v>
      </c>
      <c r="B4" s="497"/>
      <c r="C4" s="497">
        <v>1</v>
      </c>
      <c r="D4" s="497">
        <v>1</v>
      </c>
      <c r="E4" s="498">
        <v>1</v>
      </c>
      <c r="F4" s="498">
        <v>1</v>
      </c>
      <c r="G4" s="498">
        <v>2</v>
      </c>
      <c r="H4" s="498">
        <v>1</v>
      </c>
      <c r="I4" s="498">
        <v>1</v>
      </c>
      <c r="J4" s="296">
        <f>'Visit Costs'!E8</f>
        <v>2.2209374999999998</v>
      </c>
      <c r="K4" s="297"/>
      <c r="L4" s="298">
        <f>J4*(SUM(B4:E4))</f>
        <v>6.6628124999999994</v>
      </c>
      <c r="M4" s="298">
        <f>SUM(F4:I4)*J4</f>
        <v>11.104687499999999</v>
      </c>
      <c r="N4" s="299"/>
      <c r="O4" s="97"/>
      <c r="P4" s="97"/>
      <c r="Q4" s="97"/>
      <c r="R4" s="97"/>
      <c r="S4" s="97"/>
      <c r="T4" s="97"/>
      <c r="U4" s="97"/>
      <c r="V4" s="97"/>
      <c r="W4" s="97"/>
      <c r="X4" s="97"/>
      <c r="Y4" s="97"/>
      <c r="Z4" s="97"/>
      <c r="AA4" s="97"/>
      <c r="AB4" s="97"/>
      <c r="AC4" s="97"/>
      <c r="AD4" s="97"/>
    </row>
    <row r="5" spans="1:30" ht="15.75" customHeight="1">
      <c r="A5" s="294" t="s">
        <v>169</v>
      </c>
      <c r="B5" s="497"/>
      <c r="C5" s="497">
        <v>2</v>
      </c>
      <c r="D5" s="497">
        <v>1</v>
      </c>
      <c r="E5" s="498">
        <v>1</v>
      </c>
      <c r="F5" s="498">
        <v>1</v>
      </c>
      <c r="G5" s="498"/>
      <c r="H5" s="498"/>
      <c r="I5" s="498"/>
      <c r="J5" s="296">
        <f>'Visit Costs'!E7</f>
        <v>1.6434937499999998</v>
      </c>
      <c r="K5" s="297"/>
      <c r="L5" s="298">
        <f>J5*(SUM(B5:E5))</f>
        <v>6.573974999999999</v>
      </c>
      <c r="M5" s="298">
        <f>SUM(F5:I5)*J5</f>
        <v>1.6434937499999998</v>
      </c>
      <c r="N5" s="299"/>
      <c r="O5" s="97"/>
      <c r="P5" s="97"/>
      <c r="Q5" s="97"/>
      <c r="R5" s="97"/>
      <c r="S5" s="97"/>
      <c r="T5" s="97"/>
      <c r="U5" s="97"/>
      <c r="V5" s="97"/>
      <c r="W5" s="97"/>
      <c r="X5" s="97"/>
      <c r="Y5" s="97"/>
      <c r="Z5" s="97"/>
      <c r="AA5" s="97"/>
      <c r="AB5" s="97"/>
      <c r="AC5" s="97"/>
      <c r="AD5" s="97"/>
    </row>
    <row r="6" spans="1:30" ht="15.75" customHeight="1">
      <c r="A6" s="294" t="s">
        <v>170</v>
      </c>
      <c r="B6" s="497"/>
      <c r="C6" s="497"/>
      <c r="D6" s="497"/>
      <c r="E6" s="498"/>
      <c r="F6" s="498"/>
      <c r="G6" s="498"/>
      <c r="H6" s="498"/>
      <c r="I6" s="498"/>
      <c r="J6" s="296">
        <f>'Visit Costs'!E12</f>
        <v>1.4484375</v>
      </c>
      <c r="K6" s="297"/>
      <c r="L6" s="298">
        <f>J6*(SUM(B6:E6))</f>
        <v>0</v>
      </c>
      <c r="M6" s="298">
        <f>SUM(F6:I6)*J6</f>
        <v>0</v>
      </c>
      <c r="N6" s="299"/>
      <c r="O6" s="97"/>
      <c r="P6" s="97"/>
      <c r="Q6" s="97"/>
      <c r="R6" s="97"/>
      <c r="S6" s="97"/>
      <c r="T6" s="97"/>
      <c r="U6" s="97"/>
      <c r="V6" s="97"/>
      <c r="W6" s="97"/>
      <c r="X6" s="97"/>
      <c r="Y6" s="97"/>
      <c r="Z6" s="97"/>
      <c r="AA6" s="97"/>
      <c r="AB6" s="97"/>
      <c r="AC6" s="97"/>
      <c r="AD6" s="97"/>
    </row>
    <row r="7" spans="1:30" ht="15.75" customHeight="1">
      <c r="A7" s="294" t="s">
        <v>171</v>
      </c>
      <c r="B7" s="497">
        <v>1</v>
      </c>
      <c r="C7" s="497"/>
      <c r="D7" s="497"/>
      <c r="E7" s="498"/>
      <c r="F7" s="498"/>
      <c r="G7" s="498"/>
      <c r="H7" s="498"/>
      <c r="I7" s="498"/>
      <c r="J7" s="296">
        <f>'Visit Costs'!E16</f>
        <v>6.9524999999999997</v>
      </c>
      <c r="K7" s="297"/>
      <c r="L7" s="298">
        <f>J7*(SUM(B7:E7))</f>
        <v>6.9524999999999997</v>
      </c>
      <c r="M7" s="298">
        <f>SUM(F7:I7)*J7</f>
        <v>0</v>
      </c>
      <c r="N7" s="298"/>
      <c r="O7" s="97"/>
      <c r="P7" s="97"/>
      <c r="Q7" s="97"/>
      <c r="R7" s="97"/>
      <c r="S7" s="97"/>
      <c r="T7" s="97"/>
      <c r="U7" s="97"/>
      <c r="V7" s="97"/>
      <c r="W7" s="97"/>
      <c r="X7" s="97"/>
      <c r="Y7" s="97"/>
      <c r="Z7" s="97"/>
      <c r="AA7" s="97"/>
      <c r="AB7" s="97"/>
      <c r="AC7" s="97"/>
      <c r="AD7" s="97"/>
    </row>
    <row r="8" spans="1:30" ht="15.75" customHeight="1">
      <c r="A8" s="294" t="s">
        <v>172</v>
      </c>
      <c r="B8" s="499">
        <v>1</v>
      </c>
      <c r="C8" s="499"/>
      <c r="D8" s="499"/>
      <c r="E8" s="500"/>
      <c r="F8" s="499">
        <v>1</v>
      </c>
      <c r="G8" s="499">
        <v>1</v>
      </c>
      <c r="H8" s="499">
        <v>1</v>
      </c>
      <c r="I8" s="499">
        <v>1</v>
      </c>
      <c r="J8" s="296">
        <f>'Visit Costs'!E15</f>
        <v>5.1448499999999999</v>
      </c>
      <c r="K8" s="297"/>
      <c r="L8" s="298">
        <f>J8*(SUM(B8:E8))</f>
        <v>5.1448499999999999</v>
      </c>
      <c r="M8" s="298">
        <f>SUM(F8:I8)*J8</f>
        <v>20.5794</v>
      </c>
      <c r="N8" s="299"/>
      <c r="O8" s="97"/>
      <c r="P8" s="97"/>
      <c r="Q8" s="97"/>
      <c r="R8" s="97"/>
      <c r="S8" s="97"/>
      <c r="T8" s="97"/>
      <c r="U8" s="97"/>
      <c r="V8" s="97"/>
      <c r="W8" s="97"/>
      <c r="X8" s="97"/>
      <c r="Y8" s="97"/>
      <c r="Z8" s="97"/>
      <c r="AA8" s="97"/>
      <c r="AB8" s="97"/>
      <c r="AC8" s="97"/>
      <c r="AD8" s="97"/>
    </row>
    <row r="9" spans="1:30" ht="15.75" customHeight="1">
      <c r="A9" s="294"/>
      <c r="B9" s="294"/>
      <c r="C9" s="294"/>
      <c r="D9" s="294"/>
      <c r="E9" s="300"/>
      <c r="F9" s="300"/>
      <c r="G9" s="300"/>
      <c r="H9" s="300"/>
      <c r="I9" s="300"/>
      <c r="J9" s="297"/>
      <c r="K9" s="301" t="s">
        <v>173</v>
      </c>
      <c r="L9" s="298">
        <f>SUM(L4:L8)</f>
        <v>25.334137499999997</v>
      </c>
      <c r="M9" s="298">
        <f>SUM(M4:M8)</f>
        <v>33.327581249999994</v>
      </c>
      <c r="N9" s="299"/>
      <c r="O9" s="97"/>
      <c r="P9" s="97"/>
      <c r="Q9" s="97"/>
      <c r="R9" s="97"/>
      <c r="S9" s="97"/>
      <c r="T9" s="97"/>
      <c r="U9" s="97"/>
      <c r="V9" s="97"/>
      <c r="W9" s="97"/>
      <c r="X9" s="97"/>
      <c r="Y9" s="97"/>
      <c r="Z9" s="97"/>
      <c r="AA9" s="97"/>
      <c r="AB9" s="97"/>
      <c r="AC9" s="97"/>
      <c r="AD9" s="97"/>
    </row>
    <row r="10" spans="1:30" ht="15.75" customHeight="1">
      <c r="A10" s="294"/>
      <c r="B10" s="294"/>
      <c r="C10" s="294"/>
      <c r="D10" s="294"/>
      <c r="E10" s="300"/>
      <c r="F10" s="294"/>
      <c r="G10" s="294"/>
      <c r="H10" s="294"/>
      <c r="I10" s="294"/>
      <c r="J10" s="297"/>
      <c r="K10" s="302" t="s">
        <v>14</v>
      </c>
      <c r="L10" s="303">
        <f>'Population Distribution'!D3*1000</f>
        <v>49599.999999999993</v>
      </c>
      <c r="M10" s="303">
        <f>SUM('Population Distribution'!D4:D7)*1000</f>
        <v>223600</v>
      </c>
      <c r="N10" s="303">
        <f>SUM(L10:M10)</f>
        <v>273200</v>
      </c>
      <c r="O10" s="97"/>
      <c r="P10" s="97"/>
      <c r="Q10" s="97"/>
      <c r="R10" s="97"/>
      <c r="S10" s="97"/>
      <c r="T10" s="97"/>
      <c r="U10" s="97"/>
      <c r="V10" s="97"/>
      <c r="W10" s="97"/>
      <c r="X10" s="97"/>
      <c r="Y10" s="97"/>
      <c r="Z10" s="97"/>
      <c r="AA10" s="97"/>
      <c r="AB10" s="97"/>
      <c r="AC10" s="97"/>
      <c r="AD10" s="97"/>
    </row>
    <row r="11" spans="1:30" ht="15.75" customHeight="1">
      <c r="A11" s="294"/>
      <c r="B11" s="294"/>
      <c r="C11" s="294"/>
      <c r="D11" s="294"/>
      <c r="E11" s="300"/>
      <c r="F11" s="300"/>
      <c r="G11" s="300"/>
      <c r="H11" s="300"/>
      <c r="I11" s="300"/>
      <c r="J11" s="297"/>
      <c r="K11" s="301" t="s">
        <v>174</v>
      </c>
      <c r="L11" s="303">
        <f>L7*L10</f>
        <v>344843.99999999994</v>
      </c>
      <c r="M11" s="303">
        <f>M9*M10</f>
        <v>7452047.1674999986</v>
      </c>
      <c r="N11" s="303"/>
      <c r="O11" s="97"/>
      <c r="P11" s="97"/>
      <c r="Q11" s="97"/>
      <c r="R11" s="97"/>
      <c r="S11" s="97"/>
      <c r="T11" s="97"/>
      <c r="U11" s="97"/>
      <c r="V11" s="97"/>
      <c r="W11" s="97"/>
      <c r="X11" s="97"/>
      <c r="Y11" s="97"/>
      <c r="Z11" s="97"/>
      <c r="AA11" s="97"/>
      <c r="AB11" s="97"/>
      <c r="AC11" s="97"/>
      <c r="AD11" s="97"/>
    </row>
    <row r="12" spans="1:30" ht="15.75" customHeight="1">
      <c r="A12" s="294"/>
      <c r="B12" s="294"/>
      <c r="C12" s="294"/>
      <c r="D12" s="294"/>
      <c r="E12" s="300"/>
      <c r="F12" s="300"/>
      <c r="G12" s="300"/>
      <c r="H12" s="300"/>
      <c r="I12" s="300"/>
      <c r="J12" s="297"/>
      <c r="K12" s="301" t="s">
        <v>175</v>
      </c>
      <c r="L12" s="303"/>
      <c r="M12" s="304">
        <f>SUM(L11:M11)/SUM(L10:M10)/12</f>
        <v>2.3782610930636889</v>
      </c>
      <c r="N12" s="303">
        <f>M12*N10*12</f>
        <v>7796891.1674999977</v>
      </c>
      <c r="O12" s="97"/>
      <c r="P12" s="97"/>
      <c r="Q12" s="97"/>
      <c r="R12" s="97"/>
      <c r="S12" s="97"/>
      <c r="T12" s="97"/>
      <c r="U12" s="97"/>
      <c r="V12" s="97"/>
      <c r="W12" s="97"/>
      <c r="X12" s="97"/>
      <c r="Y12" s="97"/>
      <c r="Z12" s="97"/>
      <c r="AA12" s="97"/>
      <c r="AB12" s="97"/>
      <c r="AC12" s="97"/>
      <c r="AD12" s="97"/>
    </row>
    <row r="13" spans="1:30" ht="15" customHeight="1">
      <c r="L13" s="306"/>
      <c r="M13" s="306"/>
      <c r="N13" s="306"/>
    </row>
    <row r="14" spans="1:30" s="315" customFormat="1" ht="15" customHeight="1">
      <c r="A14" s="287" t="s">
        <v>153</v>
      </c>
      <c r="B14" s="533">
        <v>1</v>
      </c>
      <c r="C14" s="534"/>
      <c r="D14" s="534"/>
      <c r="E14" s="535"/>
      <c r="F14" s="317"/>
      <c r="G14" s="317"/>
      <c r="H14" s="317"/>
      <c r="I14" s="317"/>
      <c r="J14" s="317">
        <v>2</v>
      </c>
      <c r="K14" s="317">
        <v>2.5</v>
      </c>
      <c r="L14" s="317">
        <v>3</v>
      </c>
      <c r="M14" s="317">
        <v>4</v>
      </c>
      <c r="N14" s="317">
        <v>5</v>
      </c>
      <c r="O14" s="318">
        <v>6</v>
      </c>
      <c r="P14" s="504">
        <v>7</v>
      </c>
      <c r="Q14" s="504">
        <v>8</v>
      </c>
      <c r="R14" s="505">
        <v>9</v>
      </c>
      <c r="S14" s="317">
        <v>10</v>
      </c>
      <c r="T14" s="317">
        <v>11</v>
      </c>
      <c r="U14" s="317">
        <v>12</v>
      </c>
      <c r="V14" s="317">
        <v>13</v>
      </c>
      <c r="W14" s="317">
        <v>14</v>
      </c>
      <c r="X14" s="317"/>
      <c r="Y14" s="293" t="s">
        <v>176</v>
      </c>
      <c r="Z14" s="293" t="s">
        <v>177</v>
      </c>
      <c r="AA14" s="293" t="s">
        <v>178</v>
      </c>
      <c r="AB14" s="293" t="s">
        <v>179</v>
      </c>
      <c r="AC14" s="314"/>
    </row>
    <row r="15" spans="1:30" ht="15" customHeight="1">
      <c r="A15" s="316" t="s">
        <v>159</v>
      </c>
      <c r="B15" s="319">
        <v>1</v>
      </c>
      <c r="C15" s="319">
        <v>2</v>
      </c>
      <c r="D15" s="319">
        <v>3</v>
      </c>
      <c r="E15" s="317">
        <v>4</v>
      </c>
      <c r="F15" s="317">
        <v>5</v>
      </c>
      <c r="G15" s="317">
        <v>6</v>
      </c>
      <c r="H15" s="317">
        <v>7</v>
      </c>
      <c r="I15" s="317">
        <v>8</v>
      </c>
      <c r="J15" s="320"/>
      <c r="K15" s="317"/>
      <c r="L15" s="317"/>
      <c r="M15" s="317"/>
      <c r="N15" s="317"/>
      <c r="O15" s="319"/>
      <c r="P15" s="319"/>
      <c r="Q15" s="319"/>
      <c r="R15" s="317"/>
      <c r="S15" s="317"/>
      <c r="T15" s="317"/>
      <c r="U15" s="317"/>
      <c r="V15" s="317"/>
      <c r="W15" s="320"/>
      <c r="X15" s="321"/>
      <c r="Y15" s="324"/>
      <c r="Z15" s="324"/>
      <c r="AA15" s="324"/>
      <c r="AB15" s="324"/>
      <c r="AC15" s="97"/>
      <c r="AD15" s="97"/>
    </row>
    <row r="16" spans="1:30" ht="15" customHeight="1">
      <c r="A16" s="307" t="s">
        <v>180</v>
      </c>
      <c r="B16" s="322"/>
      <c r="C16" s="322"/>
      <c r="D16" s="322"/>
      <c r="E16" s="322"/>
      <c r="F16" s="322">
        <v>1</v>
      </c>
      <c r="G16" s="322"/>
      <c r="H16" s="322"/>
      <c r="I16" s="322">
        <v>1</v>
      </c>
      <c r="J16" s="322"/>
      <c r="K16" s="322"/>
      <c r="L16" s="322"/>
      <c r="M16" s="322"/>
      <c r="N16" s="322"/>
      <c r="O16" s="322"/>
      <c r="P16" s="322"/>
      <c r="Q16" s="322"/>
      <c r="R16" s="322"/>
      <c r="S16" s="322"/>
      <c r="T16" s="322"/>
      <c r="U16" s="323"/>
      <c r="V16" s="323"/>
      <c r="W16" s="323"/>
      <c r="X16" s="323"/>
      <c r="Y16" s="325">
        <f>'Visit Costs'!E8</f>
        <v>2.2209374999999998</v>
      </c>
      <c r="Z16" s="326">
        <f>SUM(B16:I16)*Y16</f>
        <v>4.4418749999999996</v>
      </c>
      <c r="AA16" s="326">
        <f>SUM(J16:K16)*Y16</f>
        <v>0</v>
      </c>
      <c r="AB16" s="326">
        <f>SUM(L16:W16)*Y16</f>
        <v>0</v>
      </c>
      <c r="AC16" s="97"/>
      <c r="AD16" s="97"/>
    </row>
    <row r="17" spans="1:30" ht="15" customHeight="1">
      <c r="A17" s="307" t="s">
        <v>181</v>
      </c>
      <c r="B17" s="322">
        <v>1</v>
      </c>
      <c r="C17" s="322">
        <v>1</v>
      </c>
      <c r="D17" s="322">
        <v>1</v>
      </c>
      <c r="E17" s="322">
        <v>1</v>
      </c>
      <c r="F17" s="322"/>
      <c r="G17" s="322"/>
      <c r="H17" s="322">
        <v>1</v>
      </c>
      <c r="I17" s="322"/>
      <c r="J17" s="322"/>
      <c r="K17" s="322"/>
      <c r="L17" s="322"/>
      <c r="M17" s="322"/>
      <c r="N17" s="322">
        <v>1</v>
      </c>
      <c r="O17" s="322">
        <v>1</v>
      </c>
      <c r="P17" s="322">
        <v>1</v>
      </c>
      <c r="Q17" s="322"/>
      <c r="R17" s="322"/>
      <c r="S17" s="322"/>
      <c r="T17" s="322"/>
      <c r="U17" s="323">
        <v>1</v>
      </c>
      <c r="V17" s="323"/>
      <c r="W17" s="323"/>
      <c r="X17" s="323"/>
      <c r="Y17" s="327">
        <f>'Visit Costs'!E7</f>
        <v>1.6434937499999998</v>
      </c>
      <c r="Z17" s="326">
        <f t="shared" ref="Z17:Z20" si="0">SUM(B17:I17)*Y17</f>
        <v>8.2174687499999983</v>
      </c>
      <c r="AA17" s="326">
        <f t="shared" ref="AA17:AA20" si="1">SUM(J17:K17)*Y17</f>
        <v>0</v>
      </c>
      <c r="AB17" s="326">
        <f t="shared" ref="AB17:AB20" si="2">SUM(L17:W17)*Y17</f>
        <v>6.573974999999999</v>
      </c>
      <c r="AC17" s="97"/>
      <c r="AD17" s="97"/>
    </row>
    <row r="18" spans="1:30" ht="15" customHeight="1">
      <c r="A18" s="307" t="s">
        <v>182</v>
      </c>
      <c r="B18" s="322"/>
      <c r="C18" s="322"/>
      <c r="D18" s="322"/>
      <c r="E18" s="322"/>
      <c r="F18" s="322">
        <v>1</v>
      </c>
      <c r="G18" s="322">
        <v>1</v>
      </c>
      <c r="H18" s="322"/>
      <c r="I18" s="322">
        <v>1</v>
      </c>
      <c r="J18" s="322">
        <v>1</v>
      </c>
      <c r="K18" s="322">
        <v>1</v>
      </c>
      <c r="L18" s="322"/>
      <c r="M18" s="322"/>
      <c r="N18" s="322"/>
      <c r="O18" s="322"/>
      <c r="P18" s="322"/>
      <c r="Q18" s="322"/>
      <c r="R18" s="322"/>
      <c r="S18" s="322"/>
      <c r="T18" s="322"/>
      <c r="U18" s="323"/>
      <c r="V18" s="323">
        <v>1</v>
      </c>
      <c r="W18" s="323">
        <v>1</v>
      </c>
      <c r="X18" s="323"/>
      <c r="Y18" s="327">
        <f>'Visit Costs'!E12</f>
        <v>1.4484375</v>
      </c>
      <c r="Z18" s="326">
        <f t="shared" si="0"/>
        <v>4.3453125000000004</v>
      </c>
      <c r="AA18" s="326">
        <f t="shared" si="1"/>
        <v>2.8968750000000001</v>
      </c>
      <c r="AB18" s="326">
        <f t="shared" si="2"/>
        <v>2.8968750000000001</v>
      </c>
      <c r="AC18" s="97"/>
      <c r="AD18" s="97"/>
    </row>
    <row r="19" spans="1:30" ht="15" customHeight="1">
      <c r="A19" s="307" t="s">
        <v>183</v>
      </c>
      <c r="B19" s="322"/>
      <c r="C19" s="322"/>
      <c r="D19" s="322"/>
      <c r="E19" s="322"/>
      <c r="F19" s="322"/>
      <c r="G19" s="322"/>
      <c r="H19" s="322"/>
      <c r="I19" s="322"/>
      <c r="J19" s="322"/>
      <c r="K19" s="322"/>
      <c r="L19" s="322">
        <v>1</v>
      </c>
      <c r="M19" s="322">
        <v>1</v>
      </c>
      <c r="N19" s="322"/>
      <c r="O19" s="322"/>
      <c r="P19" s="322"/>
      <c r="Q19" s="322">
        <v>1</v>
      </c>
      <c r="R19" s="322">
        <v>1</v>
      </c>
      <c r="S19" s="322">
        <v>1</v>
      </c>
      <c r="T19" s="322">
        <v>1</v>
      </c>
      <c r="U19" s="323"/>
      <c r="V19" s="323"/>
      <c r="W19" s="323"/>
      <c r="X19" s="323"/>
      <c r="Y19" s="327">
        <f>'Visit Costs'!E11</f>
        <v>1.07184375</v>
      </c>
      <c r="Z19" s="326">
        <f t="shared" si="0"/>
        <v>0</v>
      </c>
      <c r="AA19" s="326">
        <f t="shared" si="1"/>
        <v>0</v>
      </c>
      <c r="AB19" s="326">
        <f t="shared" si="2"/>
        <v>6.4310624999999995</v>
      </c>
      <c r="AC19" s="97"/>
      <c r="AD19" s="97"/>
    </row>
    <row r="20" spans="1:30" ht="15" customHeight="1">
      <c r="A20" s="297" t="s">
        <v>171</v>
      </c>
      <c r="B20" s="322">
        <v>1</v>
      </c>
      <c r="C20" s="322"/>
      <c r="D20" s="322"/>
      <c r="E20" s="322"/>
      <c r="F20" s="322"/>
      <c r="G20" s="322"/>
      <c r="H20" s="322"/>
      <c r="I20" s="322"/>
      <c r="J20" s="322"/>
      <c r="K20" s="322"/>
      <c r="L20" s="322"/>
      <c r="M20" s="322"/>
      <c r="N20" s="322"/>
      <c r="O20" s="322"/>
      <c r="P20" s="322"/>
      <c r="Q20" s="322"/>
      <c r="R20" s="322"/>
      <c r="S20" s="322"/>
      <c r="T20" s="322"/>
      <c r="U20" s="323"/>
      <c r="V20" s="323"/>
      <c r="W20" s="323"/>
      <c r="X20" s="323"/>
      <c r="Y20" s="327">
        <f>'Visit Costs'!E16</f>
        <v>6.9524999999999997</v>
      </c>
      <c r="Z20" s="326">
        <f t="shared" si="0"/>
        <v>6.9524999999999997</v>
      </c>
      <c r="AA20" s="326">
        <f t="shared" si="1"/>
        <v>0</v>
      </c>
      <c r="AB20" s="326">
        <f t="shared" si="2"/>
        <v>0</v>
      </c>
      <c r="AC20" s="97"/>
      <c r="AD20" s="97"/>
    </row>
    <row r="21" spans="1:30" ht="15" customHeight="1">
      <c r="A21" s="308" t="s">
        <v>184</v>
      </c>
      <c r="B21" s="322">
        <v>1</v>
      </c>
      <c r="C21" s="322">
        <v>1</v>
      </c>
      <c r="D21" s="322">
        <v>1</v>
      </c>
      <c r="E21" s="322">
        <v>1</v>
      </c>
      <c r="F21" s="322">
        <v>2</v>
      </c>
      <c r="G21" s="322">
        <v>1</v>
      </c>
      <c r="H21" s="322">
        <v>1</v>
      </c>
      <c r="I21" s="322">
        <v>2</v>
      </c>
      <c r="J21" s="322">
        <v>1</v>
      </c>
      <c r="K21" s="322">
        <v>1</v>
      </c>
      <c r="L21" s="322"/>
      <c r="M21" s="322"/>
      <c r="N21" s="322"/>
      <c r="O21" s="322"/>
      <c r="P21" s="322"/>
      <c r="Q21" s="322"/>
      <c r="R21" s="322"/>
      <c r="S21" s="322"/>
      <c r="T21" s="322"/>
      <c r="U21" s="323"/>
      <c r="V21" s="323"/>
      <c r="W21" s="323"/>
      <c r="X21" s="323"/>
      <c r="Y21" s="328"/>
      <c r="Z21" s="329">
        <f>SUM(Z16:Z20)</f>
        <v>23.957156249999997</v>
      </c>
      <c r="AA21" s="329">
        <f t="shared" ref="AA21:AB21" si="3">SUM(AA16:AA20)</f>
        <v>2.8968750000000001</v>
      </c>
      <c r="AB21" s="329">
        <f t="shared" si="3"/>
        <v>15.901912499999998</v>
      </c>
      <c r="AC21" s="309"/>
      <c r="AD21" s="97"/>
    </row>
    <row r="22" spans="1:30" ht="15" customHeight="1">
      <c r="A22" s="307"/>
      <c r="B22" s="322"/>
      <c r="C22" s="322"/>
      <c r="D22" s="322"/>
      <c r="E22" s="322"/>
      <c r="F22" s="322"/>
      <c r="G22" s="322"/>
      <c r="H22" s="322"/>
      <c r="I22" s="322"/>
      <c r="J22" s="322"/>
      <c r="K22" s="322"/>
      <c r="L22" s="322"/>
      <c r="M22" s="322"/>
      <c r="N22" s="322"/>
      <c r="O22" s="322"/>
      <c r="P22" s="322"/>
      <c r="Q22" s="322"/>
      <c r="R22" s="322"/>
      <c r="S22" s="322"/>
      <c r="T22" s="322"/>
      <c r="U22" s="323"/>
      <c r="V22" s="323"/>
      <c r="W22" s="323"/>
      <c r="X22" s="323"/>
      <c r="Y22" s="307" t="s">
        <v>185</v>
      </c>
      <c r="Z22" s="330">
        <f>'Population Distribution'!D3*1000</f>
        <v>49599.999999999993</v>
      </c>
      <c r="AA22" s="330">
        <f>SUM('Population Distribution'!D4*1000)</f>
        <v>55900</v>
      </c>
      <c r="AB22" s="330">
        <f>SUM('Population Distribution'!D5:D17)*1000</f>
        <v>857300.00000000023</v>
      </c>
      <c r="AC22" s="303">
        <f>SUM(Z22:AB22)</f>
        <v>962800.00000000023</v>
      </c>
      <c r="AD22" s="97"/>
    </row>
    <row r="23" spans="1:30" ht="15" customHeight="1">
      <c r="A23" s="307"/>
      <c r="B23" s="322"/>
      <c r="C23" s="322"/>
      <c r="D23" s="322"/>
      <c r="E23" s="322"/>
      <c r="F23" s="322"/>
      <c r="G23" s="322"/>
      <c r="H23" s="322"/>
      <c r="I23" s="322"/>
      <c r="J23" s="322"/>
      <c r="K23" s="322"/>
      <c r="L23" s="322"/>
      <c r="M23" s="322"/>
      <c r="N23" s="322"/>
      <c r="O23" s="322"/>
      <c r="P23" s="322"/>
      <c r="Q23" s="322"/>
      <c r="R23" s="322"/>
      <c r="S23" s="322"/>
      <c r="T23" s="322"/>
      <c r="U23" s="323"/>
      <c r="V23" s="323"/>
      <c r="W23" s="323"/>
      <c r="X23" s="323"/>
      <c r="Y23" s="310" t="s">
        <v>186</v>
      </c>
      <c r="Z23" s="330">
        <f>Z22*Z21</f>
        <v>1188274.9499999997</v>
      </c>
      <c r="AA23" s="330">
        <f t="shared" ref="AA23:AB23" si="4">AA22*AA21</f>
        <v>161935.3125</v>
      </c>
      <c r="AB23" s="330">
        <f t="shared" si="4"/>
        <v>13632709.586250002</v>
      </c>
      <c r="AC23" s="303"/>
      <c r="AD23" s="97"/>
    </row>
    <row r="24" spans="1:30" ht="15" customHeight="1">
      <c r="Y24" s="301" t="s">
        <v>187</v>
      </c>
      <c r="Z24" s="331"/>
      <c r="AA24" s="332">
        <f>SUM(Z23:AB23)/SUM(Z22:AB22)/12</f>
        <v>1.2968182946224551</v>
      </c>
      <c r="AB24" s="331"/>
      <c r="AC24" s="331">
        <f>AA24*AC22*12</f>
        <v>14982919.848749999</v>
      </c>
    </row>
    <row r="25" spans="1:30" ht="19.5" customHeight="1">
      <c r="F25" s="97"/>
      <c r="G25" s="97"/>
      <c r="H25" s="97"/>
      <c r="I25" s="97"/>
      <c r="J25" s="97"/>
      <c r="K25" s="97"/>
      <c r="L25" s="97"/>
      <c r="M25" s="97"/>
      <c r="N25" s="97"/>
      <c r="O25" s="97"/>
      <c r="P25" s="97"/>
      <c r="Q25" s="97"/>
      <c r="R25" s="97"/>
      <c r="S25" s="97"/>
      <c r="T25" s="97"/>
      <c r="U25" s="97"/>
      <c r="V25" s="97"/>
      <c r="W25" s="97"/>
      <c r="X25" s="97"/>
      <c r="Y25" s="301" t="s">
        <v>188</v>
      </c>
      <c r="Z25" s="331"/>
      <c r="AA25" s="332">
        <f>SUM(Z23:AA23)/SUM(Z22:AA22)/12</f>
        <v>1.0665167950236965</v>
      </c>
      <c r="AB25" s="331"/>
      <c r="AC25" s="331">
        <f>SUM(Z22:AA22)*AA25*12</f>
        <v>1350210.2624999997</v>
      </c>
      <c r="AD25" s="97"/>
    </row>
    <row r="26" spans="1:30" ht="54.75" customHeight="1">
      <c r="A26" s="311" t="s">
        <v>189</v>
      </c>
      <c r="B26" s="311" t="s">
        <v>190</v>
      </c>
      <c r="C26" s="311" t="s">
        <v>191</v>
      </c>
      <c r="D26" s="311" t="s">
        <v>192</v>
      </c>
      <c r="E26" s="311" t="s">
        <v>193</v>
      </c>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row>
    <row r="27" spans="1:30" ht="89.25">
      <c r="A27" s="312" t="s">
        <v>194</v>
      </c>
      <c r="B27" s="313" t="s">
        <v>195</v>
      </c>
      <c r="C27" s="313" t="s">
        <v>196</v>
      </c>
      <c r="D27" s="313" t="s">
        <v>197</v>
      </c>
      <c r="E27" s="313" t="s">
        <v>198</v>
      </c>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row>
    <row r="28" spans="1:30" ht="114.75">
      <c r="A28" s="312" t="s">
        <v>199</v>
      </c>
      <c r="B28" s="313" t="s">
        <v>200</v>
      </c>
      <c r="C28" s="313" t="s">
        <v>201</v>
      </c>
      <c r="D28" s="313" t="s">
        <v>202</v>
      </c>
      <c r="E28" s="313" t="s">
        <v>203</v>
      </c>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row>
    <row r="29" spans="1:30" ht="14.25" customHeight="1">
      <c r="A29" s="312" t="s">
        <v>204</v>
      </c>
      <c r="B29" s="313" t="s">
        <v>205</v>
      </c>
      <c r="C29" s="313" t="s">
        <v>206</v>
      </c>
      <c r="D29" s="313" t="s">
        <v>202</v>
      </c>
      <c r="E29" s="313" t="s">
        <v>203</v>
      </c>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row>
    <row r="30" spans="1:30" ht="114.75">
      <c r="A30" s="312" t="s">
        <v>207</v>
      </c>
      <c r="B30" s="313" t="s">
        <v>208</v>
      </c>
      <c r="C30" s="313" t="s">
        <v>206</v>
      </c>
      <c r="D30" s="313" t="s">
        <v>202</v>
      </c>
      <c r="E30" s="313" t="s">
        <v>203</v>
      </c>
      <c r="F30" s="97"/>
      <c r="G30" s="97"/>
      <c r="H30" s="97"/>
      <c r="I30" s="97"/>
      <c r="J30" s="97"/>
      <c r="K30" s="97"/>
      <c r="L30" s="97"/>
      <c r="M30" s="97"/>
      <c r="N30" s="97"/>
      <c r="O30" s="97"/>
      <c r="P30" s="97"/>
      <c r="Q30" s="97"/>
      <c r="R30" s="97"/>
      <c r="S30" s="97"/>
      <c r="T30" s="97"/>
      <c r="U30" s="97"/>
      <c r="V30" s="97"/>
      <c r="W30" s="97"/>
      <c r="X30" s="97"/>
      <c r="Y30" s="97"/>
      <c r="Z30" s="97"/>
      <c r="AA30" s="97"/>
      <c r="AB30" s="97"/>
      <c r="AC30" s="97"/>
      <c r="AD30" s="97"/>
    </row>
    <row r="31" spans="1:30" ht="114.75">
      <c r="A31" s="312" t="s">
        <v>209</v>
      </c>
      <c r="B31" s="313" t="s">
        <v>210</v>
      </c>
      <c r="C31" s="313" t="s">
        <v>211</v>
      </c>
      <c r="D31" s="313" t="s">
        <v>202</v>
      </c>
      <c r="E31" s="313" t="s">
        <v>203</v>
      </c>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row>
    <row r="32" spans="1:30" ht="102">
      <c r="A32" s="312" t="s">
        <v>212</v>
      </c>
      <c r="B32" s="313" t="s">
        <v>213</v>
      </c>
      <c r="C32" s="313" t="s">
        <v>214</v>
      </c>
      <c r="D32" s="313" t="s">
        <v>197</v>
      </c>
      <c r="E32" s="313" t="s">
        <v>203</v>
      </c>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row>
    <row r="33" spans="1:30" ht="140.25">
      <c r="A33" s="312" t="s">
        <v>215</v>
      </c>
      <c r="B33" s="313" t="s">
        <v>216</v>
      </c>
      <c r="C33" s="313" t="s">
        <v>217</v>
      </c>
      <c r="D33" s="313" t="s">
        <v>197</v>
      </c>
      <c r="E33" s="313" t="s">
        <v>203</v>
      </c>
      <c r="F33" s="97"/>
      <c r="G33" s="97"/>
      <c r="H33" s="97"/>
      <c r="I33" s="97"/>
      <c r="J33" s="97"/>
      <c r="K33" s="97"/>
      <c r="L33" s="97"/>
      <c r="M33" s="97"/>
      <c r="N33" s="97"/>
      <c r="O33" s="97"/>
      <c r="P33" s="97"/>
      <c r="Q33" s="97"/>
      <c r="R33" s="97"/>
      <c r="S33" s="97"/>
      <c r="T33" s="97"/>
      <c r="U33" s="97"/>
      <c r="V33" s="97"/>
      <c r="W33" s="97"/>
      <c r="X33" s="97"/>
      <c r="Y33" s="97"/>
      <c r="Z33" s="97"/>
      <c r="AA33" s="97"/>
      <c r="AB33" s="97"/>
      <c r="AC33" s="97"/>
      <c r="AD33" s="97"/>
    </row>
    <row r="34" spans="1:30" ht="102">
      <c r="A34" s="312" t="s">
        <v>218</v>
      </c>
      <c r="B34" s="313" t="s">
        <v>219</v>
      </c>
      <c r="C34" s="313" t="s">
        <v>220</v>
      </c>
      <c r="D34" s="313" t="s">
        <v>202</v>
      </c>
      <c r="E34" s="313" t="s">
        <v>198</v>
      </c>
      <c r="F34" s="97"/>
      <c r="G34" s="97"/>
      <c r="H34" s="97"/>
      <c r="I34" s="97"/>
      <c r="J34" s="97"/>
      <c r="K34" s="97"/>
      <c r="L34" s="97"/>
      <c r="M34" s="97"/>
      <c r="N34" s="97"/>
      <c r="O34" s="97"/>
      <c r="P34" s="97"/>
      <c r="Q34" s="97"/>
      <c r="R34" s="97"/>
      <c r="S34" s="97"/>
      <c r="T34" s="97"/>
      <c r="U34" s="97"/>
      <c r="V34" s="97"/>
      <c r="W34" s="97"/>
      <c r="X34" s="97"/>
      <c r="Y34" s="97"/>
      <c r="Z34" s="97"/>
      <c r="AA34" s="97"/>
      <c r="AB34" s="97"/>
      <c r="AC34" s="97"/>
      <c r="AD34" s="97"/>
    </row>
    <row r="35" spans="1:30" ht="102">
      <c r="A35" s="312" t="s">
        <v>221</v>
      </c>
      <c r="B35" s="313" t="s">
        <v>222</v>
      </c>
      <c r="C35" s="313" t="s">
        <v>223</v>
      </c>
      <c r="D35" s="313" t="s">
        <v>197</v>
      </c>
      <c r="E35" s="313" t="s">
        <v>198</v>
      </c>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row>
    <row r="36" spans="1:30" ht="102">
      <c r="A36" s="312" t="s">
        <v>224</v>
      </c>
      <c r="B36" s="313" t="s">
        <v>225</v>
      </c>
      <c r="C36" s="313" t="s">
        <v>223</v>
      </c>
      <c r="D36" s="313" t="s">
        <v>197</v>
      </c>
      <c r="E36" s="313" t="s">
        <v>226</v>
      </c>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row>
    <row r="37" spans="1:30" ht="89.25">
      <c r="A37" s="312" t="s">
        <v>227</v>
      </c>
      <c r="B37" s="313" t="s">
        <v>228</v>
      </c>
      <c r="C37" s="313" t="s">
        <v>223</v>
      </c>
      <c r="D37" s="313" t="s">
        <v>197</v>
      </c>
      <c r="E37" s="313" t="s">
        <v>226</v>
      </c>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row>
    <row r="38" spans="1:30" ht="408">
      <c r="A38" s="312" t="s">
        <v>229</v>
      </c>
      <c r="B38" s="313" t="s">
        <v>230</v>
      </c>
      <c r="C38" s="313" t="s">
        <v>231</v>
      </c>
      <c r="D38" s="313" t="s">
        <v>202</v>
      </c>
      <c r="E38" s="313"/>
      <c r="F38" s="97"/>
      <c r="G38" s="97"/>
      <c r="H38" s="97"/>
      <c r="I38" s="97"/>
      <c r="J38" s="97"/>
      <c r="K38" s="97"/>
      <c r="L38" s="97"/>
      <c r="M38" s="97"/>
      <c r="N38" s="97"/>
      <c r="O38" s="97"/>
      <c r="P38" s="97"/>
      <c r="Q38" s="97"/>
      <c r="R38" s="97"/>
      <c r="S38" s="97"/>
      <c r="T38" s="97"/>
      <c r="U38" s="97"/>
      <c r="V38" s="97"/>
      <c r="W38" s="97"/>
      <c r="X38" s="97"/>
      <c r="Y38" s="97"/>
      <c r="Z38" s="97"/>
      <c r="AA38" s="97"/>
      <c r="AB38" s="97"/>
      <c r="AC38" s="97"/>
      <c r="AD38" s="97"/>
    </row>
    <row r="39" spans="1:30" ht="15" customHeight="1">
      <c r="A39" s="312" t="s">
        <v>232</v>
      </c>
      <c r="B39" s="313" t="s">
        <v>233</v>
      </c>
      <c r="C39" s="313" t="s">
        <v>234</v>
      </c>
      <c r="D39" s="313" t="s">
        <v>202</v>
      </c>
      <c r="E39" s="313" t="s">
        <v>203</v>
      </c>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row>
    <row r="40" spans="1:30" ht="165.75">
      <c r="A40" s="312" t="s">
        <v>235</v>
      </c>
      <c r="B40" s="313" t="s">
        <v>236</v>
      </c>
      <c r="C40" s="313" t="s">
        <v>237</v>
      </c>
      <c r="D40" s="313" t="s">
        <v>202</v>
      </c>
      <c r="E40" s="313" t="s">
        <v>203</v>
      </c>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row>
    <row r="41" spans="1:30" ht="51">
      <c r="A41" s="312" t="s">
        <v>238</v>
      </c>
      <c r="B41" s="313" t="s">
        <v>239</v>
      </c>
      <c r="C41" s="313" t="s">
        <v>237</v>
      </c>
      <c r="D41" s="313" t="s">
        <v>202</v>
      </c>
      <c r="E41" s="313" t="s">
        <v>203</v>
      </c>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row>
    <row r="42" spans="1:30" ht="15" customHeight="1">
      <c r="A42" s="312" t="s">
        <v>240</v>
      </c>
      <c r="B42" s="313" t="s">
        <v>241</v>
      </c>
      <c r="C42" s="313" t="s">
        <v>237</v>
      </c>
      <c r="D42" s="313" t="s">
        <v>202</v>
      </c>
      <c r="E42" s="313" t="s">
        <v>203</v>
      </c>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row>
    <row r="43" spans="1:30" ht="15" customHeight="1">
      <c r="A43" s="312" t="s">
        <v>242</v>
      </c>
      <c r="B43" s="313" t="s">
        <v>243</v>
      </c>
      <c r="C43" s="313" t="s">
        <v>237</v>
      </c>
      <c r="D43" s="313" t="s">
        <v>197</v>
      </c>
      <c r="E43" s="313" t="s">
        <v>203</v>
      </c>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row>
    <row r="44" spans="1:30" ht="28.5" customHeight="1">
      <c r="A44" s="312" t="s">
        <v>244</v>
      </c>
      <c r="B44" s="313"/>
      <c r="C44" s="313"/>
      <c r="D44" s="313"/>
      <c r="E44" s="313"/>
      <c r="F44" s="97"/>
      <c r="G44" s="97"/>
      <c r="H44" s="97"/>
      <c r="I44" s="97"/>
      <c r="J44" s="97"/>
      <c r="K44" s="97"/>
      <c r="L44" s="97"/>
      <c r="M44" s="97"/>
      <c r="N44" s="97"/>
      <c r="O44" s="97"/>
      <c r="P44" s="97"/>
      <c r="Q44" s="97"/>
      <c r="R44" s="97"/>
      <c r="S44" s="97"/>
      <c r="T44" s="97"/>
      <c r="U44" s="97"/>
      <c r="V44" s="97"/>
      <c r="W44" s="97"/>
      <c r="X44" s="97"/>
      <c r="Y44" s="97"/>
      <c r="Z44" s="97"/>
      <c r="AA44" s="97"/>
      <c r="AB44" s="97"/>
      <c r="AC44" s="97"/>
      <c r="AD44" s="97"/>
    </row>
    <row r="45" spans="1:30" ht="15.75" customHeight="1">
      <c r="A45" s="312" t="s">
        <v>245</v>
      </c>
      <c r="B45" s="313" t="s">
        <v>246</v>
      </c>
      <c r="C45" s="313" t="s">
        <v>247</v>
      </c>
      <c r="D45" s="313" t="s">
        <v>197</v>
      </c>
      <c r="E45" s="313" t="s">
        <v>203</v>
      </c>
      <c r="F45" s="97"/>
      <c r="G45" s="97"/>
      <c r="H45" s="97"/>
      <c r="I45" s="97"/>
      <c r="J45" s="97"/>
      <c r="K45" s="97"/>
      <c r="L45" s="97"/>
      <c r="M45" s="97"/>
      <c r="N45" s="97"/>
      <c r="O45" s="97"/>
      <c r="P45" s="97"/>
      <c r="Q45" s="97"/>
      <c r="R45" s="97"/>
      <c r="S45" s="97"/>
      <c r="T45" s="97"/>
      <c r="U45" s="97"/>
      <c r="V45" s="97"/>
      <c r="W45" s="97"/>
      <c r="X45" s="97"/>
      <c r="Y45" s="97"/>
      <c r="Z45" s="97"/>
      <c r="AA45" s="97"/>
      <c r="AB45" s="97"/>
      <c r="AC45" s="97"/>
      <c r="AD45" s="97"/>
    </row>
    <row r="46" spans="1:30" ht="14.25" customHeight="1">
      <c r="A46" s="312" t="s">
        <v>248</v>
      </c>
      <c r="B46" s="313"/>
      <c r="C46" s="313" t="s">
        <v>247</v>
      </c>
      <c r="D46" s="313" t="s">
        <v>197</v>
      </c>
      <c r="E46" s="313" t="s">
        <v>203</v>
      </c>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row>
    <row r="47" spans="1:30" ht="15.75" customHeight="1">
      <c r="A47" s="312" t="s">
        <v>249</v>
      </c>
      <c r="B47" s="313"/>
      <c r="C47" s="313" t="s">
        <v>247</v>
      </c>
      <c r="D47" s="313" t="s">
        <v>197</v>
      </c>
      <c r="E47" s="313" t="s">
        <v>203</v>
      </c>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row>
    <row r="48" spans="1:30" ht="15.75" customHeight="1">
      <c r="A48" s="312" t="s">
        <v>250</v>
      </c>
      <c r="B48" s="313"/>
      <c r="C48" s="313" t="s">
        <v>247</v>
      </c>
      <c r="D48" s="313" t="s">
        <v>197</v>
      </c>
      <c r="E48" s="313" t="s">
        <v>203</v>
      </c>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row>
    <row r="49" spans="1:30" ht="15.75" customHeight="1">
      <c r="A49" s="312" t="s">
        <v>251</v>
      </c>
      <c r="B49" s="313"/>
      <c r="C49" s="313" t="s">
        <v>247</v>
      </c>
      <c r="D49" s="313" t="s">
        <v>197</v>
      </c>
      <c r="E49" s="313" t="s">
        <v>203</v>
      </c>
      <c r="F49" s="97"/>
      <c r="G49" s="97"/>
      <c r="H49" s="97"/>
      <c r="I49" s="97"/>
      <c r="J49" s="97"/>
      <c r="K49" s="97"/>
      <c r="L49" s="97"/>
      <c r="M49" s="97"/>
      <c r="N49" s="97"/>
      <c r="O49" s="97"/>
      <c r="P49" s="97"/>
      <c r="Q49" s="97"/>
      <c r="R49" s="97"/>
      <c r="S49" s="97"/>
      <c r="T49" s="97"/>
      <c r="U49" s="97"/>
      <c r="V49" s="97"/>
      <c r="W49" s="97"/>
      <c r="X49" s="97"/>
      <c r="Y49" s="97"/>
      <c r="Z49" s="97"/>
      <c r="AA49" s="97"/>
      <c r="AB49" s="97"/>
      <c r="AC49" s="97"/>
      <c r="AD49" s="97"/>
    </row>
    <row r="50" spans="1:30" ht="15.75" customHeight="1">
      <c r="A50" s="312" t="s">
        <v>252</v>
      </c>
      <c r="B50" s="313"/>
      <c r="C50" s="313" t="s">
        <v>247</v>
      </c>
      <c r="D50" s="313" t="s">
        <v>197</v>
      </c>
      <c r="E50" s="313" t="s">
        <v>203</v>
      </c>
      <c r="F50" s="97"/>
      <c r="G50" s="97"/>
      <c r="H50" s="97"/>
      <c r="I50" s="97"/>
      <c r="J50" s="97"/>
      <c r="K50" s="97"/>
      <c r="L50" s="97"/>
      <c r="M50" s="97"/>
      <c r="N50" s="97"/>
      <c r="O50" s="97"/>
      <c r="P50" s="97"/>
      <c r="Q50" s="97"/>
      <c r="R50" s="97"/>
      <c r="S50" s="97"/>
      <c r="T50" s="97"/>
      <c r="U50" s="97"/>
      <c r="V50" s="97"/>
      <c r="W50" s="97"/>
      <c r="X50" s="97"/>
      <c r="Y50" s="97"/>
      <c r="Z50" s="97"/>
      <c r="AA50" s="97"/>
      <c r="AB50" s="97"/>
      <c r="AC50" s="97"/>
      <c r="AD50" s="97"/>
    </row>
    <row r="51" spans="1:30" ht="15.75" customHeight="1">
      <c r="A51" s="312" t="s">
        <v>253</v>
      </c>
      <c r="B51" s="313"/>
      <c r="C51" s="313" t="s">
        <v>247</v>
      </c>
      <c r="D51" s="313" t="s">
        <v>197</v>
      </c>
      <c r="E51" s="313" t="s">
        <v>203</v>
      </c>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row>
    <row r="52" spans="1:30" ht="15.75" customHeight="1">
      <c r="A52" s="312" t="s">
        <v>254</v>
      </c>
      <c r="B52" s="313"/>
      <c r="C52" s="313" t="s">
        <v>247</v>
      </c>
      <c r="D52" s="313" t="s">
        <v>197</v>
      </c>
      <c r="E52" s="313" t="s">
        <v>203</v>
      </c>
      <c r="F52" s="97"/>
      <c r="G52" s="97"/>
      <c r="H52" s="97"/>
      <c r="I52" s="97"/>
      <c r="J52" s="97"/>
      <c r="K52" s="97"/>
      <c r="L52" s="97"/>
      <c r="M52" s="97"/>
      <c r="N52" s="97"/>
      <c r="O52" s="97"/>
      <c r="P52" s="97"/>
      <c r="Q52" s="97"/>
      <c r="R52" s="97"/>
      <c r="S52" s="97"/>
      <c r="T52" s="97"/>
      <c r="U52" s="97"/>
      <c r="V52" s="97"/>
      <c r="W52" s="97"/>
      <c r="X52" s="97"/>
      <c r="Y52" s="97"/>
      <c r="Z52" s="97"/>
      <c r="AA52" s="97"/>
      <c r="AB52" s="97"/>
      <c r="AC52" s="97"/>
      <c r="AD52" s="97"/>
    </row>
    <row r="53" spans="1:30" ht="15.75" customHeight="1">
      <c r="A53" s="312" t="s">
        <v>255</v>
      </c>
      <c r="B53" s="313"/>
      <c r="C53" s="313" t="s">
        <v>247</v>
      </c>
      <c r="D53" s="313" t="s">
        <v>197</v>
      </c>
      <c r="E53" s="313" t="s">
        <v>203</v>
      </c>
    </row>
    <row r="54" spans="1:30" ht="15.75" customHeight="1"/>
    <row r="55" spans="1:30" ht="15.75" customHeight="1"/>
    <row r="56" spans="1:30" ht="15.75" customHeight="1"/>
    <row r="57" spans="1:30" ht="15.75" customHeight="1"/>
    <row r="58" spans="1:30" ht="15.75" customHeight="1"/>
    <row r="59" spans="1:30" ht="15.75" customHeight="1"/>
    <row r="60" spans="1:30" ht="15.75" customHeight="1"/>
    <row r="61" spans="1:30" ht="15.75" customHeight="1"/>
    <row r="62" spans="1:30" ht="15.75" customHeight="1"/>
    <row r="63" spans="1:30" ht="15.75" customHeight="1"/>
    <row r="64" spans="1:3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sheetData>
  <mergeCells count="3">
    <mergeCell ref="B14:E14"/>
    <mergeCell ref="B2:E2"/>
    <mergeCell ref="A1:N1"/>
  </mergeCells>
  <pageMargins left="0.7" right="0.7" top="0.75" bottom="0.75" header="0" footer="0"/>
  <pageSetup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T988"/>
  <sheetViews>
    <sheetView topLeftCell="A3" workbookViewId="0">
      <selection activeCell="S7" sqref="S7"/>
    </sheetView>
  </sheetViews>
  <sheetFormatPr defaultColWidth="14.42578125" defaultRowHeight="15" customHeight="1"/>
  <cols>
    <col min="1" max="1" width="20.28515625" style="51" customWidth="1"/>
    <col min="2" max="2" width="22.5703125" style="51" customWidth="1"/>
    <col min="3" max="15" width="3.5703125" style="20" customWidth="1"/>
    <col min="16" max="16" width="10.5703125" style="53" customWidth="1"/>
    <col min="17" max="17" width="7.5703125" style="53" customWidth="1"/>
    <col min="18" max="18" width="9.5703125" style="59" customWidth="1"/>
    <col min="19" max="19" width="12.42578125" style="53" customWidth="1"/>
    <col min="20" max="23" width="8.85546875" style="20" customWidth="1"/>
    <col min="24" max="16384" width="14.42578125" style="20"/>
  </cols>
  <sheetData>
    <row r="1" spans="1:20" ht="13.5" thickBot="1">
      <c r="A1" s="518" t="s">
        <v>256</v>
      </c>
      <c r="B1" s="519"/>
      <c r="C1" s="519"/>
      <c r="D1" s="519"/>
      <c r="E1" s="519"/>
      <c r="F1" s="519"/>
      <c r="G1" s="519"/>
      <c r="H1" s="519"/>
      <c r="I1" s="519"/>
      <c r="J1" s="519"/>
      <c r="K1" s="519"/>
      <c r="L1" s="519"/>
      <c r="M1" s="519"/>
      <c r="N1" s="519"/>
      <c r="O1" s="519"/>
      <c r="P1" s="519"/>
      <c r="Q1" s="519"/>
      <c r="R1" s="519"/>
      <c r="S1" s="519"/>
    </row>
    <row r="2" spans="1:20" ht="25.5">
      <c r="A2" s="240" t="s">
        <v>98</v>
      </c>
      <c r="B2" s="240" t="s">
        <v>141</v>
      </c>
      <c r="C2" s="26">
        <v>1</v>
      </c>
      <c r="D2" s="26">
        <v>2</v>
      </c>
      <c r="E2" s="26">
        <v>3</v>
      </c>
      <c r="F2" s="26">
        <v>4</v>
      </c>
      <c r="G2" s="26">
        <v>5</v>
      </c>
      <c r="H2" s="26">
        <v>6</v>
      </c>
      <c r="I2" s="26">
        <v>7</v>
      </c>
      <c r="J2" s="26">
        <v>8</v>
      </c>
      <c r="K2" s="26">
        <v>9</v>
      </c>
      <c r="L2" s="26">
        <v>10</v>
      </c>
      <c r="M2" s="26">
        <v>11</v>
      </c>
      <c r="N2" s="27">
        <v>12</v>
      </c>
      <c r="O2" s="45"/>
      <c r="P2" s="279" t="s">
        <v>257</v>
      </c>
      <c r="Q2" s="29" t="s">
        <v>101</v>
      </c>
      <c r="R2" s="30" t="s">
        <v>102</v>
      </c>
      <c r="S2" s="31" t="s">
        <v>104</v>
      </c>
      <c r="T2" s="160"/>
    </row>
    <row r="3" spans="1:20" ht="38.25">
      <c r="A3" s="47" t="s">
        <v>258</v>
      </c>
      <c r="B3" s="44" t="s">
        <v>259</v>
      </c>
      <c r="C3" s="523" t="s">
        <v>107</v>
      </c>
      <c r="D3" s="521"/>
      <c r="E3" s="521"/>
      <c r="F3" s="521"/>
      <c r="G3" s="521"/>
      <c r="H3" s="521"/>
      <c r="I3" s="523" t="s">
        <v>107</v>
      </c>
      <c r="J3" s="521"/>
      <c r="K3" s="521"/>
      <c r="L3" s="521"/>
      <c r="M3" s="521"/>
      <c r="N3" s="522"/>
      <c r="O3" s="33"/>
      <c r="P3" s="55">
        <f>'Visit Costs'!E8</f>
        <v>2.2209374999999998</v>
      </c>
      <c r="Q3" s="54">
        <v>1</v>
      </c>
      <c r="R3" s="60">
        <f>'Capitation Summary'!$B$9</f>
        <v>11774</v>
      </c>
      <c r="S3" s="61">
        <f t="shared" ref="S3:S12" si="0">Q3*P3*R3</f>
        <v>26149.318124999998</v>
      </c>
    </row>
    <row r="4" spans="1:20" ht="25.5">
      <c r="A4" s="43" t="s">
        <v>260</v>
      </c>
      <c r="B4" s="52" t="s">
        <v>261</v>
      </c>
      <c r="C4" s="523" t="s">
        <v>107</v>
      </c>
      <c r="D4" s="521"/>
      <c r="E4" s="521"/>
      <c r="F4" s="521"/>
      <c r="G4" s="521"/>
      <c r="H4" s="521"/>
      <c r="I4" s="521"/>
      <c r="J4" s="521"/>
      <c r="K4" s="521"/>
      <c r="L4" s="521"/>
      <c r="M4" s="521"/>
      <c r="N4" s="522"/>
      <c r="O4" s="33"/>
      <c r="P4" s="167">
        <f>Tests!B19</f>
        <v>30</v>
      </c>
      <c r="Q4" s="54">
        <v>1</v>
      </c>
      <c r="R4" s="60">
        <f>'Capitation Summary'!$B$9</f>
        <v>11774</v>
      </c>
      <c r="S4" s="61">
        <f t="shared" si="0"/>
        <v>353220</v>
      </c>
    </row>
    <row r="5" spans="1:20" ht="51">
      <c r="A5" s="47" t="s">
        <v>262</v>
      </c>
      <c r="B5" s="44" t="s">
        <v>263</v>
      </c>
      <c r="C5" s="523" t="s">
        <v>107</v>
      </c>
      <c r="D5" s="521"/>
      <c r="E5" s="521"/>
      <c r="F5" s="521"/>
      <c r="G5" s="521"/>
      <c r="H5" s="521"/>
      <c r="I5" s="523" t="s">
        <v>107</v>
      </c>
      <c r="J5" s="521"/>
      <c r="K5" s="521"/>
      <c r="L5" s="521"/>
      <c r="M5" s="521"/>
      <c r="N5" s="522"/>
      <c r="O5" s="36"/>
      <c r="P5" s="55">
        <f>AVERAGE('Visit Costs'!E7:E8)</f>
        <v>1.9322156249999998</v>
      </c>
      <c r="Q5" s="54">
        <v>1</v>
      </c>
      <c r="R5" s="60">
        <f>'Capitation Summary'!$B$9</f>
        <v>11774</v>
      </c>
      <c r="S5" s="61">
        <f t="shared" si="0"/>
        <v>22749.906768749996</v>
      </c>
    </row>
    <row r="6" spans="1:20" ht="25.5">
      <c r="A6" s="47" t="s">
        <v>264</v>
      </c>
      <c r="B6" s="44" t="s">
        <v>265</v>
      </c>
      <c r="C6" s="520" t="s">
        <v>107</v>
      </c>
      <c r="D6" s="521"/>
      <c r="E6" s="521"/>
      <c r="F6" s="521"/>
      <c r="G6" s="521"/>
      <c r="H6" s="521"/>
      <c r="I6" s="521"/>
      <c r="J6" s="521"/>
      <c r="K6" s="521"/>
      <c r="L6" s="521"/>
      <c r="M6" s="521"/>
      <c r="N6" s="522"/>
      <c r="O6" s="37"/>
      <c r="P6" s="55">
        <f>'Visit Costs'!E7</f>
        <v>1.6434937499999998</v>
      </c>
      <c r="Q6" s="54">
        <v>1</v>
      </c>
      <c r="R6" s="60">
        <f>'Capitation Summary'!$B$9</f>
        <v>11774</v>
      </c>
      <c r="S6" s="61">
        <f t="shared" si="0"/>
        <v>19350.495412499997</v>
      </c>
    </row>
    <row r="7" spans="1:20" ht="25.5">
      <c r="A7" s="48" t="s">
        <v>128</v>
      </c>
      <c r="B7" s="49" t="s">
        <v>129</v>
      </c>
      <c r="C7" s="520" t="s">
        <v>107</v>
      </c>
      <c r="D7" s="521"/>
      <c r="E7" s="521"/>
      <c r="F7" s="521"/>
      <c r="G7" s="521"/>
      <c r="H7" s="521"/>
      <c r="I7" s="521"/>
      <c r="J7" s="521"/>
      <c r="K7" s="521"/>
      <c r="L7" s="521"/>
      <c r="M7" s="521"/>
      <c r="N7" s="522"/>
      <c r="O7" s="37"/>
      <c r="P7" s="207">
        <v>0</v>
      </c>
      <c r="Q7" s="54">
        <v>1</v>
      </c>
      <c r="R7" s="60">
        <f>'Capitation Summary'!$B$9</f>
        <v>11774</v>
      </c>
      <c r="S7" s="56">
        <f t="shared" si="0"/>
        <v>0</v>
      </c>
    </row>
    <row r="8" spans="1:20" ht="38.25">
      <c r="A8" s="34" t="s">
        <v>131</v>
      </c>
      <c r="B8" s="35" t="s">
        <v>132</v>
      </c>
      <c r="C8" s="520" t="s">
        <v>107</v>
      </c>
      <c r="D8" s="521"/>
      <c r="E8" s="521"/>
      <c r="F8" s="521"/>
      <c r="G8" s="521"/>
      <c r="H8" s="521"/>
      <c r="I8" s="521"/>
      <c r="J8" s="521"/>
      <c r="K8" s="521"/>
      <c r="L8" s="521"/>
      <c r="M8" s="521"/>
      <c r="N8" s="522"/>
      <c r="O8" s="37"/>
      <c r="P8" s="55">
        <v>0</v>
      </c>
      <c r="Q8" s="54">
        <v>1</v>
      </c>
      <c r="R8" s="60">
        <f>'Capitation Summary'!$B$9</f>
        <v>11774</v>
      </c>
      <c r="S8" s="56">
        <f t="shared" ref="S8" si="1">Q8*P8*R8</f>
        <v>0</v>
      </c>
    </row>
    <row r="9" spans="1:20" ht="25.5">
      <c r="A9" s="48" t="s">
        <v>133</v>
      </c>
      <c r="B9" s="49" t="s">
        <v>134</v>
      </c>
      <c r="C9" s="520" t="s">
        <v>107</v>
      </c>
      <c r="D9" s="521"/>
      <c r="E9" s="521"/>
      <c r="F9" s="521"/>
      <c r="G9" s="521"/>
      <c r="H9" s="521"/>
      <c r="I9" s="521"/>
      <c r="J9" s="521"/>
      <c r="K9" s="521"/>
      <c r="L9" s="521"/>
      <c r="M9" s="521"/>
      <c r="N9" s="522"/>
      <c r="O9" s="36"/>
      <c r="P9" s="55">
        <v>0</v>
      </c>
      <c r="Q9" s="54">
        <v>1</v>
      </c>
      <c r="R9" s="60">
        <f>'Capitation Summary'!$B$9</f>
        <v>11774</v>
      </c>
      <c r="S9" s="56">
        <f t="shared" si="0"/>
        <v>0</v>
      </c>
    </row>
    <row r="10" spans="1:20" ht="38.25">
      <c r="A10" s="48" t="s">
        <v>266</v>
      </c>
      <c r="B10" s="49" t="s">
        <v>267</v>
      </c>
      <c r="C10" s="545" t="s">
        <v>107</v>
      </c>
      <c r="D10" s="521"/>
      <c r="E10" s="521"/>
      <c r="F10" s="521"/>
      <c r="G10" s="521"/>
      <c r="H10" s="521"/>
      <c r="I10" s="545" t="s">
        <v>107</v>
      </c>
      <c r="J10" s="521"/>
      <c r="K10" s="521"/>
      <c r="L10" s="521"/>
      <c r="M10" s="521"/>
      <c r="N10" s="522"/>
      <c r="O10" s="37"/>
      <c r="P10" s="55">
        <v>0</v>
      </c>
      <c r="Q10" s="57">
        <v>2</v>
      </c>
      <c r="R10" s="60">
        <f>'Capitation Summary'!$B$9</f>
        <v>11774</v>
      </c>
      <c r="S10" s="56">
        <f t="shared" si="0"/>
        <v>0</v>
      </c>
    </row>
    <row r="11" spans="1:20" ht="25.5">
      <c r="A11" s="50" t="s">
        <v>135</v>
      </c>
      <c r="B11" s="49" t="s">
        <v>136</v>
      </c>
      <c r="C11" s="542" t="s">
        <v>107</v>
      </c>
      <c r="D11" s="543"/>
      <c r="E11" s="543"/>
      <c r="F11" s="543"/>
      <c r="G11" s="543"/>
      <c r="H11" s="543"/>
      <c r="I11" s="543"/>
      <c r="J11" s="543"/>
      <c r="K11" s="543"/>
      <c r="L11" s="543"/>
      <c r="M11" s="543"/>
      <c r="N11" s="544"/>
      <c r="O11" s="37"/>
      <c r="P11" s="55">
        <v>0</v>
      </c>
      <c r="Q11" s="54">
        <v>1</v>
      </c>
      <c r="R11" s="60">
        <f>'Capitation Summary'!$B$9</f>
        <v>11774</v>
      </c>
      <c r="S11" s="56">
        <f t="shared" si="0"/>
        <v>0</v>
      </c>
    </row>
    <row r="12" spans="1:20" ht="26.25" thickBot="1">
      <c r="A12" s="48" t="s">
        <v>268</v>
      </c>
      <c r="B12" s="49" t="s">
        <v>269</v>
      </c>
      <c r="C12" s="539" t="s">
        <v>107</v>
      </c>
      <c r="D12" s="540"/>
      <c r="E12" s="540"/>
      <c r="F12" s="540"/>
      <c r="G12" s="540"/>
      <c r="H12" s="540"/>
      <c r="I12" s="540"/>
      <c r="J12" s="540"/>
      <c r="K12" s="540"/>
      <c r="L12" s="540"/>
      <c r="M12" s="540"/>
      <c r="N12" s="541"/>
      <c r="O12" s="37"/>
      <c r="P12" s="58">
        <v>0</v>
      </c>
      <c r="Q12" s="54">
        <v>1</v>
      </c>
      <c r="R12" s="60">
        <f>'Capitation Summary'!$B$9</f>
        <v>11774</v>
      </c>
      <c r="S12" s="56">
        <f t="shared" si="0"/>
        <v>0</v>
      </c>
    </row>
    <row r="13" spans="1:20" ht="15.75" customHeight="1" thickBot="1">
      <c r="A13" s="425"/>
      <c r="B13" s="425"/>
      <c r="C13" s="425"/>
      <c r="D13" s="425"/>
      <c r="E13" s="425"/>
      <c r="F13" s="425"/>
      <c r="G13" s="425"/>
      <c r="H13" s="425"/>
      <c r="I13" s="425"/>
      <c r="J13" s="425"/>
      <c r="K13" s="425"/>
      <c r="L13" s="425"/>
      <c r="M13" s="425"/>
      <c r="N13" s="425"/>
      <c r="O13" s="425"/>
      <c r="P13" s="426"/>
      <c r="Q13" s="425"/>
      <c r="R13" s="426"/>
      <c r="S13" s="426"/>
    </row>
    <row r="14" spans="1:20" ht="15.75" customHeight="1">
      <c r="A14" s="42"/>
      <c r="B14" s="42"/>
      <c r="C14" s="42"/>
      <c r="D14" s="42"/>
      <c r="E14" s="42"/>
      <c r="F14" s="42"/>
      <c r="G14" s="42"/>
      <c r="H14" s="42"/>
      <c r="I14" s="42"/>
      <c r="J14" s="42"/>
      <c r="K14" s="42"/>
      <c r="L14" s="42"/>
      <c r="O14" s="22"/>
      <c r="R14" s="280" t="s">
        <v>138</v>
      </c>
      <c r="S14" s="283">
        <f>SUM(S3:S13)</f>
        <v>421469.72030624998</v>
      </c>
    </row>
    <row r="15" spans="1:20" ht="15.75" customHeight="1">
      <c r="O15" s="22"/>
      <c r="R15" s="280" t="s">
        <v>139</v>
      </c>
      <c r="S15" s="284">
        <f>S14/R3/12</f>
        <v>2.9830539062499999</v>
      </c>
    </row>
    <row r="16" spans="1:20" ht="15.75" customHeight="1">
      <c r="O16" s="22"/>
    </row>
    <row r="17" spans="15:15" ht="15.75" customHeight="1">
      <c r="O17" s="22"/>
    </row>
    <row r="18" spans="15:15" ht="15.75" customHeight="1">
      <c r="O18" s="22"/>
    </row>
    <row r="19" spans="15:15" ht="15.75" customHeight="1">
      <c r="O19" s="22"/>
    </row>
    <row r="20" spans="15:15" ht="15.75" customHeight="1">
      <c r="O20" s="22"/>
    </row>
    <row r="21" spans="15:15" ht="15.75" customHeight="1">
      <c r="O21" s="22"/>
    </row>
    <row r="22" spans="15:15" ht="15.75" customHeight="1">
      <c r="O22" s="22"/>
    </row>
    <row r="23" spans="15:15" ht="15.75" customHeight="1">
      <c r="O23" s="22"/>
    </row>
    <row r="24" spans="15:15" ht="15.75" customHeight="1">
      <c r="O24" s="22"/>
    </row>
    <row r="25" spans="15:15" ht="15.75" customHeight="1">
      <c r="O25" s="22"/>
    </row>
    <row r="26" spans="15:15" ht="15.75" customHeight="1">
      <c r="O26" s="22"/>
    </row>
    <row r="27" spans="15:15" ht="15.75" customHeight="1">
      <c r="O27" s="22"/>
    </row>
    <row r="28" spans="15:15" ht="15.75" customHeight="1">
      <c r="O28" s="22"/>
    </row>
    <row r="29" spans="15:15" ht="15.75" customHeight="1">
      <c r="O29" s="22"/>
    </row>
    <row r="30" spans="15:15" ht="15.75" customHeight="1">
      <c r="O30" s="22"/>
    </row>
    <row r="31" spans="15:15" ht="15.75" customHeight="1">
      <c r="O31" s="22"/>
    </row>
    <row r="32" spans="15:15" ht="15.75" customHeight="1">
      <c r="O32" s="22"/>
    </row>
    <row r="33" spans="15:15" ht="15.75" customHeight="1">
      <c r="O33" s="22"/>
    </row>
    <row r="34" spans="15:15" ht="15.75" customHeight="1">
      <c r="O34" s="22"/>
    </row>
    <row r="35" spans="15:15" ht="15.75" customHeight="1">
      <c r="O35" s="22"/>
    </row>
    <row r="36" spans="15:15" ht="15.75" customHeight="1">
      <c r="O36" s="22"/>
    </row>
    <row r="37" spans="15:15" ht="15.75" customHeight="1">
      <c r="O37" s="22"/>
    </row>
    <row r="38" spans="15:15" ht="15.75" customHeight="1">
      <c r="O38" s="22"/>
    </row>
    <row r="39" spans="15:15" ht="15.75" customHeight="1">
      <c r="O39" s="22"/>
    </row>
    <row r="40" spans="15:15" ht="15.75" customHeight="1">
      <c r="O40" s="22"/>
    </row>
    <row r="41" spans="15:15" ht="15.75" customHeight="1">
      <c r="O41" s="22"/>
    </row>
    <row r="42" spans="15:15" ht="15.75" customHeight="1">
      <c r="O42" s="22"/>
    </row>
    <row r="43" spans="15:15" ht="15.75" customHeight="1">
      <c r="O43" s="22"/>
    </row>
    <row r="44" spans="15:15" ht="15.75" customHeight="1">
      <c r="O44" s="22"/>
    </row>
    <row r="45" spans="15:15" ht="15.75" customHeight="1">
      <c r="O45" s="22"/>
    </row>
    <row r="46" spans="15:15" ht="15.75" customHeight="1">
      <c r="O46" s="22"/>
    </row>
    <row r="47" spans="15:15" ht="15.75" customHeight="1">
      <c r="O47" s="22"/>
    </row>
    <row r="48" spans="15:15" ht="15.75" customHeight="1">
      <c r="O48" s="22"/>
    </row>
    <row r="49" spans="15:15" ht="15.75" customHeight="1">
      <c r="O49" s="22"/>
    </row>
    <row r="50" spans="15:15" ht="15.75" customHeight="1">
      <c r="O50" s="22"/>
    </row>
    <row r="51" spans="15:15" ht="15.75" customHeight="1">
      <c r="O51" s="22"/>
    </row>
    <row r="52" spans="15:15" ht="15.75" customHeight="1">
      <c r="O52" s="22"/>
    </row>
    <row r="53" spans="15:15" ht="15.75" customHeight="1">
      <c r="O53" s="22"/>
    </row>
    <row r="54" spans="15:15" ht="15.75" customHeight="1">
      <c r="O54" s="22"/>
    </row>
    <row r="55" spans="15:15" ht="15.75" customHeight="1">
      <c r="O55" s="22"/>
    </row>
    <row r="56" spans="15:15" ht="15.75" customHeight="1">
      <c r="O56" s="22"/>
    </row>
    <row r="57" spans="15:15" ht="15.75" customHeight="1">
      <c r="O57" s="22"/>
    </row>
    <row r="58" spans="15:15" ht="15.75" customHeight="1">
      <c r="O58" s="22"/>
    </row>
    <row r="59" spans="15:15" ht="15.75" customHeight="1">
      <c r="O59" s="22"/>
    </row>
    <row r="60" spans="15:15" ht="15.75" customHeight="1">
      <c r="O60" s="22"/>
    </row>
    <row r="61" spans="15:15" ht="15.75" customHeight="1">
      <c r="O61" s="22"/>
    </row>
    <row r="62" spans="15:15" ht="15.75" customHeight="1">
      <c r="O62" s="22"/>
    </row>
    <row r="63" spans="15:15" ht="15.75" customHeight="1">
      <c r="O63" s="22"/>
    </row>
    <row r="64" spans="15:15" ht="15.75" customHeight="1">
      <c r="O64" s="22"/>
    </row>
    <row r="65" spans="15:15" ht="15.75" customHeight="1">
      <c r="O65" s="22"/>
    </row>
    <row r="66" spans="15:15" ht="15.75" customHeight="1">
      <c r="O66" s="22"/>
    </row>
    <row r="67" spans="15:15" ht="15.75" customHeight="1">
      <c r="O67" s="22"/>
    </row>
    <row r="68" spans="15:15" ht="15.75" customHeight="1">
      <c r="O68" s="22"/>
    </row>
    <row r="69" spans="15:15" ht="15.75" customHeight="1">
      <c r="O69" s="22"/>
    </row>
    <row r="70" spans="15:15" ht="15.75" customHeight="1">
      <c r="O70" s="22"/>
    </row>
    <row r="71" spans="15:15" ht="15.75" customHeight="1">
      <c r="O71" s="22"/>
    </row>
    <row r="72" spans="15:15" ht="15.75" customHeight="1">
      <c r="O72" s="22"/>
    </row>
    <row r="73" spans="15:15" ht="15.75" customHeight="1">
      <c r="O73" s="22"/>
    </row>
    <row r="74" spans="15:15" ht="15.75" customHeight="1">
      <c r="O74" s="22"/>
    </row>
    <row r="75" spans="15:15" ht="15.75" customHeight="1">
      <c r="O75" s="22"/>
    </row>
    <row r="76" spans="15:15" ht="15.75" customHeight="1">
      <c r="O76" s="22"/>
    </row>
    <row r="77" spans="15:15" ht="15.75" customHeight="1">
      <c r="O77" s="22"/>
    </row>
    <row r="78" spans="15:15" ht="15.75" customHeight="1">
      <c r="O78" s="22"/>
    </row>
    <row r="79" spans="15:15" ht="15.75" customHeight="1">
      <c r="O79" s="22"/>
    </row>
    <row r="80" spans="15:15" ht="15.75" customHeight="1">
      <c r="O80" s="22"/>
    </row>
    <row r="81" spans="15:15" ht="15.75" customHeight="1">
      <c r="O81" s="22"/>
    </row>
    <row r="82" spans="15:15" ht="15.75" customHeight="1">
      <c r="O82" s="22"/>
    </row>
    <row r="83" spans="15:15" ht="15.75" customHeight="1">
      <c r="O83" s="22"/>
    </row>
    <row r="84" spans="15:15" ht="15.75" customHeight="1">
      <c r="O84" s="22"/>
    </row>
    <row r="85" spans="15:15" ht="15.75" customHeight="1">
      <c r="O85" s="22"/>
    </row>
    <row r="86" spans="15:15" ht="15.75" customHeight="1">
      <c r="O86" s="22"/>
    </row>
    <row r="87" spans="15:15" ht="15.75" customHeight="1">
      <c r="O87" s="22"/>
    </row>
    <row r="88" spans="15:15" ht="15.75" customHeight="1">
      <c r="O88" s="22"/>
    </row>
    <row r="89" spans="15:15" ht="15.75" customHeight="1">
      <c r="O89" s="22"/>
    </row>
    <row r="90" spans="15:15" ht="15.75" customHeight="1">
      <c r="O90" s="22"/>
    </row>
    <row r="91" spans="15:15" ht="15.75" customHeight="1">
      <c r="O91" s="22"/>
    </row>
    <row r="92" spans="15:15" ht="15.75" customHeight="1">
      <c r="O92" s="22"/>
    </row>
    <row r="93" spans="15:15" ht="15.75" customHeight="1">
      <c r="O93" s="22"/>
    </row>
    <row r="94" spans="15:15" ht="15.75" customHeight="1">
      <c r="O94" s="22"/>
    </row>
    <row r="95" spans="15:15" ht="15.75" customHeight="1">
      <c r="O95" s="22"/>
    </row>
    <row r="96" spans="15:15" ht="15.75" customHeight="1">
      <c r="O96" s="22"/>
    </row>
    <row r="97" spans="15:15" ht="15.75" customHeight="1">
      <c r="O97" s="22"/>
    </row>
    <row r="98" spans="15:15" ht="15.75" customHeight="1">
      <c r="O98" s="22"/>
    </row>
    <row r="99" spans="15:15" ht="15.75" customHeight="1">
      <c r="O99" s="22"/>
    </row>
    <row r="100" spans="15:15" ht="15.75" customHeight="1">
      <c r="O100" s="22"/>
    </row>
    <row r="101" spans="15:15" ht="15.75" customHeight="1">
      <c r="O101" s="22"/>
    </row>
    <row r="102" spans="15:15" ht="15.75" customHeight="1">
      <c r="O102" s="22"/>
    </row>
    <row r="103" spans="15:15" ht="15.75" customHeight="1">
      <c r="O103" s="22"/>
    </row>
    <row r="104" spans="15:15" ht="15.75" customHeight="1">
      <c r="O104" s="22"/>
    </row>
    <row r="105" spans="15:15" ht="15.75" customHeight="1">
      <c r="O105" s="22"/>
    </row>
    <row r="106" spans="15:15" ht="15.75" customHeight="1">
      <c r="O106" s="22"/>
    </row>
    <row r="107" spans="15:15" ht="15.75" customHeight="1">
      <c r="O107" s="22"/>
    </row>
    <row r="108" spans="15:15" ht="15.75" customHeight="1">
      <c r="O108" s="22"/>
    </row>
    <row r="109" spans="15:15" ht="15.75" customHeight="1">
      <c r="O109" s="22"/>
    </row>
    <row r="110" spans="15:15" ht="15.75" customHeight="1">
      <c r="O110" s="22"/>
    </row>
    <row r="111" spans="15:15" ht="15.75" customHeight="1">
      <c r="O111" s="22"/>
    </row>
    <row r="112" spans="15:15" ht="15.75" customHeight="1">
      <c r="O112" s="22"/>
    </row>
    <row r="113" spans="15:15" ht="15.75" customHeight="1">
      <c r="O113" s="22"/>
    </row>
    <row r="114" spans="15:15" ht="15.75" customHeight="1">
      <c r="O114" s="22"/>
    </row>
    <row r="115" spans="15:15" ht="15.75" customHeight="1">
      <c r="O115" s="22"/>
    </row>
    <row r="116" spans="15:15" ht="15.75" customHeight="1">
      <c r="O116" s="22"/>
    </row>
    <row r="117" spans="15:15" ht="15.75" customHeight="1">
      <c r="O117" s="22"/>
    </row>
    <row r="118" spans="15:15" ht="15.75" customHeight="1">
      <c r="O118" s="22"/>
    </row>
    <row r="119" spans="15:15" ht="15.75" customHeight="1">
      <c r="O119" s="22"/>
    </row>
    <row r="120" spans="15:15" ht="15.75" customHeight="1">
      <c r="O120" s="22"/>
    </row>
    <row r="121" spans="15:15" ht="15.75" customHeight="1">
      <c r="O121" s="22"/>
    </row>
    <row r="122" spans="15:15" ht="15.75" customHeight="1">
      <c r="O122" s="22"/>
    </row>
    <row r="123" spans="15:15" ht="15.75" customHeight="1">
      <c r="O123" s="22"/>
    </row>
    <row r="124" spans="15:15" ht="15.75" customHeight="1">
      <c r="O124" s="22"/>
    </row>
    <row r="125" spans="15:15" ht="15.75" customHeight="1">
      <c r="O125" s="22"/>
    </row>
    <row r="126" spans="15:15" ht="15.75" customHeight="1">
      <c r="O126" s="22"/>
    </row>
    <row r="127" spans="15:15" ht="15.75" customHeight="1">
      <c r="O127" s="22"/>
    </row>
    <row r="128" spans="15:15" ht="15.75" customHeight="1">
      <c r="O128" s="22"/>
    </row>
    <row r="129" spans="15:15" ht="15.75" customHeight="1">
      <c r="O129" s="22"/>
    </row>
    <row r="130" spans="15:15" ht="15.75" customHeight="1">
      <c r="O130" s="22"/>
    </row>
    <row r="131" spans="15:15" ht="15.75" customHeight="1">
      <c r="O131" s="22"/>
    </row>
    <row r="132" spans="15:15" ht="15.75" customHeight="1">
      <c r="O132" s="22"/>
    </row>
    <row r="133" spans="15:15" ht="15.75" customHeight="1">
      <c r="O133" s="22"/>
    </row>
    <row r="134" spans="15:15" ht="15.75" customHeight="1">
      <c r="O134" s="22"/>
    </row>
    <row r="135" spans="15:15" ht="15.75" customHeight="1">
      <c r="O135" s="22"/>
    </row>
    <row r="136" spans="15:15" ht="15.75" customHeight="1">
      <c r="O136" s="22"/>
    </row>
    <row r="137" spans="15:15" ht="15.75" customHeight="1">
      <c r="O137" s="22"/>
    </row>
    <row r="138" spans="15:15" ht="15.75" customHeight="1">
      <c r="O138" s="22"/>
    </row>
    <row r="139" spans="15:15" ht="15.75" customHeight="1">
      <c r="O139" s="22"/>
    </row>
    <row r="140" spans="15:15" ht="15.75" customHeight="1">
      <c r="O140" s="22"/>
    </row>
    <row r="141" spans="15:15" ht="15.75" customHeight="1">
      <c r="O141" s="22"/>
    </row>
    <row r="142" spans="15:15" ht="15.75" customHeight="1">
      <c r="O142" s="22"/>
    </row>
    <row r="143" spans="15:15" ht="15.75" customHeight="1">
      <c r="O143" s="22"/>
    </row>
    <row r="144" spans="15:15" ht="15.75" customHeight="1">
      <c r="O144" s="22"/>
    </row>
    <row r="145" spans="15:15" ht="15.75" customHeight="1">
      <c r="O145" s="22"/>
    </row>
    <row r="146" spans="15:15" ht="15.75" customHeight="1">
      <c r="O146" s="22"/>
    </row>
    <row r="147" spans="15:15" ht="15.75" customHeight="1">
      <c r="O147" s="22"/>
    </row>
    <row r="148" spans="15:15" ht="15.75" customHeight="1">
      <c r="O148" s="22"/>
    </row>
    <row r="149" spans="15:15" ht="15.75" customHeight="1">
      <c r="O149" s="22"/>
    </row>
    <row r="150" spans="15:15" ht="15.75" customHeight="1">
      <c r="O150" s="22"/>
    </row>
    <row r="151" spans="15:15" ht="15.75" customHeight="1">
      <c r="O151" s="22"/>
    </row>
    <row r="152" spans="15:15" ht="15.75" customHeight="1">
      <c r="O152" s="22"/>
    </row>
    <row r="153" spans="15:15" ht="15.75" customHeight="1">
      <c r="O153" s="22"/>
    </row>
    <row r="154" spans="15:15" ht="15.75" customHeight="1">
      <c r="O154" s="22"/>
    </row>
    <row r="155" spans="15:15" ht="15.75" customHeight="1">
      <c r="O155" s="22"/>
    </row>
    <row r="156" spans="15:15" ht="15.75" customHeight="1">
      <c r="O156" s="22"/>
    </row>
    <row r="157" spans="15:15" ht="15.75" customHeight="1">
      <c r="O157" s="22"/>
    </row>
    <row r="158" spans="15:15" ht="15.75" customHeight="1">
      <c r="O158" s="22"/>
    </row>
    <row r="159" spans="15:15" ht="15.75" customHeight="1">
      <c r="O159" s="22"/>
    </row>
    <row r="160" spans="15:15" ht="15.75" customHeight="1">
      <c r="O160" s="22"/>
    </row>
    <row r="161" spans="15:15" ht="15.75" customHeight="1">
      <c r="O161" s="22"/>
    </row>
    <row r="162" spans="15:15" ht="15.75" customHeight="1">
      <c r="O162" s="22"/>
    </row>
    <row r="163" spans="15:15" ht="15.75" customHeight="1">
      <c r="O163" s="22"/>
    </row>
    <row r="164" spans="15:15" ht="15.75" customHeight="1">
      <c r="O164" s="22"/>
    </row>
    <row r="165" spans="15:15" ht="15.75" customHeight="1">
      <c r="O165" s="22"/>
    </row>
    <row r="166" spans="15:15" ht="15.75" customHeight="1">
      <c r="O166" s="22"/>
    </row>
    <row r="167" spans="15:15" ht="15.75" customHeight="1">
      <c r="O167" s="22"/>
    </row>
    <row r="168" spans="15:15" ht="15.75" customHeight="1">
      <c r="O168" s="22"/>
    </row>
    <row r="169" spans="15:15" ht="15.75" customHeight="1">
      <c r="O169" s="22"/>
    </row>
    <row r="170" spans="15:15" ht="15.75" customHeight="1">
      <c r="O170" s="22"/>
    </row>
    <row r="171" spans="15:15" ht="15.75" customHeight="1">
      <c r="O171" s="22"/>
    </row>
    <row r="172" spans="15:15" ht="15.75" customHeight="1">
      <c r="O172" s="22"/>
    </row>
    <row r="173" spans="15:15" ht="15.75" customHeight="1">
      <c r="O173" s="22"/>
    </row>
    <row r="174" spans="15:15" ht="15.75" customHeight="1">
      <c r="O174" s="22"/>
    </row>
    <row r="175" spans="15:15" ht="15.75" customHeight="1">
      <c r="O175" s="22"/>
    </row>
    <row r="176" spans="15:15" ht="15.75" customHeight="1">
      <c r="O176" s="22"/>
    </row>
    <row r="177" spans="15:15" ht="15.75" customHeight="1">
      <c r="O177" s="22"/>
    </row>
    <row r="178" spans="15:15" ht="15.75" customHeight="1">
      <c r="O178" s="22"/>
    </row>
    <row r="179" spans="15:15" ht="15.75" customHeight="1">
      <c r="O179" s="22"/>
    </row>
    <row r="180" spans="15:15" ht="15.75" customHeight="1">
      <c r="O180" s="22"/>
    </row>
    <row r="181" spans="15:15" ht="15.75" customHeight="1">
      <c r="O181" s="22"/>
    </row>
    <row r="182" spans="15:15" ht="15.75" customHeight="1">
      <c r="O182" s="22"/>
    </row>
    <row r="183" spans="15:15" ht="15.75" customHeight="1">
      <c r="O183" s="22"/>
    </row>
    <row r="184" spans="15:15" ht="15.75" customHeight="1">
      <c r="O184" s="22"/>
    </row>
    <row r="185" spans="15:15" ht="15.75" customHeight="1">
      <c r="O185" s="22"/>
    </row>
    <row r="186" spans="15:15" ht="15.75" customHeight="1">
      <c r="O186" s="22"/>
    </row>
    <row r="187" spans="15:15" ht="15.75" customHeight="1">
      <c r="O187" s="22"/>
    </row>
    <row r="188" spans="15:15" ht="15.75" customHeight="1">
      <c r="O188" s="22"/>
    </row>
    <row r="189" spans="15:15" ht="15.75" customHeight="1">
      <c r="O189" s="22"/>
    </row>
    <row r="190" spans="15:15" ht="15.75" customHeight="1">
      <c r="O190" s="22"/>
    </row>
    <row r="191" spans="15:15" ht="15.75" customHeight="1">
      <c r="O191" s="22"/>
    </row>
    <row r="192" spans="15:15" ht="15.75" customHeight="1">
      <c r="O192" s="22"/>
    </row>
    <row r="193" spans="15:15" ht="15.75" customHeight="1">
      <c r="O193" s="22"/>
    </row>
    <row r="194" spans="15:15" ht="15.75" customHeight="1">
      <c r="O194" s="22"/>
    </row>
    <row r="195" spans="15:15" ht="15.75" customHeight="1">
      <c r="O195" s="22"/>
    </row>
    <row r="196" spans="15:15" ht="15.75" customHeight="1">
      <c r="O196" s="22"/>
    </row>
    <row r="197" spans="15:15" ht="15.75" customHeight="1">
      <c r="O197" s="22"/>
    </row>
    <row r="198" spans="15:15" ht="15.75" customHeight="1">
      <c r="O198" s="22"/>
    </row>
    <row r="199" spans="15:15" ht="15.75" customHeight="1">
      <c r="O199" s="22"/>
    </row>
    <row r="200" spans="15:15" ht="15.75" customHeight="1">
      <c r="O200" s="22"/>
    </row>
    <row r="201" spans="15:15" ht="15.75" customHeight="1">
      <c r="O201" s="22"/>
    </row>
    <row r="202" spans="15:15" ht="15.75" customHeight="1">
      <c r="O202" s="22"/>
    </row>
    <row r="203" spans="15:15" ht="15.75" customHeight="1">
      <c r="O203" s="22"/>
    </row>
    <row r="204" spans="15:15" ht="15.75" customHeight="1">
      <c r="O204" s="22"/>
    </row>
    <row r="205" spans="15:15" ht="15.75" customHeight="1">
      <c r="O205" s="22"/>
    </row>
    <row r="206" spans="15:15" ht="15.75" customHeight="1">
      <c r="O206" s="22"/>
    </row>
    <row r="207" spans="15:15" ht="15.75" customHeight="1">
      <c r="O207" s="22"/>
    </row>
    <row r="208" spans="15:15" ht="15.75" customHeight="1">
      <c r="O208" s="22"/>
    </row>
    <row r="209" spans="15:15" ht="15.75" customHeight="1">
      <c r="O209" s="22"/>
    </row>
    <row r="210" spans="15:15" ht="15.75" customHeight="1">
      <c r="O210" s="22"/>
    </row>
    <row r="211" spans="15:15" ht="15.75" customHeight="1"/>
    <row r="212" spans="15:15" ht="15.75" customHeight="1"/>
    <row r="213" spans="15:15" ht="15.75" customHeight="1"/>
    <row r="214" spans="15:15" ht="15.75" customHeight="1"/>
    <row r="215" spans="15:15" ht="15.75" customHeight="1"/>
    <row r="216" spans="15:15" ht="15.75" customHeight="1"/>
    <row r="217" spans="15:15" ht="15.75" customHeight="1"/>
    <row r="218" spans="15:15" ht="15.75" customHeight="1"/>
    <row r="219" spans="15:15" ht="15.75" customHeight="1"/>
    <row r="220" spans="15:15" ht="15.75" customHeight="1"/>
    <row r="221" spans="15:15" ht="15.75" customHeight="1"/>
    <row r="222" spans="15:15" ht="15.75" customHeight="1"/>
    <row r="223" spans="15:15" ht="15.75" customHeight="1"/>
    <row r="224" spans="15:15"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sheetData>
  <mergeCells count="14">
    <mergeCell ref="C3:H3"/>
    <mergeCell ref="I3:N3"/>
    <mergeCell ref="C4:N4"/>
    <mergeCell ref="A1:S1"/>
    <mergeCell ref="C12:N12"/>
    <mergeCell ref="C11:N11"/>
    <mergeCell ref="C7:N7"/>
    <mergeCell ref="C9:N9"/>
    <mergeCell ref="C6:N6"/>
    <mergeCell ref="I5:N5"/>
    <mergeCell ref="C10:H10"/>
    <mergeCell ref="I10:N10"/>
    <mergeCell ref="C5:H5"/>
    <mergeCell ref="C8:N8"/>
  </mergeCells>
  <pageMargins left="0.7" right="0.7" top="0.75" bottom="0.75" header="0" footer="0"/>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E911"/>
  <sheetViews>
    <sheetView workbookViewId="0">
      <selection activeCell="B9" sqref="B9"/>
    </sheetView>
  </sheetViews>
  <sheetFormatPr defaultColWidth="14.42578125" defaultRowHeight="15" customHeight="1"/>
  <cols>
    <col min="1" max="1" width="21.5703125" customWidth="1"/>
    <col min="2" max="2" width="15.140625" customWidth="1"/>
    <col min="3" max="3" width="11.5703125" style="8" customWidth="1"/>
    <col min="4" max="4" width="14.140625" customWidth="1"/>
    <col min="5" max="5" width="10.5703125" customWidth="1"/>
  </cols>
  <sheetData>
    <row r="1" spans="1:5" s="8" customFormat="1" ht="15" customHeight="1">
      <c r="A1" s="518" t="s">
        <v>270</v>
      </c>
      <c r="B1" s="519"/>
      <c r="C1" s="519"/>
      <c r="D1" s="519"/>
      <c r="E1" s="519"/>
    </row>
    <row r="2" spans="1:5" s="461" customFormat="1" ht="45">
      <c r="A2" s="460" t="s">
        <v>271</v>
      </c>
      <c r="B2" s="460" t="s">
        <v>272</v>
      </c>
      <c r="C2" s="460" t="s">
        <v>273</v>
      </c>
      <c r="D2" s="460" t="s">
        <v>274</v>
      </c>
      <c r="E2" s="460" t="s">
        <v>275</v>
      </c>
    </row>
    <row r="3" spans="1:5">
      <c r="A3" s="3" t="s">
        <v>22</v>
      </c>
      <c r="B3" s="462">
        <f>Diabetes!R3</f>
        <v>76672</v>
      </c>
      <c r="C3" s="463">
        <f>B3/(SUM($B$3:$B$5))</f>
        <v>6.3562912128452262E-2</v>
      </c>
      <c r="D3" s="464">
        <f>Diabetes!T23</f>
        <v>5.9119578124999999</v>
      </c>
      <c r="E3" s="161">
        <f>C3*D3</f>
        <v>0.37578125494305437</v>
      </c>
    </row>
    <row r="4" spans="1:5">
      <c r="A4" s="3" t="s">
        <v>23</v>
      </c>
      <c r="B4" s="462">
        <f>Hypertension!R3</f>
        <v>1117792</v>
      </c>
      <c r="C4" s="463">
        <f t="shared" ref="C4:C5" si="0">B4/(SUM($B$3:$B$5))</f>
        <v>0.92667616175249001</v>
      </c>
      <c r="D4" s="464">
        <f>Hypertension!S19</f>
        <v>6.1369578125000004</v>
      </c>
      <c r="E4" s="161">
        <f>C4*D4</f>
        <v>5.6869725105244573</v>
      </c>
    </row>
    <row r="5" spans="1:5">
      <c r="A5" s="14" t="s">
        <v>21</v>
      </c>
      <c r="B5" s="465">
        <f>Asthma!R3</f>
        <v>11774</v>
      </c>
      <c r="C5" s="463">
        <f t="shared" si="0"/>
        <v>9.760926119057765E-3</v>
      </c>
      <c r="D5" s="466">
        <f>Asthma!S15</f>
        <v>2.9830539062499999</v>
      </c>
      <c r="E5" s="161">
        <f>C5*D5</f>
        <v>2.9117368788072917E-2</v>
      </c>
    </row>
    <row r="6" spans="1:5">
      <c r="A6" s="4"/>
      <c r="B6" s="467">
        <f>SUM(B3:B5)</f>
        <v>1206238</v>
      </c>
      <c r="C6" s="468"/>
      <c r="D6" s="468"/>
      <c r="E6" s="162">
        <f>SUM(E3:E5)</f>
        <v>6.0918711342555847</v>
      </c>
    </row>
    <row r="8" spans="1:5">
      <c r="A8" s="427"/>
      <c r="B8" s="428" t="s">
        <v>8</v>
      </c>
      <c r="D8" s="8"/>
      <c r="E8" s="8"/>
    </row>
    <row r="9" spans="1:5" ht="30.95" customHeight="1">
      <c r="A9" s="226" t="s">
        <v>276</v>
      </c>
      <c r="B9" s="79">
        <v>0.8</v>
      </c>
      <c r="D9" s="8"/>
      <c r="E9" s="8"/>
    </row>
    <row r="10" spans="1:5" ht="15" customHeight="1">
      <c r="A10" s="8"/>
      <c r="B10" s="8"/>
      <c r="D10" s="8"/>
      <c r="E10" s="8"/>
    </row>
    <row r="11" spans="1:5" ht="15" customHeight="1">
      <c r="A11" s="8"/>
      <c r="B11" s="8"/>
      <c r="D11" s="8"/>
      <c r="E11" s="8"/>
    </row>
    <row r="12" spans="1:5" ht="15.75" customHeight="1">
      <c r="A12" s="8"/>
      <c r="B12" s="8"/>
      <c r="D12" s="8"/>
      <c r="E12" s="8"/>
    </row>
    <row r="13" spans="1:5" ht="15.75" customHeight="1">
      <c r="A13" s="8"/>
      <c r="B13" s="8"/>
      <c r="D13" s="8"/>
      <c r="E13" s="8"/>
    </row>
    <row r="14" spans="1:5" ht="15.75" customHeight="1">
      <c r="A14" s="8"/>
      <c r="B14" s="8"/>
      <c r="D14" s="8"/>
      <c r="E14" s="8"/>
    </row>
    <row r="15" spans="1:5" ht="15.75" customHeight="1">
      <c r="A15" s="8"/>
      <c r="B15" s="8"/>
      <c r="D15" s="8"/>
      <c r="E15" s="8"/>
    </row>
    <row r="16" spans="1:5" ht="15.75" customHeight="1">
      <c r="A16" s="8"/>
      <c r="B16" s="8"/>
      <c r="D16" s="8"/>
      <c r="E16" s="8"/>
    </row>
    <row r="17" spans="1:5" ht="15.75" customHeight="1">
      <c r="A17" s="8"/>
      <c r="B17" s="15"/>
      <c r="C17" s="15"/>
      <c r="D17" s="8"/>
      <c r="E17" s="8"/>
    </row>
    <row r="18" spans="1:5" ht="15.75" customHeight="1">
      <c r="A18" s="8"/>
      <c r="B18" s="8"/>
      <c r="D18" s="8"/>
      <c r="E18" s="8"/>
    </row>
    <row r="19" spans="1:5" ht="15.75" customHeight="1">
      <c r="A19" s="2"/>
      <c r="B19" s="8"/>
      <c r="D19" s="8"/>
      <c r="E19" s="8"/>
    </row>
    <row r="20" spans="1:5" ht="15.75" customHeight="1">
      <c r="A20" s="8"/>
      <c r="B20" s="8"/>
      <c r="D20" s="8"/>
      <c r="E20" s="8"/>
    </row>
    <row r="21" spans="1:5" ht="15.75" customHeight="1">
      <c r="A21" s="8"/>
      <c r="B21" s="8"/>
      <c r="D21" s="8"/>
      <c r="E21" s="8"/>
    </row>
    <row r="22" spans="1:5" ht="15.75" customHeight="1">
      <c r="A22" s="8"/>
      <c r="B22" s="8"/>
      <c r="D22" s="8"/>
      <c r="E22" s="8"/>
    </row>
    <row r="23" spans="1:5" ht="15.75" customHeight="1">
      <c r="A23" s="8"/>
      <c r="B23" s="8"/>
      <c r="D23" s="8"/>
      <c r="E23" s="8"/>
    </row>
    <row r="24" spans="1:5" ht="15.75" customHeight="1">
      <c r="A24" s="8"/>
      <c r="B24" s="8"/>
      <c r="D24" s="8"/>
      <c r="E24" s="8"/>
    </row>
    <row r="25" spans="1:5" ht="15.75" customHeight="1">
      <c r="A25" s="8"/>
      <c r="B25" s="8"/>
      <c r="D25" s="8"/>
      <c r="E25" s="8"/>
    </row>
    <row r="26" spans="1:5" ht="15.75" customHeight="1">
      <c r="A26" s="8"/>
      <c r="B26" s="8"/>
      <c r="D26" s="8"/>
      <c r="E26" s="8"/>
    </row>
    <row r="27" spans="1:5" ht="15.75" customHeight="1">
      <c r="A27" s="8"/>
      <c r="B27" s="8"/>
      <c r="D27" s="8"/>
      <c r="E27" s="8"/>
    </row>
    <row r="28" spans="1:5" ht="15.75" customHeight="1">
      <c r="A28" s="8"/>
      <c r="B28" s="8"/>
      <c r="D28" s="8"/>
      <c r="E28" s="8"/>
    </row>
    <row r="29" spans="1:5" ht="15.75" customHeight="1">
      <c r="A29" s="8"/>
      <c r="B29" s="8"/>
      <c r="D29" s="8"/>
      <c r="E29" s="8"/>
    </row>
    <row r="30" spans="1:5" ht="15.75" customHeight="1">
      <c r="A30" s="8"/>
      <c r="B30" s="8"/>
      <c r="D30" s="8"/>
      <c r="E30" s="8"/>
    </row>
    <row r="31" spans="1:5" ht="15.75" customHeight="1">
      <c r="A31" s="8"/>
      <c r="B31" s="8"/>
      <c r="D31" s="8"/>
      <c r="E31" s="8"/>
    </row>
    <row r="32" spans="1:5" ht="15.75" customHeight="1">
      <c r="A32" s="8"/>
      <c r="B32" s="8"/>
      <c r="D32" s="8"/>
      <c r="E32" s="8"/>
    </row>
    <row r="33" spans="1:5" ht="15.75" customHeight="1">
      <c r="A33" s="8"/>
      <c r="B33" s="8"/>
      <c r="D33" s="8"/>
      <c r="E33" s="8"/>
    </row>
    <row r="34" spans="1:5" ht="15.75" customHeight="1">
      <c r="A34" s="8"/>
      <c r="B34" s="8"/>
      <c r="D34" s="8"/>
      <c r="E34" s="8"/>
    </row>
    <row r="35" spans="1:5" ht="15.75" customHeight="1">
      <c r="A35" s="8"/>
      <c r="B35" s="8"/>
      <c r="D35" s="8"/>
      <c r="E35" s="8"/>
    </row>
    <row r="36" spans="1:5" ht="15.75" customHeight="1">
      <c r="A36" s="8"/>
      <c r="B36" s="8"/>
      <c r="D36" s="8"/>
      <c r="E36" s="8"/>
    </row>
    <row r="37" spans="1:5" ht="15.75" customHeight="1">
      <c r="A37" s="8"/>
      <c r="B37" s="8"/>
      <c r="D37" s="8"/>
      <c r="E37" s="8"/>
    </row>
    <row r="38" spans="1:5" ht="15.75" customHeight="1">
      <c r="A38" s="8"/>
      <c r="B38" s="8"/>
      <c r="D38" s="8"/>
      <c r="E38" s="8"/>
    </row>
    <row r="39" spans="1:5" ht="15.75" customHeight="1">
      <c r="A39" s="8"/>
      <c r="B39" s="8"/>
      <c r="D39" s="8"/>
      <c r="E39" s="8"/>
    </row>
    <row r="40" spans="1:5" ht="15.75" customHeight="1">
      <c r="A40" s="8"/>
      <c r="B40" s="8"/>
      <c r="D40" s="8"/>
      <c r="E40" s="8"/>
    </row>
    <row r="41" spans="1:5" ht="15.75" customHeight="1">
      <c r="A41" s="8"/>
      <c r="B41" s="8"/>
      <c r="D41" s="8"/>
      <c r="E41" s="8"/>
    </row>
    <row r="42" spans="1:5" ht="15.75" customHeight="1">
      <c r="A42" s="8"/>
      <c r="B42" s="8"/>
      <c r="D42" s="8"/>
      <c r="E42" s="8"/>
    </row>
    <row r="43" spans="1:5" ht="15.75" customHeight="1">
      <c r="A43" s="8"/>
      <c r="B43" s="8"/>
      <c r="D43" s="8"/>
      <c r="E43" s="8"/>
    </row>
    <row r="44" spans="1:5" ht="15.75" customHeight="1">
      <c r="A44" s="8"/>
      <c r="B44" s="8"/>
      <c r="D44" s="8"/>
      <c r="E44" s="8"/>
    </row>
    <row r="45" spans="1:5" ht="15.75" customHeight="1">
      <c r="A45" s="8"/>
      <c r="B45" s="8"/>
      <c r="D45" s="8"/>
      <c r="E45" s="8"/>
    </row>
    <row r="46" spans="1:5" ht="15.75" customHeight="1">
      <c r="A46" s="8"/>
      <c r="B46" s="8"/>
      <c r="D46" s="8"/>
      <c r="E46" s="8"/>
    </row>
    <row r="47" spans="1:5" ht="15.75" customHeight="1">
      <c r="A47" s="8"/>
      <c r="B47" s="8"/>
      <c r="D47" s="8"/>
      <c r="E47" s="8"/>
    </row>
    <row r="48" spans="1:5" ht="15.75" customHeight="1">
      <c r="A48" s="8"/>
      <c r="B48" s="8"/>
      <c r="D48" s="8"/>
      <c r="E48" s="8"/>
    </row>
    <row r="49" spans="1:5" ht="15.75" customHeight="1">
      <c r="A49" s="8"/>
      <c r="B49" s="8"/>
      <c r="D49" s="8"/>
      <c r="E49" s="8"/>
    </row>
    <row r="50" spans="1:5" ht="15.75" customHeight="1">
      <c r="A50" s="8"/>
      <c r="B50" s="8"/>
      <c r="D50" s="8"/>
      <c r="E50" s="8"/>
    </row>
    <row r="51" spans="1:5" ht="15.75" customHeight="1">
      <c r="A51" s="8"/>
      <c r="B51" s="8"/>
      <c r="D51" s="8"/>
      <c r="E51" s="8"/>
    </row>
    <row r="52" spans="1:5" ht="15.75" customHeight="1">
      <c r="A52" s="8"/>
      <c r="B52" s="8"/>
      <c r="D52" s="8"/>
      <c r="E52" s="8"/>
    </row>
    <row r="53" spans="1:5" ht="15.75" customHeight="1">
      <c r="A53" s="8"/>
      <c r="B53" s="8"/>
      <c r="D53" s="8"/>
      <c r="E53" s="8"/>
    </row>
    <row r="54" spans="1:5" ht="15.75" customHeight="1">
      <c r="A54" s="8"/>
      <c r="B54" s="8"/>
      <c r="D54" s="8"/>
      <c r="E54" s="8"/>
    </row>
    <row r="55" spans="1:5" ht="15.75" customHeight="1">
      <c r="A55" s="8"/>
      <c r="B55" s="8"/>
      <c r="D55" s="8"/>
      <c r="E55" s="8"/>
    </row>
    <row r="56" spans="1:5" ht="15.75" customHeight="1">
      <c r="A56" s="8"/>
      <c r="B56" s="8"/>
      <c r="D56" s="8"/>
      <c r="E56" s="8"/>
    </row>
    <row r="57" spans="1:5" ht="15.75" customHeight="1">
      <c r="A57" s="8"/>
      <c r="B57" s="8"/>
      <c r="D57" s="8"/>
      <c r="E57" s="8"/>
    </row>
    <row r="58" spans="1:5" ht="15.75" customHeight="1">
      <c r="A58" s="8"/>
      <c r="B58" s="8"/>
      <c r="D58" s="8"/>
      <c r="E58" s="8"/>
    </row>
    <row r="59" spans="1:5" ht="15.75" customHeight="1">
      <c r="A59" s="8"/>
      <c r="B59" s="8"/>
      <c r="D59" s="8"/>
      <c r="E59" s="8"/>
    </row>
    <row r="60" spans="1:5" ht="15.75" customHeight="1">
      <c r="A60" s="8"/>
      <c r="B60" s="8"/>
      <c r="D60" s="8"/>
      <c r="E60" s="8"/>
    </row>
    <row r="61" spans="1:5" ht="15.75" customHeight="1">
      <c r="A61" s="8"/>
      <c r="B61" s="8"/>
      <c r="D61" s="8"/>
      <c r="E61" s="8"/>
    </row>
    <row r="62" spans="1:5" ht="15.75" customHeight="1">
      <c r="A62" s="8"/>
      <c r="B62" s="8"/>
      <c r="D62" s="8"/>
      <c r="E62" s="8"/>
    </row>
    <row r="63" spans="1:5" ht="15.75" customHeight="1">
      <c r="A63" s="8"/>
      <c r="B63" s="8"/>
      <c r="D63" s="8"/>
      <c r="E63" s="8"/>
    </row>
    <row r="64" spans="1:5" ht="15.75" customHeight="1">
      <c r="A64" s="8"/>
      <c r="B64" s="8"/>
      <c r="D64" s="8"/>
      <c r="E64" s="8"/>
    </row>
    <row r="65" spans="1:5" ht="15.75" customHeight="1">
      <c r="A65" s="8"/>
      <c r="B65" s="8"/>
      <c r="D65" s="8"/>
      <c r="E65" s="8"/>
    </row>
    <row r="66" spans="1:5" ht="15.75" customHeight="1">
      <c r="A66" s="8"/>
      <c r="B66" s="8"/>
      <c r="D66" s="8"/>
      <c r="E66" s="8"/>
    </row>
    <row r="67" spans="1:5" ht="15.75" customHeight="1">
      <c r="A67" s="8"/>
      <c r="B67" s="8"/>
      <c r="D67" s="8"/>
      <c r="E67" s="8"/>
    </row>
    <row r="68" spans="1:5" ht="15.75" customHeight="1">
      <c r="A68" s="8"/>
      <c r="B68" s="8"/>
      <c r="D68" s="8"/>
      <c r="E68" s="8"/>
    </row>
    <row r="69" spans="1:5" ht="15.75" customHeight="1">
      <c r="A69" s="8"/>
      <c r="B69" s="8"/>
      <c r="D69" s="8"/>
      <c r="E69" s="8"/>
    </row>
    <row r="70" spans="1:5" ht="15.75" customHeight="1">
      <c r="A70" s="8"/>
      <c r="B70" s="8"/>
      <c r="D70" s="8"/>
      <c r="E70" s="8"/>
    </row>
    <row r="71" spans="1:5" ht="15.75" customHeight="1">
      <c r="A71" s="8"/>
      <c r="B71" s="8"/>
      <c r="D71" s="8"/>
      <c r="E71" s="8"/>
    </row>
    <row r="72" spans="1:5" ht="15.75" customHeight="1">
      <c r="A72" s="8"/>
      <c r="B72" s="8"/>
      <c r="D72" s="8"/>
      <c r="E72" s="8"/>
    </row>
    <row r="73" spans="1:5" ht="15.75" customHeight="1">
      <c r="A73" s="8"/>
      <c r="B73" s="8"/>
      <c r="D73" s="8"/>
      <c r="E73" s="8"/>
    </row>
    <row r="74" spans="1:5" ht="15.75" customHeight="1">
      <c r="A74" s="8"/>
      <c r="B74" s="8"/>
      <c r="D74" s="8"/>
      <c r="E74" s="8"/>
    </row>
    <row r="75" spans="1:5" ht="15.75" customHeight="1">
      <c r="A75" s="8"/>
      <c r="B75" s="8"/>
      <c r="D75" s="8"/>
      <c r="E75" s="8"/>
    </row>
    <row r="76" spans="1:5" ht="15.75" customHeight="1">
      <c r="A76" s="8"/>
      <c r="B76" s="8"/>
      <c r="D76" s="8"/>
      <c r="E76" s="8"/>
    </row>
    <row r="77" spans="1:5" ht="15.75" customHeight="1">
      <c r="A77" s="8"/>
      <c r="B77" s="8"/>
      <c r="D77" s="8"/>
      <c r="E77" s="8"/>
    </row>
    <row r="78" spans="1:5" ht="15.75" customHeight="1">
      <c r="A78" s="8"/>
      <c r="B78" s="8"/>
      <c r="D78" s="8"/>
      <c r="E78" s="8"/>
    </row>
    <row r="79" spans="1:5" ht="15.75" customHeight="1">
      <c r="A79" s="8"/>
      <c r="B79" s="8"/>
      <c r="D79" s="8"/>
      <c r="E79" s="8"/>
    </row>
    <row r="80" spans="1:5" ht="15.75" customHeight="1">
      <c r="A80" s="8"/>
      <c r="B80" s="8"/>
      <c r="D80" s="8"/>
      <c r="E80" s="8"/>
    </row>
    <row r="81" spans="1:5" ht="15.75" customHeight="1">
      <c r="A81" s="8"/>
      <c r="B81" s="8"/>
      <c r="D81" s="8"/>
      <c r="E81" s="8"/>
    </row>
    <row r="82" spans="1:5" ht="15.75" customHeight="1">
      <c r="A82" s="8"/>
      <c r="B82" s="8"/>
      <c r="D82" s="8"/>
      <c r="E82" s="8"/>
    </row>
    <row r="83" spans="1:5" ht="15.75" customHeight="1">
      <c r="A83" s="8"/>
      <c r="B83" s="8"/>
      <c r="D83" s="8"/>
      <c r="E83" s="8"/>
    </row>
    <row r="84" spans="1:5" ht="15.75" customHeight="1">
      <c r="A84" s="8"/>
      <c r="B84" s="8"/>
      <c r="D84" s="8"/>
      <c r="E84" s="8"/>
    </row>
    <row r="85" spans="1:5" ht="15.75" customHeight="1">
      <c r="A85" s="8"/>
      <c r="B85" s="8"/>
      <c r="D85" s="8"/>
      <c r="E85" s="8"/>
    </row>
    <row r="86" spans="1:5" ht="15.75" customHeight="1">
      <c r="A86" s="8"/>
      <c r="B86" s="8"/>
      <c r="D86" s="8"/>
      <c r="E86" s="8"/>
    </row>
    <row r="87" spans="1:5" ht="15.75" customHeight="1">
      <c r="A87" s="8"/>
      <c r="B87" s="8"/>
      <c r="D87" s="8"/>
      <c r="E87" s="8"/>
    </row>
    <row r="88" spans="1:5" ht="15.75" customHeight="1">
      <c r="A88" s="8"/>
      <c r="B88" s="8"/>
      <c r="D88" s="8"/>
      <c r="E88" s="8"/>
    </row>
    <row r="89" spans="1:5" ht="15.75" customHeight="1">
      <c r="A89" s="8"/>
      <c r="B89" s="8"/>
      <c r="D89" s="8"/>
      <c r="E89" s="8"/>
    </row>
    <row r="90" spans="1:5" ht="15.75" customHeight="1">
      <c r="A90" s="8"/>
      <c r="B90" s="8"/>
      <c r="D90" s="8"/>
      <c r="E90" s="8"/>
    </row>
    <row r="91" spans="1:5" ht="15.75" customHeight="1">
      <c r="A91" s="8"/>
      <c r="B91" s="8"/>
      <c r="D91" s="8"/>
      <c r="E91" s="8"/>
    </row>
    <row r="92" spans="1:5" ht="15.75" customHeight="1">
      <c r="A92" s="8"/>
      <c r="B92" s="8"/>
      <c r="D92" s="8"/>
      <c r="E92" s="8"/>
    </row>
    <row r="93" spans="1:5" ht="15.75" customHeight="1">
      <c r="A93" s="8"/>
      <c r="B93" s="8"/>
      <c r="D93" s="8"/>
      <c r="E93" s="8"/>
    </row>
    <row r="94" spans="1:5" ht="15.75" customHeight="1">
      <c r="A94" s="8"/>
      <c r="B94" s="8"/>
      <c r="D94" s="8"/>
      <c r="E94" s="8"/>
    </row>
    <row r="95" spans="1:5" ht="15.75" customHeight="1">
      <c r="A95" s="8"/>
      <c r="B95" s="8"/>
      <c r="D95" s="8"/>
      <c r="E95" s="8"/>
    </row>
    <row r="96" spans="1:5" ht="15.75" customHeight="1">
      <c r="A96" s="8"/>
      <c r="B96" s="8"/>
      <c r="D96" s="8"/>
      <c r="E96" s="8"/>
    </row>
    <row r="97" spans="1:5" ht="15.75" customHeight="1">
      <c r="A97" s="8"/>
      <c r="B97" s="8"/>
      <c r="D97" s="8"/>
      <c r="E97" s="8"/>
    </row>
    <row r="98" spans="1:5" ht="15.75" customHeight="1">
      <c r="A98" s="8"/>
      <c r="B98" s="8"/>
      <c r="D98" s="8"/>
      <c r="E98" s="8"/>
    </row>
    <row r="99" spans="1:5" ht="15.75" customHeight="1">
      <c r="A99" s="8"/>
      <c r="B99" s="8"/>
      <c r="D99" s="8"/>
      <c r="E99" s="8"/>
    </row>
    <row r="100" spans="1:5" ht="15.75" customHeight="1">
      <c r="A100" s="8"/>
      <c r="B100" s="8"/>
      <c r="D100" s="8"/>
      <c r="E100" s="8"/>
    </row>
    <row r="101" spans="1:5" ht="15.75" customHeight="1">
      <c r="A101" s="8"/>
      <c r="B101" s="8"/>
      <c r="D101" s="8"/>
      <c r="E101" s="8"/>
    </row>
    <row r="102" spans="1:5" ht="15.75" customHeight="1">
      <c r="A102" s="8"/>
      <c r="B102" s="8"/>
      <c r="D102" s="8"/>
      <c r="E102" s="8"/>
    </row>
    <row r="103" spans="1:5" ht="15.75" customHeight="1">
      <c r="A103" s="8"/>
      <c r="B103" s="8"/>
      <c r="D103" s="8"/>
      <c r="E103" s="8"/>
    </row>
    <row r="104" spans="1:5" ht="15.75" customHeight="1">
      <c r="A104" s="8"/>
      <c r="B104" s="8"/>
      <c r="D104" s="8"/>
      <c r="E104" s="8"/>
    </row>
    <row r="105" spans="1:5" ht="15.75" customHeight="1">
      <c r="A105" s="8"/>
      <c r="B105" s="8"/>
      <c r="D105" s="8"/>
      <c r="E105" s="8"/>
    </row>
    <row r="106" spans="1:5" ht="15.75" customHeight="1">
      <c r="A106" s="8"/>
      <c r="B106" s="8"/>
      <c r="D106" s="8"/>
      <c r="E106" s="8"/>
    </row>
    <row r="107" spans="1:5" ht="15.75" customHeight="1">
      <c r="A107" s="8"/>
      <c r="B107" s="8"/>
      <c r="D107" s="8"/>
      <c r="E107" s="8"/>
    </row>
    <row r="108" spans="1:5" ht="15.75" customHeight="1">
      <c r="A108" s="8"/>
      <c r="B108" s="8"/>
      <c r="D108" s="8"/>
      <c r="E108" s="8"/>
    </row>
    <row r="109" spans="1:5" ht="15.75" customHeight="1">
      <c r="A109" s="8"/>
      <c r="B109" s="8"/>
      <c r="D109" s="8"/>
      <c r="E109" s="8"/>
    </row>
    <row r="110" spans="1:5" ht="15.75" customHeight="1">
      <c r="A110" s="8"/>
      <c r="B110" s="8"/>
      <c r="D110" s="8"/>
      <c r="E110" s="8"/>
    </row>
    <row r="111" spans="1:5" ht="15.75" customHeight="1">
      <c r="A111" s="8"/>
      <c r="B111" s="8"/>
      <c r="D111" s="8"/>
      <c r="E111" s="8"/>
    </row>
    <row r="112" spans="1:5" ht="15.75" customHeight="1">
      <c r="A112" s="8"/>
      <c r="B112" s="8"/>
      <c r="D112" s="8"/>
      <c r="E112" s="8"/>
    </row>
    <row r="113" spans="1:5" ht="15.75" customHeight="1">
      <c r="A113" s="8"/>
      <c r="B113" s="8"/>
      <c r="D113" s="8"/>
      <c r="E113" s="8"/>
    </row>
    <row r="114" spans="1:5" ht="15.75" customHeight="1">
      <c r="A114" s="8"/>
      <c r="B114" s="8"/>
      <c r="D114" s="8"/>
      <c r="E114" s="8"/>
    </row>
    <row r="115" spans="1:5" ht="15.75" customHeight="1">
      <c r="A115" s="8"/>
      <c r="B115" s="8"/>
      <c r="D115" s="8"/>
      <c r="E115" s="8"/>
    </row>
    <row r="116" spans="1:5" ht="15.75" customHeight="1">
      <c r="A116" s="8"/>
      <c r="B116" s="8"/>
      <c r="D116" s="8"/>
      <c r="E116" s="8"/>
    </row>
    <row r="117" spans="1:5" ht="15.75" customHeight="1">
      <c r="A117" s="8"/>
      <c r="B117" s="8"/>
      <c r="D117" s="8"/>
      <c r="E117" s="8"/>
    </row>
    <row r="118" spans="1:5" ht="15.75" customHeight="1">
      <c r="A118" s="8"/>
      <c r="B118" s="8"/>
      <c r="D118" s="8"/>
      <c r="E118" s="8"/>
    </row>
    <row r="119" spans="1:5" ht="15.75" customHeight="1">
      <c r="A119" s="8"/>
      <c r="B119" s="8"/>
      <c r="D119" s="8"/>
      <c r="E119" s="8"/>
    </row>
    <row r="120" spans="1:5" ht="15.75" customHeight="1">
      <c r="A120" s="8"/>
      <c r="B120" s="8"/>
      <c r="D120" s="8"/>
      <c r="E120" s="8"/>
    </row>
    <row r="121" spans="1:5" ht="15.75" customHeight="1">
      <c r="A121" s="8"/>
      <c r="B121" s="8"/>
      <c r="D121" s="8"/>
      <c r="E121" s="8"/>
    </row>
    <row r="122" spans="1:5" ht="15.75" customHeight="1">
      <c r="A122" s="8"/>
      <c r="B122" s="8"/>
      <c r="D122" s="8"/>
      <c r="E122" s="8"/>
    </row>
    <row r="123" spans="1:5" ht="15.75" customHeight="1">
      <c r="A123" s="8"/>
      <c r="B123" s="8"/>
      <c r="D123" s="8"/>
      <c r="E123" s="8"/>
    </row>
    <row r="124" spans="1:5" ht="15.75" customHeight="1">
      <c r="A124" s="8"/>
      <c r="B124" s="8"/>
      <c r="D124" s="8"/>
      <c r="E124" s="8"/>
    </row>
    <row r="125" spans="1:5" ht="15.75" customHeight="1">
      <c r="A125" s="8"/>
      <c r="B125" s="8"/>
      <c r="D125" s="8"/>
      <c r="E125" s="8"/>
    </row>
    <row r="126" spans="1:5" ht="15.75" customHeight="1">
      <c r="A126" s="8"/>
      <c r="B126" s="8"/>
      <c r="D126" s="8"/>
      <c r="E126" s="8"/>
    </row>
    <row r="127" spans="1:5" ht="15.75" customHeight="1">
      <c r="A127" s="8"/>
      <c r="B127" s="8"/>
      <c r="D127" s="8"/>
      <c r="E127" s="8"/>
    </row>
    <row r="128" spans="1:5" ht="15.75" customHeight="1">
      <c r="A128" s="8"/>
      <c r="B128" s="8"/>
      <c r="D128" s="8"/>
      <c r="E128" s="8"/>
    </row>
    <row r="129" spans="1:5" ht="15.75" customHeight="1">
      <c r="A129" s="8"/>
      <c r="B129" s="8"/>
      <c r="D129" s="8"/>
      <c r="E129" s="8"/>
    </row>
    <row r="130" spans="1:5" ht="15.75" customHeight="1">
      <c r="A130" s="8"/>
      <c r="B130" s="8"/>
      <c r="D130" s="8"/>
      <c r="E130" s="8"/>
    </row>
    <row r="131" spans="1:5" ht="15.75" customHeight="1">
      <c r="A131" s="8"/>
      <c r="B131" s="8"/>
      <c r="D131" s="8"/>
      <c r="E131" s="8"/>
    </row>
    <row r="132" spans="1:5" ht="15.75" customHeight="1">
      <c r="A132" s="8"/>
      <c r="B132" s="8"/>
      <c r="D132" s="8"/>
      <c r="E132" s="8"/>
    </row>
    <row r="133" spans="1:5" ht="15.75" customHeight="1">
      <c r="A133" s="8"/>
      <c r="B133" s="8"/>
      <c r="D133" s="8"/>
      <c r="E133" s="8"/>
    </row>
    <row r="134" spans="1:5" ht="15.75" customHeight="1">
      <c r="A134" s="8"/>
      <c r="B134" s="8"/>
      <c r="D134" s="8"/>
      <c r="E134" s="8"/>
    </row>
    <row r="135" spans="1:5" ht="15.75" customHeight="1">
      <c r="A135" s="8"/>
      <c r="B135" s="8"/>
      <c r="D135" s="8"/>
      <c r="E135" s="8"/>
    </row>
    <row r="136" spans="1:5" ht="15.75" customHeight="1">
      <c r="A136" s="8"/>
      <c r="B136" s="8"/>
      <c r="D136" s="8"/>
      <c r="E136" s="8"/>
    </row>
    <row r="137" spans="1:5" ht="15.75" customHeight="1">
      <c r="A137" s="8"/>
      <c r="B137" s="8"/>
      <c r="D137" s="8"/>
      <c r="E137" s="8"/>
    </row>
    <row r="138" spans="1:5" ht="15.75" customHeight="1">
      <c r="A138" s="8"/>
      <c r="B138" s="8"/>
      <c r="D138" s="8"/>
      <c r="E138" s="8"/>
    </row>
    <row r="139" spans="1:5" ht="15.75" customHeight="1">
      <c r="A139" s="8"/>
      <c r="B139" s="8"/>
      <c r="D139" s="8"/>
      <c r="E139" s="8"/>
    </row>
    <row r="140" spans="1:5" ht="15.75" customHeight="1">
      <c r="A140" s="8"/>
      <c r="B140" s="8"/>
      <c r="D140" s="8"/>
      <c r="E140" s="8"/>
    </row>
    <row r="141" spans="1:5" ht="15.75" customHeight="1">
      <c r="A141" s="8"/>
      <c r="B141" s="8"/>
      <c r="D141" s="8"/>
      <c r="E141" s="8"/>
    </row>
    <row r="142" spans="1:5" ht="15.75" customHeight="1">
      <c r="A142" s="8"/>
      <c r="B142" s="8"/>
      <c r="D142" s="8"/>
      <c r="E142" s="8"/>
    </row>
    <row r="143" spans="1:5" ht="15.75" customHeight="1">
      <c r="A143" s="8"/>
      <c r="B143" s="8"/>
      <c r="D143" s="8"/>
      <c r="E143" s="8"/>
    </row>
    <row r="144" spans="1:5" ht="15.75" customHeight="1">
      <c r="A144" s="8"/>
      <c r="B144" s="8"/>
      <c r="D144" s="8"/>
      <c r="E144" s="8"/>
    </row>
    <row r="145" spans="1:5" ht="15.75" customHeight="1">
      <c r="A145" s="8"/>
      <c r="B145" s="8"/>
      <c r="D145" s="8"/>
      <c r="E145" s="8"/>
    </row>
    <row r="146" spans="1:5" ht="15.75" customHeight="1">
      <c r="A146" s="8"/>
      <c r="B146" s="8"/>
      <c r="D146" s="8"/>
      <c r="E146" s="8"/>
    </row>
    <row r="147" spans="1:5" ht="15.75" customHeight="1">
      <c r="A147" s="8"/>
      <c r="B147" s="8"/>
      <c r="D147" s="8"/>
      <c r="E147" s="8"/>
    </row>
    <row r="148" spans="1:5" ht="15.75" customHeight="1">
      <c r="A148" s="8"/>
      <c r="B148" s="8"/>
      <c r="D148" s="8"/>
      <c r="E148" s="8"/>
    </row>
    <row r="149" spans="1:5" ht="15.75" customHeight="1">
      <c r="A149" s="8"/>
      <c r="B149" s="8"/>
      <c r="D149" s="8"/>
      <c r="E149" s="8"/>
    </row>
    <row r="150" spans="1:5" ht="15.75" customHeight="1">
      <c r="A150" s="8"/>
      <c r="B150" s="8"/>
      <c r="D150" s="8"/>
      <c r="E150" s="8"/>
    </row>
    <row r="151" spans="1:5" ht="15.75" customHeight="1">
      <c r="A151" s="8"/>
      <c r="B151" s="8"/>
      <c r="D151" s="8"/>
      <c r="E151" s="8"/>
    </row>
    <row r="152" spans="1:5" ht="15.75" customHeight="1">
      <c r="A152" s="8"/>
      <c r="B152" s="8"/>
      <c r="D152" s="8"/>
      <c r="E152" s="8"/>
    </row>
    <row r="153" spans="1:5" ht="15.75" customHeight="1">
      <c r="A153" s="8"/>
      <c r="B153" s="8"/>
      <c r="D153" s="8"/>
      <c r="E153" s="8"/>
    </row>
    <row r="154" spans="1:5" ht="15.75" customHeight="1">
      <c r="A154" s="8"/>
      <c r="B154" s="8"/>
      <c r="D154" s="8"/>
      <c r="E154" s="8"/>
    </row>
    <row r="155" spans="1:5" ht="15.75" customHeight="1">
      <c r="A155" s="8"/>
      <c r="B155" s="8"/>
      <c r="D155" s="8"/>
      <c r="E155" s="8"/>
    </row>
    <row r="156" spans="1:5" ht="15.75" customHeight="1">
      <c r="A156" s="8"/>
      <c r="B156" s="8"/>
      <c r="D156" s="8"/>
      <c r="E156" s="8"/>
    </row>
    <row r="157" spans="1:5" ht="15.75" customHeight="1">
      <c r="A157" s="8"/>
      <c r="B157" s="8"/>
      <c r="D157" s="8"/>
      <c r="E157" s="8"/>
    </row>
    <row r="158" spans="1:5" ht="15.75" customHeight="1">
      <c r="A158" s="8"/>
      <c r="B158" s="8"/>
      <c r="D158" s="8"/>
      <c r="E158" s="8"/>
    </row>
    <row r="159" spans="1:5" ht="15.75" customHeight="1">
      <c r="A159" s="8"/>
      <c r="B159" s="8"/>
      <c r="D159" s="8"/>
      <c r="E159" s="8"/>
    </row>
    <row r="160" spans="1:5" ht="15.75" customHeight="1">
      <c r="A160" s="8"/>
      <c r="B160" s="8"/>
      <c r="D160" s="8"/>
      <c r="E160" s="8"/>
    </row>
    <row r="161" spans="1:5" ht="15.75" customHeight="1">
      <c r="A161" s="8"/>
      <c r="B161" s="8"/>
      <c r="D161" s="8"/>
      <c r="E161" s="8"/>
    </row>
    <row r="162" spans="1:5" ht="15.75" customHeight="1">
      <c r="A162" s="8"/>
      <c r="B162" s="8"/>
      <c r="D162" s="8"/>
      <c r="E162" s="8"/>
    </row>
    <row r="163" spans="1:5" ht="15.75" customHeight="1">
      <c r="A163" s="8"/>
      <c r="B163" s="8"/>
      <c r="D163" s="8"/>
      <c r="E163" s="8"/>
    </row>
    <row r="164" spans="1:5" ht="15.75" customHeight="1">
      <c r="A164" s="8"/>
      <c r="B164" s="8"/>
      <c r="D164" s="8"/>
      <c r="E164" s="8"/>
    </row>
    <row r="165" spans="1:5" ht="15.75" customHeight="1">
      <c r="A165" s="8"/>
      <c r="B165" s="8"/>
      <c r="D165" s="8"/>
      <c r="E165" s="8"/>
    </row>
    <row r="166" spans="1:5" ht="15.75" customHeight="1">
      <c r="A166" s="8"/>
      <c r="B166" s="8"/>
      <c r="D166" s="8"/>
      <c r="E166" s="8"/>
    </row>
    <row r="167" spans="1:5" ht="15.75" customHeight="1">
      <c r="A167" s="8"/>
      <c r="B167" s="8"/>
      <c r="D167" s="8"/>
      <c r="E167" s="8"/>
    </row>
    <row r="168" spans="1:5" ht="15.75" customHeight="1">
      <c r="A168" s="8"/>
      <c r="B168" s="8"/>
      <c r="D168" s="8"/>
      <c r="E168" s="8"/>
    </row>
    <row r="169" spans="1:5" ht="15.75" customHeight="1">
      <c r="A169" s="8"/>
      <c r="B169" s="8"/>
      <c r="D169" s="8"/>
      <c r="E169" s="8"/>
    </row>
    <row r="170" spans="1:5" ht="15.75" customHeight="1">
      <c r="A170" s="8"/>
      <c r="B170" s="8"/>
      <c r="D170" s="8"/>
      <c r="E170" s="8"/>
    </row>
    <row r="171" spans="1:5" ht="15.75" customHeight="1">
      <c r="A171" s="8"/>
      <c r="B171" s="8"/>
      <c r="D171" s="8"/>
      <c r="E171" s="8"/>
    </row>
    <row r="172" spans="1:5" ht="15.75" customHeight="1">
      <c r="A172" s="8"/>
      <c r="B172" s="8"/>
      <c r="D172" s="8"/>
      <c r="E172" s="8"/>
    </row>
    <row r="173" spans="1:5" ht="15.75" customHeight="1">
      <c r="A173" s="8"/>
      <c r="B173" s="8"/>
      <c r="D173" s="8"/>
      <c r="E173" s="8"/>
    </row>
    <row r="174" spans="1:5" ht="15.75" customHeight="1">
      <c r="A174" s="8"/>
      <c r="B174" s="8"/>
      <c r="D174" s="8"/>
      <c r="E174" s="8"/>
    </row>
    <row r="175" spans="1:5" ht="15.75" customHeight="1">
      <c r="A175" s="8"/>
      <c r="B175" s="8"/>
      <c r="D175" s="8"/>
      <c r="E175" s="8"/>
    </row>
    <row r="176" spans="1:5" ht="15.75" customHeight="1">
      <c r="A176" s="8"/>
      <c r="B176" s="8"/>
      <c r="D176" s="8"/>
      <c r="E176" s="8"/>
    </row>
    <row r="177" spans="1:5" ht="15.75" customHeight="1">
      <c r="A177" s="8"/>
      <c r="B177" s="8"/>
      <c r="D177" s="8"/>
      <c r="E177" s="8"/>
    </row>
    <row r="178" spans="1:5" ht="15.75" customHeight="1">
      <c r="A178" s="8"/>
      <c r="B178" s="8"/>
      <c r="D178" s="8"/>
      <c r="E178" s="8"/>
    </row>
    <row r="179" spans="1:5" ht="15.75" customHeight="1">
      <c r="A179" s="8"/>
      <c r="B179" s="8"/>
      <c r="D179" s="8"/>
      <c r="E179" s="8"/>
    </row>
    <row r="180" spans="1:5" ht="15.75" customHeight="1">
      <c r="A180" s="8"/>
      <c r="B180" s="8"/>
      <c r="D180" s="8"/>
      <c r="E180" s="8"/>
    </row>
    <row r="181" spans="1:5" ht="15.75" customHeight="1">
      <c r="A181" s="8"/>
      <c r="B181" s="8"/>
      <c r="D181" s="8"/>
      <c r="E181" s="8"/>
    </row>
    <row r="182" spans="1:5" ht="15.75" customHeight="1">
      <c r="A182" s="8"/>
      <c r="B182" s="8"/>
      <c r="D182" s="8"/>
      <c r="E182" s="8"/>
    </row>
    <row r="183" spans="1:5" ht="15.75" customHeight="1">
      <c r="A183" s="8"/>
      <c r="B183" s="8"/>
      <c r="D183" s="8"/>
      <c r="E183" s="8"/>
    </row>
    <row r="184" spans="1:5" ht="15.75" customHeight="1">
      <c r="A184" s="8"/>
      <c r="B184" s="8"/>
      <c r="D184" s="8"/>
      <c r="E184" s="8"/>
    </row>
    <row r="185" spans="1:5" ht="15.75" customHeight="1">
      <c r="A185" s="8"/>
      <c r="B185" s="8"/>
      <c r="D185" s="8"/>
      <c r="E185" s="8"/>
    </row>
    <row r="186" spans="1:5" ht="15.75" customHeight="1">
      <c r="A186" s="8"/>
      <c r="B186" s="8"/>
      <c r="D186" s="8"/>
      <c r="E186" s="8"/>
    </row>
    <row r="187" spans="1:5" ht="15.75" customHeight="1">
      <c r="A187" s="8"/>
      <c r="B187" s="8"/>
      <c r="D187" s="8"/>
      <c r="E187" s="8"/>
    </row>
    <row r="188" spans="1:5" ht="15.75" customHeight="1">
      <c r="A188" s="8"/>
      <c r="B188" s="8"/>
      <c r="D188" s="8"/>
      <c r="E188" s="8"/>
    </row>
    <row r="189" spans="1:5" ht="15.75" customHeight="1">
      <c r="A189" s="8"/>
      <c r="B189" s="8"/>
      <c r="D189" s="8"/>
      <c r="E189" s="8"/>
    </row>
    <row r="190" spans="1:5" ht="15.75" customHeight="1">
      <c r="A190" s="8"/>
      <c r="B190" s="8"/>
      <c r="D190" s="8"/>
      <c r="E190" s="8"/>
    </row>
    <row r="191" spans="1:5" ht="15.75" customHeight="1">
      <c r="A191" s="8"/>
      <c r="B191" s="8"/>
      <c r="D191" s="8"/>
      <c r="E191" s="8"/>
    </row>
    <row r="192" spans="1:5" ht="15.75" customHeight="1">
      <c r="A192" s="8"/>
      <c r="B192" s="8"/>
      <c r="D192" s="8"/>
      <c r="E192" s="8"/>
    </row>
    <row r="193" spans="1:5" ht="15.75" customHeight="1">
      <c r="A193" s="8"/>
      <c r="B193" s="8"/>
      <c r="D193" s="8"/>
      <c r="E193" s="8"/>
    </row>
    <row r="194" spans="1:5" ht="15.75" customHeight="1">
      <c r="A194" s="8"/>
      <c r="B194" s="8"/>
      <c r="D194" s="8"/>
      <c r="E194" s="8"/>
    </row>
    <row r="195" spans="1:5" ht="15.75" customHeight="1">
      <c r="A195" s="8"/>
      <c r="B195" s="8"/>
      <c r="D195" s="8"/>
      <c r="E195" s="8"/>
    </row>
    <row r="196" spans="1:5" ht="15.75" customHeight="1">
      <c r="A196" s="8"/>
      <c r="B196" s="8"/>
      <c r="D196" s="8"/>
      <c r="E196" s="8"/>
    </row>
    <row r="197" spans="1:5" ht="15.75" customHeight="1">
      <c r="A197" s="8"/>
      <c r="B197" s="8"/>
      <c r="D197" s="8"/>
      <c r="E197" s="8"/>
    </row>
    <row r="198" spans="1:5" ht="15.75" customHeight="1">
      <c r="A198" s="8"/>
      <c r="B198" s="8"/>
      <c r="D198" s="8"/>
      <c r="E198" s="8"/>
    </row>
    <row r="199" spans="1:5" ht="15.75" customHeight="1">
      <c r="A199" s="8"/>
      <c r="B199" s="8"/>
      <c r="D199" s="8"/>
      <c r="E199" s="8"/>
    </row>
    <row r="200" spans="1:5" ht="15.75" customHeight="1">
      <c r="A200" s="8"/>
      <c r="B200" s="8"/>
      <c r="D200" s="8"/>
      <c r="E200" s="8"/>
    </row>
    <row r="201" spans="1:5" ht="15.75" customHeight="1">
      <c r="A201" s="8"/>
      <c r="B201" s="8"/>
      <c r="D201" s="8"/>
      <c r="E201" s="8"/>
    </row>
    <row r="202" spans="1:5" ht="15.75" customHeight="1">
      <c r="A202" s="8"/>
      <c r="B202" s="8"/>
      <c r="D202" s="8"/>
      <c r="E202" s="8"/>
    </row>
    <row r="203" spans="1:5" ht="15.75" customHeight="1">
      <c r="A203" s="8"/>
      <c r="B203" s="8"/>
      <c r="D203" s="8"/>
      <c r="E203" s="8"/>
    </row>
    <row r="204" spans="1:5" ht="15.75" customHeight="1">
      <c r="A204" s="8"/>
      <c r="B204" s="8"/>
      <c r="D204" s="8"/>
      <c r="E204" s="8"/>
    </row>
    <row r="205" spans="1:5" ht="15.75" customHeight="1">
      <c r="A205" s="8"/>
      <c r="B205" s="8"/>
      <c r="D205" s="8"/>
      <c r="E205" s="8"/>
    </row>
    <row r="206" spans="1:5" ht="15.75" customHeight="1">
      <c r="A206" s="8"/>
      <c r="B206" s="8"/>
      <c r="D206" s="8"/>
      <c r="E206" s="8"/>
    </row>
    <row r="207" spans="1:5" ht="15.75" customHeight="1">
      <c r="A207" s="8"/>
      <c r="B207" s="8"/>
      <c r="D207" s="8"/>
      <c r="E207" s="8"/>
    </row>
    <row r="208" spans="1:5" ht="15.75" customHeight="1">
      <c r="A208" s="8"/>
      <c r="B208" s="8"/>
      <c r="D208" s="8"/>
      <c r="E208" s="8"/>
    </row>
    <row r="209" spans="1:5" ht="15.75" customHeight="1">
      <c r="A209" s="8"/>
      <c r="B209" s="8"/>
      <c r="D209" s="8"/>
      <c r="E209" s="8"/>
    </row>
    <row r="210" spans="1:5" ht="15.75" customHeight="1">
      <c r="A210" s="8"/>
      <c r="B210" s="8"/>
      <c r="D210" s="8"/>
      <c r="E210" s="8"/>
    </row>
    <row r="211" spans="1:5" ht="15.75" customHeight="1">
      <c r="A211" s="8"/>
      <c r="B211" s="8"/>
      <c r="D211" s="8"/>
      <c r="E211" s="8"/>
    </row>
    <row r="212" spans="1:5" ht="15.75" customHeight="1">
      <c r="A212" s="8"/>
      <c r="B212" s="8"/>
      <c r="D212" s="8"/>
      <c r="E212" s="8"/>
    </row>
    <row r="213" spans="1:5" ht="15.75" customHeight="1">
      <c r="A213" s="8"/>
      <c r="B213" s="8"/>
      <c r="D213" s="8"/>
      <c r="E213" s="8"/>
    </row>
    <row r="214" spans="1:5" ht="15.75" customHeight="1">
      <c r="A214" s="8"/>
      <c r="B214" s="8"/>
      <c r="D214" s="8"/>
      <c r="E214" s="8"/>
    </row>
    <row r="215" spans="1:5" ht="15.75" customHeight="1">
      <c r="A215" s="8"/>
      <c r="B215" s="8"/>
      <c r="D215" s="8"/>
      <c r="E215" s="8"/>
    </row>
    <row r="216" spans="1:5" ht="15.75" customHeight="1">
      <c r="A216" s="8"/>
      <c r="B216" s="8"/>
      <c r="D216" s="8"/>
      <c r="E216" s="8"/>
    </row>
    <row r="217" spans="1:5" ht="15.75" customHeight="1">
      <c r="A217" s="8"/>
      <c r="B217" s="8"/>
      <c r="D217" s="8"/>
      <c r="E217" s="8"/>
    </row>
    <row r="218" spans="1:5" ht="15.75" customHeight="1">
      <c r="A218" s="8"/>
      <c r="B218" s="8"/>
      <c r="D218" s="8"/>
      <c r="E218" s="8"/>
    </row>
    <row r="219" spans="1:5" ht="15.75" customHeight="1">
      <c r="A219" s="8"/>
      <c r="B219" s="8"/>
      <c r="D219" s="8"/>
      <c r="E219" s="8"/>
    </row>
    <row r="220" spans="1:5" ht="15.75" customHeight="1">
      <c r="A220" s="8"/>
      <c r="B220" s="8"/>
      <c r="D220" s="8"/>
      <c r="E220" s="8"/>
    </row>
    <row r="221" spans="1:5" ht="15.75" customHeight="1">
      <c r="A221" s="8"/>
      <c r="B221" s="8"/>
      <c r="D221" s="8"/>
      <c r="E221" s="8"/>
    </row>
    <row r="222" spans="1:5" ht="15.75" customHeight="1">
      <c r="A222" s="8"/>
      <c r="B222" s="8"/>
      <c r="D222" s="8"/>
      <c r="E222" s="8"/>
    </row>
    <row r="223" spans="1:5" ht="15.75" customHeight="1">
      <c r="A223" s="8"/>
      <c r="B223" s="8"/>
      <c r="D223" s="8"/>
      <c r="E223" s="8"/>
    </row>
    <row r="224" spans="1:5" ht="15.75" customHeight="1">
      <c r="A224" s="8"/>
      <c r="B224" s="8"/>
      <c r="D224" s="8"/>
      <c r="E224" s="8"/>
    </row>
    <row r="225" spans="1:5" ht="15.75" customHeight="1">
      <c r="A225" s="8"/>
      <c r="B225" s="8"/>
      <c r="D225" s="8"/>
      <c r="E225" s="8"/>
    </row>
    <row r="226" spans="1:5" ht="15.75" customHeight="1">
      <c r="A226" s="8"/>
      <c r="B226" s="8"/>
      <c r="D226" s="8"/>
      <c r="E226" s="8"/>
    </row>
    <row r="227" spans="1:5" ht="15.75" customHeight="1">
      <c r="A227" s="8"/>
      <c r="B227" s="8"/>
      <c r="D227" s="8"/>
      <c r="E227" s="8"/>
    </row>
    <row r="228" spans="1:5" ht="15.75" customHeight="1">
      <c r="A228" s="8"/>
      <c r="B228" s="8"/>
      <c r="D228" s="8"/>
      <c r="E228" s="8"/>
    </row>
    <row r="229" spans="1:5" ht="15.75" customHeight="1">
      <c r="A229" s="8"/>
      <c r="B229" s="8"/>
      <c r="D229" s="8"/>
      <c r="E229" s="8"/>
    </row>
    <row r="230" spans="1:5" ht="15.75" customHeight="1">
      <c r="A230" s="8"/>
      <c r="B230" s="8"/>
      <c r="D230" s="8"/>
      <c r="E230" s="8"/>
    </row>
    <row r="231" spans="1:5" ht="15.75" customHeight="1">
      <c r="A231" s="8"/>
      <c r="B231" s="8"/>
      <c r="D231" s="8"/>
      <c r="E231" s="8"/>
    </row>
    <row r="232" spans="1:5" ht="15.75" customHeight="1">
      <c r="A232" s="8"/>
      <c r="B232" s="8"/>
      <c r="D232" s="8"/>
      <c r="E232" s="8"/>
    </row>
    <row r="233" spans="1:5" ht="15.75" customHeight="1">
      <c r="A233" s="8"/>
      <c r="B233" s="8"/>
      <c r="D233" s="8"/>
      <c r="E233" s="8"/>
    </row>
    <row r="234" spans="1:5" ht="15.75" customHeight="1">
      <c r="A234" s="8"/>
      <c r="B234" s="8"/>
      <c r="D234" s="8"/>
      <c r="E234" s="8"/>
    </row>
    <row r="235" spans="1:5" ht="15.75" customHeight="1">
      <c r="A235" s="8"/>
      <c r="B235" s="8"/>
      <c r="D235" s="8"/>
      <c r="E235" s="8"/>
    </row>
    <row r="236" spans="1:5" ht="15.75" customHeight="1">
      <c r="A236" s="8"/>
      <c r="B236" s="8"/>
      <c r="D236" s="8"/>
      <c r="E236" s="8"/>
    </row>
    <row r="237" spans="1:5" ht="15.75" customHeight="1">
      <c r="A237" s="8"/>
      <c r="B237" s="8"/>
      <c r="D237" s="8"/>
      <c r="E237" s="8"/>
    </row>
    <row r="238" spans="1:5" ht="15.75" customHeight="1">
      <c r="A238" s="8"/>
      <c r="B238" s="8"/>
      <c r="D238" s="8"/>
      <c r="E238" s="8"/>
    </row>
    <row r="239" spans="1:5" ht="15.75" customHeight="1">
      <c r="A239" s="8"/>
      <c r="B239" s="8"/>
      <c r="D239" s="8"/>
      <c r="E239" s="8"/>
    </row>
    <row r="240" spans="1:5" ht="15.75" customHeight="1">
      <c r="A240" s="8"/>
      <c r="B240" s="8"/>
      <c r="D240" s="8"/>
      <c r="E240" s="8"/>
    </row>
    <row r="241" spans="1:5" ht="15.75" customHeight="1">
      <c r="A241" s="8"/>
      <c r="B241" s="8"/>
      <c r="D241" s="8"/>
      <c r="E241" s="8"/>
    </row>
    <row r="242" spans="1:5" ht="15.75" customHeight="1">
      <c r="A242" s="8"/>
      <c r="B242" s="8"/>
      <c r="D242" s="8"/>
      <c r="E242" s="8"/>
    </row>
    <row r="243" spans="1:5" ht="15.75" customHeight="1">
      <c r="A243" s="8"/>
      <c r="B243" s="8"/>
      <c r="D243" s="8"/>
      <c r="E243" s="8"/>
    </row>
    <row r="244" spans="1:5" ht="15.75" customHeight="1">
      <c r="A244" s="8"/>
      <c r="B244" s="8"/>
      <c r="D244" s="8"/>
      <c r="E244" s="8"/>
    </row>
    <row r="245" spans="1:5" ht="15.75" customHeight="1">
      <c r="A245" s="8"/>
      <c r="B245" s="8"/>
      <c r="D245" s="8"/>
      <c r="E245" s="8"/>
    </row>
    <row r="246" spans="1:5" ht="15.75" customHeight="1">
      <c r="A246" s="8"/>
      <c r="B246" s="8"/>
      <c r="D246" s="8"/>
      <c r="E246" s="8"/>
    </row>
    <row r="247" spans="1:5" ht="15.75" customHeight="1">
      <c r="A247" s="8"/>
      <c r="B247" s="8"/>
      <c r="D247" s="8"/>
      <c r="E247" s="8"/>
    </row>
    <row r="248" spans="1:5" ht="15.75" customHeight="1">
      <c r="A248" s="8"/>
      <c r="B248" s="8"/>
      <c r="D248" s="8"/>
      <c r="E248" s="8"/>
    </row>
    <row r="249" spans="1:5" ht="15.75" customHeight="1">
      <c r="A249" s="8"/>
      <c r="B249" s="8"/>
      <c r="D249" s="8"/>
      <c r="E249" s="8"/>
    </row>
    <row r="250" spans="1:5" ht="15.75" customHeight="1">
      <c r="A250" s="8"/>
      <c r="B250" s="8"/>
      <c r="D250" s="8"/>
      <c r="E250" s="8"/>
    </row>
    <row r="251" spans="1:5" ht="15.75" customHeight="1">
      <c r="A251" s="8"/>
      <c r="B251" s="8"/>
      <c r="D251" s="8"/>
      <c r="E251" s="8"/>
    </row>
    <row r="252" spans="1:5" ht="15.75" customHeight="1">
      <c r="A252" s="8"/>
      <c r="B252" s="8"/>
      <c r="D252" s="8"/>
      <c r="E252" s="8"/>
    </row>
    <row r="253" spans="1:5" ht="15.75" customHeight="1">
      <c r="A253" s="8"/>
      <c r="B253" s="8"/>
      <c r="D253" s="8"/>
      <c r="E253" s="8"/>
    </row>
    <row r="254" spans="1:5" ht="15.75" customHeight="1">
      <c r="A254" s="8"/>
      <c r="B254" s="8"/>
      <c r="D254" s="8"/>
      <c r="E254" s="8"/>
    </row>
    <row r="255" spans="1:5" ht="15.75" customHeight="1">
      <c r="A255" s="8"/>
      <c r="B255" s="8"/>
      <c r="D255" s="8"/>
      <c r="E255" s="8"/>
    </row>
    <row r="256" spans="1:5" ht="15.75" customHeight="1">
      <c r="A256" s="8"/>
      <c r="B256" s="8"/>
      <c r="D256" s="8"/>
      <c r="E256" s="8"/>
    </row>
    <row r="257" spans="1:5" ht="15.75" customHeight="1">
      <c r="A257" s="8"/>
      <c r="B257" s="8"/>
      <c r="D257" s="8"/>
      <c r="E257" s="8"/>
    </row>
    <row r="258" spans="1:5" ht="15.75" customHeight="1">
      <c r="A258" s="8"/>
      <c r="B258" s="8"/>
      <c r="D258" s="8"/>
      <c r="E258" s="8"/>
    </row>
    <row r="259" spans="1:5" ht="15.75" customHeight="1">
      <c r="A259" s="8"/>
      <c r="B259" s="8"/>
      <c r="D259" s="8"/>
      <c r="E259" s="8"/>
    </row>
    <row r="260" spans="1:5" ht="15.75" customHeight="1">
      <c r="A260" s="8"/>
      <c r="B260" s="8"/>
      <c r="D260" s="8"/>
      <c r="E260" s="8"/>
    </row>
    <row r="261" spans="1:5" ht="15.75" customHeight="1">
      <c r="A261" s="8"/>
      <c r="B261" s="8"/>
      <c r="D261" s="8"/>
      <c r="E261" s="8"/>
    </row>
    <row r="262" spans="1:5" ht="15.75" customHeight="1">
      <c r="A262" s="8"/>
      <c r="B262" s="8"/>
      <c r="D262" s="8"/>
      <c r="E262" s="8"/>
    </row>
    <row r="263" spans="1:5" ht="15.75" customHeight="1">
      <c r="A263" s="8"/>
      <c r="B263" s="8"/>
      <c r="D263" s="8"/>
      <c r="E263" s="8"/>
    </row>
    <row r="264" spans="1:5" ht="15.75" customHeight="1">
      <c r="A264" s="8"/>
      <c r="B264" s="8"/>
      <c r="D264" s="8"/>
      <c r="E264" s="8"/>
    </row>
    <row r="265" spans="1:5" ht="15.75" customHeight="1">
      <c r="A265" s="8"/>
      <c r="B265" s="8"/>
      <c r="D265" s="8"/>
      <c r="E265" s="8"/>
    </row>
    <row r="266" spans="1:5" ht="15.75" customHeight="1">
      <c r="A266" s="8"/>
      <c r="B266" s="8"/>
      <c r="D266" s="8"/>
      <c r="E266" s="8"/>
    </row>
    <row r="267" spans="1:5" ht="15.75" customHeight="1">
      <c r="A267" s="8"/>
      <c r="B267" s="8"/>
      <c r="D267" s="8"/>
      <c r="E267" s="8"/>
    </row>
    <row r="268" spans="1:5" ht="15.75" customHeight="1">
      <c r="A268" s="8"/>
      <c r="B268" s="8"/>
      <c r="D268" s="8"/>
      <c r="E268" s="8"/>
    </row>
    <row r="269" spans="1:5" ht="15.75" customHeight="1">
      <c r="A269" s="8"/>
      <c r="B269" s="8"/>
      <c r="D269" s="8"/>
      <c r="E269" s="8"/>
    </row>
    <row r="270" spans="1:5" ht="15.75" customHeight="1">
      <c r="A270" s="8"/>
      <c r="B270" s="8"/>
      <c r="D270" s="8"/>
      <c r="E270" s="8"/>
    </row>
    <row r="271" spans="1:5" ht="15.75" customHeight="1">
      <c r="A271" s="8"/>
      <c r="B271" s="8"/>
      <c r="D271" s="8"/>
      <c r="E271" s="8"/>
    </row>
    <row r="272" spans="1:5" ht="15.75" customHeight="1">
      <c r="A272" s="8"/>
      <c r="B272" s="8"/>
      <c r="D272" s="8"/>
      <c r="E272" s="8"/>
    </row>
    <row r="273" spans="1:5" ht="15.75" customHeight="1">
      <c r="A273" s="8"/>
      <c r="B273" s="8"/>
      <c r="D273" s="8"/>
      <c r="E273" s="8"/>
    </row>
    <row r="274" spans="1:5" ht="15.75" customHeight="1">
      <c r="A274" s="8"/>
      <c r="B274" s="8"/>
      <c r="D274" s="8"/>
      <c r="E274" s="8"/>
    </row>
    <row r="275" spans="1:5" ht="15.75" customHeight="1">
      <c r="A275" s="8"/>
      <c r="B275" s="8"/>
      <c r="D275" s="8"/>
      <c r="E275" s="8"/>
    </row>
    <row r="276" spans="1:5" ht="15.75" customHeight="1">
      <c r="A276" s="8"/>
      <c r="B276" s="8"/>
      <c r="D276" s="8"/>
      <c r="E276" s="8"/>
    </row>
    <row r="277" spans="1:5" ht="15.75" customHeight="1">
      <c r="A277" s="8"/>
      <c r="B277" s="8"/>
      <c r="D277" s="8"/>
      <c r="E277" s="8"/>
    </row>
    <row r="278" spans="1:5" ht="15.75" customHeight="1">
      <c r="A278" s="8"/>
      <c r="B278" s="8"/>
      <c r="D278" s="8"/>
      <c r="E278" s="8"/>
    </row>
    <row r="279" spans="1:5" ht="15.75" customHeight="1">
      <c r="A279" s="8"/>
      <c r="B279" s="8"/>
      <c r="D279" s="8"/>
      <c r="E279" s="8"/>
    </row>
    <row r="280" spans="1:5" ht="15.75" customHeight="1">
      <c r="A280" s="8"/>
      <c r="B280" s="8"/>
      <c r="D280" s="8"/>
      <c r="E280" s="8"/>
    </row>
    <row r="281" spans="1:5" ht="15.75" customHeight="1">
      <c r="A281" s="8"/>
      <c r="B281" s="8"/>
      <c r="D281" s="8"/>
      <c r="E281" s="8"/>
    </row>
    <row r="282" spans="1:5" ht="15.75" customHeight="1">
      <c r="A282" s="8"/>
      <c r="B282" s="8"/>
      <c r="D282" s="8"/>
      <c r="E282" s="8"/>
    </row>
    <row r="283" spans="1:5" ht="15.75" customHeight="1">
      <c r="A283" s="8"/>
      <c r="B283" s="8"/>
      <c r="D283" s="8"/>
      <c r="E283" s="8"/>
    </row>
    <row r="284" spans="1:5" ht="15.75" customHeight="1">
      <c r="A284" s="8"/>
      <c r="B284" s="8"/>
      <c r="D284" s="8"/>
      <c r="E284" s="8"/>
    </row>
    <row r="285" spans="1:5" ht="15.75" customHeight="1">
      <c r="A285" s="8"/>
      <c r="B285" s="8"/>
      <c r="D285" s="8"/>
      <c r="E285" s="8"/>
    </row>
    <row r="286" spans="1:5" ht="15.75" customHeight="1">
      <c r="A286" s="8"/>
      <c r="B286" s="8"/>
      <c r="D286" s="8"/>
      <c r="E286" s="8"/>
    </row>
    <row r="287" spans="1:5" ht="15.75" customHeight="1">
      <c r="A287" s="8"/>
      <c r="B287" s="8"/>
      <c r="D287" s="8"/>
      <c r="E287" s="8"/>
    </row>
    <row r="288" spans="1:5" ht="15.75" customHeight="1">
      <c r="A288" s="8"/>
      <c r="B288" s="8"/>
      <c r="D288" s="8"/>
      <c r="E288" s="8"/>
    </row>
    <row r="289" spans="1:5" ht="15.75" customHeight="1">
      <c r="A289" s="8"/>
      <c r="B289" s="8"/>
      <c r="D289" s="8"/>
      <c r="E289" s="8"/>
    </row>
    <row r="290" spans="1:5" ht="15.75" customHeight="1">
      <c r="A290" s="8"/>
      <c r="B290" s="8"/>
      <c r="D290" s="8"/>
      <c r="E290" s="8"/>
    </row>
    <row r="291" spans="1:5" ht="15.75" customHeight="1">
      <c r="A291" s="8"/>
      <c r="B291" s="8"/>
      <c r="D291" s="8"/>
      <c r="E291" s="8"/>
    </row>
    <row r="292" spans="1:5" ht="15.75" customHeight="1">
      <c r="A292" s="8"/>
      <c r="B292" s="8"/>
      <c r="D292" s="8"/>
      <c r="E292" s="8"/>
    </row>
    <row r="293" spans="1:5" ht="15.75" customHeight="1">
      <c r="A293" s="8"/>
      <c r="B293" s="8"/>
      <c r="D293" s="8"/>
      <c r="E293" s="8"/>
    </row>
    <row r="294" spans="1:5" ht="15.75" customHeight="1">
      <c r="A294" s="8"/>
      <c r="B294" s="8"/>
      <c r="D294" s="8"/>
      <c r="E294" s="8"/>
    </row>
    <row r="295" spans="1:5" ht="15.75" customHeight="1">
      <c r="A295" s="8"/>
      <c r="B295" s="8"/>
      <c r="D295" s="8"/>
      <c r="E295" s="8"/>
    </row>
    <row r="296" spans="1:5" ht="15.75" customHeight="1">
      <c r="A296" s="8"/>
      <c r="B296" s="8"/>
      <c r="D296" s="8"/>
      <c r="E296" s="8"/>
    </row>
    <row r="297" spans="1:5" ht="15.75" customHeight="1">
      <c r="A297" s="8"/>
      <c r="B297" s="8"/>
      <c r="D297" s="8"/>
      <c r="E297" s="8"/>
    </row>
    <row r="298" spans="1:5" ht="15.75" customHeight="1">
      <c r="A298" s="8"/>
      <c r="B298" s="8"/>
      <c r="D298" s="8"/>
      <c r="E298" s="8"/>
    </row>
    <row r="299" spans="1:5" ht="15.75" customHeight="1">
      <c r="A299" s="8"/>
      <c r="B299" s="8"/>
      <c r="D299" s="8"/>
      <c r="E299" s="8"/>
    </row>
    <row r="300" spans="1:5" ht="15.75" customHeight="1">
      <c r="A300" s="8"/>
      <c r="B300" s="8"/>
      <c r="D300" s="8"/>
      <c r="E300" s="8"/>
    </row>
    <row r="301" spans="1:5" ht="15.75" customHeight="1">
      <c r="A301" s="8"/>
      <c r="B301" s="8"/>
      <c r="D301" s="8"/>
      <c r="E301" s="8"/>
    </row>
    <row r="302" spans="1:5" ht="15.75" customHeight="1">
      <c r="A302" s="8"/>
      <c r="B302" s="8"/>
      <c r="D302" s="8"/>
      <c r="E302" s="8"/>
    </row>
    <row r="303" spans="1:5" ht="15.75" customHeight="1">
      <c r="A303" s="8"/>
      <c r="B303" s="8"/>
      <c r="D303" s="8"/>
      <c r="E303" s="8"/>
    </row>
    <row r="304" spans="1:5" ht="15.75" customHeight="1">
      <c r="A304" s="8"/>
      <c r="B304" s="8"/>
      <c r="D304" s="8"/>
      <c r="E304" s="8"/>
    </row>
    <row r="305" spans="1:5" ht="15.75" customHeight="1">
      <c r="A305" s="8"/>
      <c r="B305" s="8"/>
      <c r="D305" s="8"/>
      <c r="E305" s="8"/>
    </row>
    <row r="306" spans="1:5" ht="15.75" customHeight="1">
      <c r="A306" s="8"/>
      <c r="B306" s="8"/>
      <c r="D306" s="8"/>
      <c r="E306" s="8"/>
    </row>
    <row r="307" spans="1:5" ht="15.75" customHeight="1">
      <c r="A307" s="8"/>
      <c r="B307" s="8"/>
      <c r="D307" s="8"/>
      <c r="E307" s="8"/>
    </row>
    <row r="308" spans="1:5" ht="15.75" customHeight="1">
      <c r="A308" s="8"/>
      <c r="B308" s="8"/>
      <c r="D308" s="8"/>
      <c r="E308" s="8"/>
    </row>
    <row r="309" spans="1:5" ht="15.75" customHeight="1">
      <c r="A309" s="8"/>
      <c r="B309" s="8"/>
      <c r="D309" s="8"/>
      <c r="E309" s="8"/>
    </row>
    <row r="310" spans="1:5" ht="15.75" customHeight="1">
      <c r="A310" s="8"/>
      <c r="B310" s="8"/>
      <c r="D310" s="8"/>
      <c r="E310" s="8"/>
    </row>
    <row r="311" spans="1:5" ht="15.75" customHeight="1">
      <c r="A311" s="8"/>
      <c r="B311" s="8"/>
      <c r="D311" s="8"/>
      <c r="E311" s="8"/>
    </row>
    <row r="312" spans="1:5" ht="15.75" customHeight="1">
      <c r="A312" s="8"/>
      <c r="B312" s="8"/>
      <c r="D312" s="8"/>
      <c r="E312" s="8"/>
    </row>
    <row r="313" spans="1:5" ht="15.75" customHeight="1">
      <c r="A313" s="8"/>
      <c r="B313" s="8"/>
      <c r="D313" s="8"/>
      <c r="E313" s="8"/>
    </row>
    <row r="314" spans="1:5" ht="15.75" customHeight="1">
      <c r="A314" s="8"/>
      <c r="B314" s="8"/>
      <c r="D314" s="8"/>
      <c r="E314" s="8"/>
    </row>
    <row r="315" spans="1:5" ht="15.75" customHeight="1">
      <c r="A315" s="8"/>
      <c r="B315" s="8"/>
      <c r="D315" s="8"/>
      <c r="E315" s="8"/>
    </row>
    <row r="316" spans="1:5" ht="15.75" customHeight="1">
      <c r="A316" s="8"/>
      <c r="B316" s="8"/>
      <c r="D316" s="8"/>
      <c r="E316" s="8"/>
    </row>
    <row r="317" spans="1:5" ht="15.75" customHeight="1">
      <c r="A317" s="8"/>
      <c r="B317" s="8"/>
      <c r="D317" s="8"/>
      <c r="E317" s="8"/>
    </row>
    <row r="318" spans="1:5" ht="15.75" customHeight="1">
      <c r="A318" s="8"/>
      <c r="B318" s="8"/>
      <c r="D318" s="8"/>
      <c r="E318" s="8"/>
    </row>
    <row r="319" spans="1:5" ht="15.75" customHeight="1">
      <c r="A319" s="8"/>
      <c r="B319" s="8"/>
      <c r="D319" s="8"/>
      <c r="E319" s="8"/>
    </row>
    <row r="320" spans="1:5" ht="15.75" customHeight="1">
      <c r="A320" s="8"/>
      <c r="B320" s="8"/>
      <c r="D320" s="8"/>
      <c r="E320" s="8"/>
    </row>
    <row r="321" spans="1:5" ht="15.75" customHeight="1">
      <c r="A321" s="8"/>
      <c r="B321" s="8"/>
      <c r="D321" s="8"/>
      <c r="E321" s="8"/>
    </row>
    <row r="322" spans="1:5" ht="15.75" customHeight="1">
      <c r="A322" s="8"/>
      <c r="B322" s="8"/>
      <c r="D322" s="8"/>
      <c r="E322" s="8"/>
    </row>
    <row r="323" spans="1:5" ht="15.75" customHeight="1">
      <c r="A323" s="8"/>
      <c r="B323" s="8"/>
      <c r="D323" s="8"/>
      <c r="E323" s="8"/>
    </row>
    <row r="324" spans="1:5" ht="15.75" customHeight="1">
      <c r="A324" s="8"/>
      <c r="B324" s="8"/>
      <c r="D324" s="8"/>
      <c r="E324" s="8"/>
    </row>
    <row r="325" spans="1:5" ht="15.75" customHeight="1">
      <c r="A325" s="8"/>
      <c r="B325" s="8"/>
      <c r="D325" s="8"/>
      <c r="E325" s="8"/>
    </row>
    <row r="326" spans="1:5" ht="15.75" customHeight="1">
      <c r="A326" s="8"/>
      <c r="B326" s="8"/>
      <c r="D326" s="8"/>
      <c r="E326" s="8"/>
    </row>
    <row r="327" spans="1:5" ht="15.75" customHeight="1">
      <c r="A327" s="8"/>
      <c r="B327" s="8"/>
      <c r="D327" s="8"/>
      <c r="E327" s="8"/>
    </row>
    <row r="328" spans="1:5" ht="15.75" customHeight="1">
      <c r="A328" s="8"/>
      <c r="B328" s="8"/>
      <c r="D328" s="8"/>
      <c r="E328" s="8"/>
    </row>
    <row r="329" spans="1:5" ht="15.75" customHeight="1">
      <c r="A329" s="8"/>
      <c r="B329" s="8"/>
      <c r="D329" s="8"/>
      <c r="E329" s="8"/>
    </row>
    <row r="330" spans="1:5" ht="15.75" customHeight="1">
      <c r="A330" s="8"/>
      <c r="B330" s="8"/>
      <c r="D330" s="8"/>
      <c r="E330" s="8"/>
    </row>
    <row r="331" spans="1:5" ht="15.75" customHeight="1">
      <c r="A331" s="8"/>
      <c r="B331" s="8"/>
      <c r="D331" s="8"/>
      <c r="E331" s="8"/>
    </row>
    <row r="332" spans="1:5" ht="15.75" customHeight="1">
      <c r="A332" s="8"/>
      <c r="B332" s="8"/>
      <c r="D332" s="8"/>
      <c r="E332" s="8"/>
    </row>
    <row r="333" spans="1:5" ht="15.75" customHeight="1">
      <c r="A333" s="8"/>
      <c r="B333" s="8"/>
      <c r="D333" s="8"/>
      <c r="E333" s="8"/>
    </row>
    <row r="334" spans="1:5" ht="15.75" customHeight="1">
      <c r="A334" s="8"/>
      <c r="B334" s="8"/>
      <c r="D334" s="8"/>
      <c r="E334" s="8"/>
    </row>
    <row r="335" spans="1:5" ht="15.75" customHeight="1">
      <c r="A335" s="8"/>
      <c r="B335" s="8"/>
      <c r="D335" s="8"/>
      <c r="E335" s="8"/>
    </row>
    <row r="336" spans="1:5" ht="15.75" customHeight="1">
      <c r="A336" s="8"/>
      <c r="B336" s="8"/>
      <c r="D336" s="8"/>
      <c r="E336" s="8"/>
    </row>
    <row r="337" spans="1:5" ht="15.75" customHeight="1">
      <c r="A337" s="8"/>
      <c r="B337" s="8"/>
      <c r="D337" s="8"/>
      <c r="E337" s="8"/>
    </row>
    <row r="338" spans="1:5" ht="15.75" customHeight="1">
      <c r="A338" s="8"/>
      <c r="B338" s="8"/>
      <c r="D338" s="8"/>
      <c r="E338" s="8"/>
    </row>
    <row r="339" spans="1:5" ht="15.75" customHeight="1">
      <c r="A339" s="8"/>
      <c r="B339" s="8"/>
      <c r="D339" s="8"/>
      <c r="E339" s="8"/>
    </row>
    <row r="340" spans="1:5" ht="15.75" customHeight="1">
      <c r="A340" s="8"/>
      <c r="B340" s="8"/>
      <c r="D340" s="8"/>
      <c r="E340" s="8"/>
    </row>
    <row r="341" spans="1:5" ht="15.75" customHeight="1">
      <c r="A341" s="8"/>
      <c r="B341" s="8"/>
      <c r="D341" s="8"/>
      <c r="E341" s="8"/>
    </row>
    <row r="342" spans="1:5" ht="15.75" customHeight="1">
      <c r="A342" s="8"/>
      <c r="B342" s="8"/>
      <c r="D342" s="8"/>
      <c r="E342" s="8"/>
    </row>
    <row r="343" spans="1:5" ht="15.75" customHeight="1">
      <c r="A343" s="8"/>
      <c r="B343" s="8"/>
      <c r="D343" s="8"/>
      <c r="E343" s="8"/>
    </row>
    <row r="344" spans="1:5" ht="15.75" customHeight="1">
      <c r="A344" s="8"/>
      <c r="B344" s="8"/>
      <c r="D344" s="8"/>
      <c r="E344" s="8"/>
    </row>
    <row r="345" spans="1:5" ht="15.75" customHeight="1">
      <c r="A345" s="8"/>
      <c r="B345" s="8"/>
      <c r="D345" s="8"/>
      <c r="E345" s="8"/>
    </row>
    <row r="346" spans="1:5" ht="15.75" customHeight="1">
      <c r="A346" s="8"/>
      <c r="B346" s="8"/>
      <c r="D346" s="8"/>
      <c r="E346" s="8"/>
    </row>
    <row r="347" spans="1:5" ht="15.75" customHeight="1">
      <c r="A347" s="8"/>
      <c r="B347" s="8"/>
      <c r="D347" s="8"/>
      <c r="E347" s="8"/>
    </row>
    <row r="348" spans="1:5" ht="15.75" customHeight="1">
      <c r="A348" s="8"/>
      <c r="B348" s="8"/>
      <c r="D348" s="8"/>
      <c r="E348" s="8"/>
    </row>
    <row r="349" spans="1:5" ht="15.75" customHeight="1">
      <c r="A349" s="8"/>
      <c r="B349" s="8"/>
      <c r="D349" s="8"/>
      <c r="E349" s="8"/>
    </row>
    <row r="350" spans="1:5" ht="15.75" customHeight="1">
      <c r="A350" s="8"/>
      <c r="B350" s="8"/>
      <c r="D350" s="8"/>
      <c r="E350" s="8"/>
    </row>
    <row r="351" spans="1:5" ht="15.75" customHeight="1">
      <c r="A351" s="8"/>
      <c r="B351" s="8"/>
      <c r="D351" s="8"/>
      <c r="E351" s="8"/>
    </row>
    <row r="352" spans="1:5" ht="15.75" customHeight="1">
      <c r="A352" s="8"/>
      <c r="B352" s="8"/>
      <c r="D352" s="8"/>
      <c r="E352" s="8"/>
    </row>
    <row r="353" spans="1:5" ht="15.75" customHeight="1">
      <c r="A353" s="8"/>
      <c r="B353" s="8"/>
      <c r="D353" s="8"/>
      <c r="E353" s="8"/>
    </row>
    <row r="354" spans="1:5" ht="15.75" customHeight="1">
      <c r="A354" s="8"/>
      <c r="B354" s="8"/>
      <c r="D354" s="8"/>
      <c r="E354" s="8"/>
    </row>
    <row r="355" spans="1:5" ht="15.75" customHeight="1">
      <c r="A355" s="8"/>
      <c r="B355" s="8"/>
      <c r="D355" s="8"/>
      <c r="E355" s="8"/>
    </row>
    <row r="356" spans="1:5" ht="15.75" customHeight="1">
      <c r="A356" s="8"/>
      <c r="B356" s="8"/>
      <c r="D356" s="8"/>
      <c r="E356" s="8"/>
    </row>
    <row r="357" spans="1:5" ht="15.75" customHeight="1">
      <c r="A357" s="8"/>
      <c r="B357" s="8"/>
      <c r="D357" s="8"/>
      <c r="E357" s="8"/>
    </row>
    <row r="358" spans="1:5" ht="15.75" customHeight="1">
      <c r="A358" s="8"/>
      <c r="B358" s="8"/>
      <c r="D358" s="8"/>
      <c r="E358" s="8"/>
    </row>
    <row r="359" spans="1:5" ht="15.75" customHeight="1">
      <c r="A359" s="8"/>
      <c r="B359" s="8"/>
      <c r="D359" s="8"/>
      <c r="E359" s="8"/>
    </row>
    <row r="360" spans="1:5" ht="15.75" customHeight="1">
      <c r="A360" s="8"/>
      <c r="B360" s="8"/>
      <c r="D360" s="8"/>
      <c r="E360" s="8"/>
    </row>
    <row r="361" spans="1:5" ht="15.75" customHeight="1">
      <c r="A361" s="8"/>
      <c r="B361" s="8"/>
      <c r="D361" s="8"/>
      <c r="E361" s="8"/>
    </row>
    <row r="362" spans="1:5" ht="15.75" customHeight="1">
      <c r="A362" s="8"/>
      <c r="B362" s="8"/>
      <c r="D362" s="8"/>
      <c r="E362" s="8"/>
    </row>
    <row r="363" spans="1:5" ht="15.75" customHeight="1">
      <c r="A363" s="8"/>
      <c r="B363" s="8"/>
      <c r="D363" s="8"/>
      <c r="E363" s="8"/>
    </row>
    <row r="364" spans="1:5" ht="15.75" customHeight="1">
      <c r="A364" s="8"/>
      <c r="B364" s="8"/>
      <c r="D364" s="8"/>
      <c r="E364" s="8"/>
    </row>
    <row r="365" spans="1:5" ht="15.75" customHeight="1">
      <c r="A365" s="8"/>
      <c r="B365" s="8"/>
      <c r="D365" s="8"/>
      <c r="E365" s="8"/>
    </row>
    <row r="366" spans="1:5" ht="15.75" customHeight="1">
      <c r="A366" s="8"/>
      <c r="B366" s="8"/>
      <c r="D366" s="8"/>
      <c r="E366" s="8"/>
    </row>
    <row r="367" spans="1:5" ht="15.75" customHeight="1">
      <c r="A367" s="8"/>
      <c r="B367" s="8"/>
      <c r="D367" s="8"/>
      <c r="E367" s="8"/>
    </row>
    <row r="368" spans="1:5" ht="15.75" customHeight="1">
      <c r="A368" s="8"/>
      <c r="B368" s="8"/>
      <c r="D368" s="8"/>
      <c r="E368" s="8"/>
    </row>
    <row r="369" spans="1:5" ht="15.75" customHeight="1">
      <c r="A369" s="8"/>
      <c r="B369" s="8"/>
      <c r="D369" s="8"/>
      <c r="E369" s="8"/>
    </row>
    <row r="370" spans="1:5" ht="15.75" customHeight="1">
      <c r="A370" s="8"/>
      <c r="B370" s="8"/>
      <c r="D370" s="8"/>
      <c r="E370" s="8"/>
    </row>
    <row r="371" spans="1:5" ht="15.75" customHeight="1">
      <c r="A371" s="8"/>
      <c r="B371" s="8"/>
      <c r="D371" s="8"/>
      <c r="E371" s="8"/>
    </row>
    <row r="372" spans="1:5" ht="15.75" customHeight="1">
      <c r="A372" s="8"/>
      <c r="B372" s="8"/>
      <c r="D372" s="8"/>
      <c r="E372" s="8"/>
    </row>
    <row r="373" spans="1:5" ht="15.75" customHeight="1">
      <c r="A373" s="8"/>
      <c r="B373" s="8"/>
      <c r="D373" s="8"/>
      <c r="E373" s="8"/>
    </row>
    <row r="374" spans="1:5" ht="15.75" customHeight="1">
      <c r="A374" s="8"/>
      <c r="B374" s="8"/>
      <c r="D374" s="8"/>
      <c r="E374" s="8"/>
    </row>
    <row r="375" spans="1:5" ht="15.75" customHeight="1">
      <c r="A375" s="8"/>
      <c r="B375" s="8"/>
      <c r="D375" s="8"/>
      <c r="E375" s="8"/>
    </row>
    <row r="376" spans="1:5" ht="15.75" customHeight="1">
      <c r="A376" s="8"/>
      <c r="B376" s="8"/>
      <c r="D376" s="8"/>
      <c r="E376" s="8"/>
    </row>
    <row r="377" spans="1:5" ht="15.75" customHeight="1">
      <c r="A377" s="8"/>
      <c r="B377" s="8"/>
      <c r="D377" s="8"/>
      <c r="E377" s="8"/>
    </row>
    <row r="378" spans="1:5" ht="15.75" customHeight="1">
      <c r="A378" s="8"/>
      <c r="B378" s="8"/>
      <c r="D378" s="8"/>
      <c r="E378" s="8"/>
    </row>
    <row r="379" spans="1:5" ht="15.75" customHeight="1">
      <c r="A379" s="8"/>
      <c r="B379" s="8"/>
      <c r="D379" s="8"/>
      <c r="E379" s="8"/>
    </row>
    <row r="380" spans="1:5" ht="15.75" customHeight="1">
      <c r="A380" s="8"/>
      <c r="B380" s="8"/>
      <c r="D380" s="8"/>
      <c r="E380" s="8"/>
    </row>
    <row r="381" spans="1:5" ht="15.75" customHeight="1">
      <c r="A381" s="8"/>
      <c r="B381" s="8"/>
      <c r="D381" s="8"/>
      <c r="E381" s="8"/>
    </row>
    <row r="382" spans="1:5" ht="15.75" customHeight="1">
      <c r="A382" s="8"/>
      <c r="B382" s="8"/>
      <c r="D382" s="8"/>
      <c r="E382" s="8"/>
    </row>
    <row r="383" spans="1:5" ht="15.75" customHeight="1">
      <c r="A383" s="8"/>
      <c r="B383" s="8"/>
      <c r="D383" s="8"/>
      <c r="E383" s="8"/>
    </row>
    <row r="384" spans="1:5" ht="15.75" customHeight="1">
      <c r="A384" s="8"/>
      <c r="B384" s="8"/>
      <c r="D384" s="8"/>
      <c r="E384" s="8"/>
    </row>
    <row r="385" spans="1:5" ht="15.75" customHeight="1">
      <c r="A385" s="8"/>
      <c r="B385" s="8"/>
      <c r="D385" s="8"/>
      <c r="E385" s="8"/>
    </row>
    <row r="386" spans="1:5" ht="15.75" customHeight="1">
      <c r="A386" s="8"/>
      <c r="B386" s="8"/>
      <c r="D386" s="8"/>
      <c r="E386" s="8"/>
    </row>
    <row r="387" spans="1:5" ht="15.75" customHeight="1">
      <c r="A387" s="8"/>
      <c r="B387" s="8"/>
      <c r="D387" s="8"/>
      <c r="E387" s="8"/>
    </row>
    <row r="388" spans="1:5" ht="15.75" customHeight="1">
      <c r="A388" s="8"/>
      <c r="B388" s="8"/>
      <c r="D388" s="8"/>
      <c r="E388" s="8"/>
    </row>
    <row r="389" spans="1:5" ht="15.75" customHeight="1">
      <c r="A389" s="8"/>
      <c r="B389" s="8"/>
      <c r="D389" s="8"/>
      <c r="E389" s="8"/>
    </row>
    <row r="390" spans="1:5" ht="15.75" customHeight="1">
      <c r="A390" s="8"/>
      <c r="B390" s="8"/>
      <c r="D390" s="8"/>
      <c r="E390" s="8"/>
    </row>
    <row r="391" spans="1:5" ht="15.75" customHeight="1">
      <c r="A391" s="8"/>
      <c r="B391" s="8"/>
      <c r="D391" s="8"/>
      <c r="E391" s="8"/>
    </row>
    <row r="392" spans="1:5" ht="15.75" customHeight="1">
      <c r="A392" s="8"/>
      <c r="B392" s="8"/>
      <c r="D392" s="8"/>
      <c r="E392" s="8"/>
    </row>
    <row r="393" spans="1:5" ht="15.75" customHeight="1">
      <c r="A393" s="8"/>
      <c r="B393" s="8"/>
      <c r="D393" s="8"/>
      <c r="E393" s="8"/>
    </row>
    <row r="394" spans="1:5" ht="15.75" customHeight="1">
      <c r="A394" s="8"/>
      <c r="B394" s="8"/>
      <c r="D394" s="8"/>
      <c r="E394" s="8"/>
    </row>
    <row r="395" spans="1:5" ht="15.75" customHeight="1">
      <c r="A395" s="8"/>
      <c r="B395" s="8"/>
      <c r="D395" s="8"/>
      <c r="E395" s="8"/>
    </row>
    <row r="396" spans="1:5" ht="15.75" customHeight="1">
      <c r="A396" s="8"/>
      <c r="B396" s="8"/>
      <c r="D396" s="8"/>
      <c r="E396" s="8"/>
    </row>
    <row r="397" spans="1:5" ht="15.75" customHeight="1">
      <c r="A397" s="8"/>
      <c r="B397" s="8"/>
      <c r="D397" s="8"/>
      <c r="E397" s="8"/>
    </row>
    <row r="398" spans="1:5" ht="15.75" customHeight="1">
      <c r="A398" s="8"/>
      <c r="B398" s="8"/>
      <c r="D398" s="8"/>
      <c r="E398" s="8"/>
    </row>
    <row r="399" spans="1:5" ht="15.75" customHeight="1">
      <c r="A399" s="8"/>
      <c r="B399" s="8"/>
      <c r="D399" s="8"/>
      <c r="E399" s="8"/>
    </row>
    <row r="400" spans="1:5" ht="15.75" customHeight="1">
      <c r="A400" s="8"/>
      <c r="B400" s="8"/>
      <c r="D400" s="8"/>
      <c r="E400" s="8"/>
    </row>
    <row r="401" spans="1:5" ht="15.75" customHeight="1">
      <c r="A401" s="8"/>
      <c r="B401" s="8"/>
      <c r="D401" s="8"/>
      <c r="E401" s="8"/>
    </row>
    <row r="402" spans="1:5" ht="15.75" customHeight="1">
      <c r="A402" s="8"/>
      <c r="B402" s="8"/>
      <c r="D402" s="8"/>
      <c r="E402" s="8"/>
    </row>
    <row r="403" spans="1:5" ht="15.75" customHeight="1">
      <c r="A403" s="8"/>
      <c r="B403" s="8"/>
      <c r="D403" s="8"/>
      <c r="E403" s="8"/>
    </row>
    <row r="404" spans="1:5" ht="15.75" customHeight="1">
      <c r="A404" s="8"/>
      <c r="B404" s="8"/>
      <c r="D404" s="8"/>
      <c r="E404" s="8"/>
    </row>
    <row r="405" spans="1:5" ht="15.75" customHeight="1">
      <c r="A405" s="8"/>
      <c r="B405" s="8"/>
      <c r="D405" s="8"/>
      <c r="E405" s="8"/>
    </row>
    <row r="406" spans="1:5" ht="15.75" customHeight="1">
      <c r="A406" s="8"/>
      <c r="B406" s="8"/>
      <c r="D406" s="8"/>
      <c r="E406" s="8"/>
    </row>
    <row r="407" spans="1:5" ht="15.75" customHeight="1">
      <c r="A407" s="8"/>
      <c r="B407" s="8"/>
      <c r="D407" s="8"/>
      <c r="E407" s="8"/>
    </row>
    <row r="408" spans="1:5" ht="15.75" customHeight="1">
      <c r="A408" s="8"/>
      <c r="B408" s="8"/>
      <c r="D408" s="8"/>
      <c r="E408" s="8"/>
    </row>
    <row r="409" spans="1:5" ht="15.75" customHeight="1">
      <c r="A409" s="8"/>
      <c r="B409" s="8"/>
      <c r="D409" s="8"/>
      <c r="E409" s="8"/>
    </row>
    <row r="410" spans="1:5" ht="15.75" customHeight="1">
      <c r="A410" s="8"/>
      <c r="B410" s="8"/>
      <c r="D410" s="8"/>
      <c r="E410" s="8"/>
    </row>
    <row r="411" spans="1:5" ht="15.75" customHeight="1">
      <c r="A411" s="8"/>
      <c r="B411" s="8"/>
      <c r="D411" s="8"/>
      <c r="E411" s="8"/>
    </row>
    <row r="412" spans="1:5" ht="15.75" customHeight="1">
      <c r="A412" s="8"/>
      <c r="B412" s="8"/>
      <c r="D412" s="8"/>
      <c r="E412" s="8"/>
    </row>
    <row r="413" spans="1:5" ht="15.75" customHeight="1">
      <c r="A413" s="8"/>
      <c r="B413" s="8"/>
      <c r="D413" s="8"/>
      <c r="E413" s="8"/>
    </row>
    <row r="414" spans="1:5" ht="15.75" customHeight="1">
      <c r="A414" s="8"/>
      <c r="B414" s="8"/>
      <c r="D414" s="8"/>
      <c r="E414" s="8"/>
    </row>
    <row r="415" spans="1:5" ht="15.75" customHeight="1">
      <c r="A415" s="8"/>
      <c r="B415" s="8"/>
      <c r="D415" s="8"/>
      <c r="E415" s="8"/>
    </row>
    <row r="416" spans="1:5" ht="15.75" customHeight="1">
      <c r="A416" s="8"/>
      <c r="B416" s="8"/>
      <c r="D416" s="8"/>
      <c r="E416" s="8"/>
    </row>
    <row r="417" spans="1:5" ht="15.75" customHeight="1">
      <c r="A417" s="8"/>
      <c r="B417" s="8"/>
      <c r="D417" s="8"/>
      <c r="E417" s="8"/>
    </row>
    <row r="418" spans="1:5" ht="15.75" customHeight="1">
      <c r="A418" s="8"/>
      <c r="B418" s="8"/>
      <c r="D418" s="8"/>
      <c r="E418" s="8"/>
    </row>
    <row r="419" spans="1:5" ht="15.75" customHeight="1">
      <c r="A419" s="8"/>
      <c r="B419" s="8"/>
      <c r="D419" s="8"/>
      <c r="E419" s="8"/>
    </row>
    <row r="420" spans="1:5" ht="15.75" customHeight="1">
      <c r="A420" s="8"/>
      <c r="B420" s="8"/>
      <c r="D420" s="8"/>
      <c r="E420" s="8"/>
    </row>
    <row r="421" spans="1:5" ht="15.75" customHeight="1">
      <c r="A421" s="8"/>
      <c r="B421" s="8"/>
      <c r="D421" s="8"/>
      <c r="E421" s="8"/>
    </row>
    <row r="422" spans="1:5" ht="15.75" customHeight="1">
      <c r="A422" s="8"/>
      <c r="B422" s="8"/>
      <c r="D422" s="8"/>
      <c r="E422" s="8"/>
    </row>
    <row r="423" spans="1:5" ht="15.75" customHeight="1">
      <c r="A423" s="8"/>
      <c r="B423" s="8"/>
      <c r="D423" s="8"/>
      <c r="E423" s="8"/>
    </row>
    <row r="424" spans="1:5" ht="15.75" customHeight="1">
      <c r="A424" s="8"/>
      <c r="B424" s="8"/>
      <c r="D424" s="8"/>
      <c r="E424" s="8"/>
    </row>
    <row r="425" spans="1:5" ht="15.75" customHeight="1">
      <c r="A425" s="8"/>
      <c r="B425" s="8"/>
      <c r="D425" s="8"/>
      <c r="E425" s="8"/>
    </row>
    <row r="426" spans="1:5" ht="15.75" customHeight="1">
      <c r="A426" s="8"/>
      <c r="B426" s="8"/>
      <c r="D426" s="8"/>
      <c r="E426" s="8"/>
    </row>
    <row r="427" spans="1:5" ht="15.75" customHeight="1">
      <c r="A427" s="8"/>
      <c r="B427" s="8"/>
      <c r="D427" s="8"/>
      <c r="E427" s="8"/>
    </row>
    <row r="428" spans="1:5" ht="15.75" customHeight="1">
      <c r="A428" s="8"/>
      <c r="B428" s="8"/>
      <c r="D428" s="8"/>
      <c r="E428" s="8"/>
    </row>
    <row r="429" spans="1:5" ht="15.75" customHeight="1">
      <c r="A429" s="8"/>
      <c r="B429" s="8"/>
      <c r="D429" s="8"/>
      <c r="E429" s="8"/>
    </row>
    <row r="430" spans="1:5" ht="15.75" customHeight="1">
      <c r="A430" s="8"/>
      <c r="B430" s="8"/>
      <c r="D430" s="8"/>
      <c r="E430" s="8"/>
    </row>
    <row r="431" spans="1:5" ht="15.75" customHeight="1">
      <c r="A431" s="8"/>
      <c r="B431" s="8"/>
      <c r="D431" s="8"/>
      <c r="E431" s="8"/>
    </row>
    <row r="432" spans="1:5" ht="15.75" customHeight="1">
      <c r="A432" s="8"/>
      <c r="B432" s="8"/>
      <c r="D432" s="8"/>
      <c r="E432" s="8"/>
    </row>
    <row r="433" spans="1:5" ht="15.75" customHeight="1">
      <c r="A433" s="8"/>
      <c r="B433" s="8"/>
      <c r="D433" s="8"/>
      <c r="E433" s="8"/>
    </row>
    <row r="434" spans="1:5" ht="15.75" customHeight="1">
      <c r="A434" s="8"/>
      <c r="B434" s="8"/>
      <c r="D434" s="8"/>
      <c r="E434" s="8"/>
    </row>
    <row r="435" spans="1:5" ht="15.75" customHeight="1">
      <c r="A435" s="8"/>
      <c r="B435" s="8"/>
      <c r="D435" s="8"/>
      <c r="E435" s="8"/>
    </row>
    <row r="436" spans="1:5" ht="15.75" customHeight="1">
      <c r="A436" s="8"/>
      <c r="B436" s="8"/>
      <c r="D436" s="8"/>
      <c r="E436" s="8"/>
    </row>
    <row r="437" spans="1:5" ht="15.75" customHeight="1">
      <c r="A437" s="8"/>
      <c r="B437" s="8"/>
      <c r="D437" s="8"/>
      <c r="E437" s="8"/>
    </row>
    <row r="438" spans="1:5" ht="15.75" customHeight="1">
      <c r="A438" s="8"/>
      <c r="B438" s="8"/>
      <c r="D438" s="8"/>
      <c r="E438" s="8"/>
    </row>
    <row r="439" spans="1:5" ht="15.75" customHeight="1">
      <c r="A439" s="8"/>
      <c r="B439" s="8"/>
      <c r="D439" s="8"/>
      <c r="E439" s="8"/>
    </row>
    <row r="440" spans="1:5" ht="15.75" customHeight="1">
      <c r="A440" s="8"/>
      <c r="B440" s="8"/>
      <c r="D440" s="8"/>
      <c r="E440" s="8"/>
    </row>
    <row r="441" spans="1:5" ht="15.75" customHeight="1">
      <c r="A441" s="8"/>
      <c r="B441" s="8"/>
      <c r="D441" s="8"/>
      <c r="E441" s="8"/>
    </row>
    <row r="442" spans="1:5" ht="15.75" customHeight="1">
      <c r="A442" s="8"/>
      <c r="B442" s="8"/>
      <c r="D442" s="8"/>
      <c r="E442" s="8"/>
    </row>
    <row r="443" spans="1:5" ht="15.75" customHeight="1">
      <c r="A443" s="8"/>
      <c r="B443" s="8"/>
      <c r="D443" s="8"/>
      <c r="E443" s="8"/>
    </row>
    <row r="444" spans="1:5" ht="15.75" customHeight="1">
      <c r="A444" s="8"/>
      <c r="B444" s="8"/>
      <c r="D444" s="8"/>
      <c r="E444" s="8"/>
    </row>
    <row r="445" spans="1:5" ht="15.75" customHeight="1">
      <c r="A445" s="8"/>
      <c r="B445" s="8"/>
      <c r="D445" s="8"/>
      <c r="E445" s="8"/>
    </row>
    <row r="446" spans="1:5" ht="15.75" customHeight="1">
      <c r="A446" s="8"/>
      <c r="B446" s="8"/>
      <c r="D446" s="8"/>
      <c r="E446" s="8"/>
    </row>
    <row r="447" spans="1:5" ht="15.75" customHeight="1">
      <c r="A447" s="8"/>
      <c r="B447" s="8"/>
      <c r="D447" s="8"/>
      <c r="E447" s="8"/>
    </row>
    <row r="448" spans="1:5" ht="15.75" customHeight="1">
      <c r="A448" s="8"/>
      <c r="B448" s="8"/>
      <c r="D448" s="8"/>
      <c r="E448" s="8"/>
    </row>
    <row r="449" spans="1:5" ht="15.75" customHeight="1">
      <c r="A449" s="8"/>
      <c r="B449" s="8"/>
      <c r="D449" s="8"/>
      <c r="E449" s="8"/>
    </row>
    <row r="450" spans="1:5" ht="15.75" customHeight="1">
      <c r="A450" s="8"/>
      <c r="B450" s="8"/>
      <c r="D450" s="8"/>
      <c r="E450" s="8"/>
    </row>
    <row r="451" spans="1:5" ht="15.75" customHeight="1">
      <c r="A451" s="8"/>
      <c r="B451" s="8"/>
      <c r="D451" s="8"/>
      <c r="E451" s="8"/>
    </row>
    <row r="452" spans="1:5" ht="15.75" customHeight="1">
      <c r="A452" s="8"/>
      <c r="B452" s="8"/>
      <c r="D452" s="8"/>
      <c r="E452" s="8"/>
    </row>
    <row r="453" spans="1:5" ht="15.75" customHeight="1">
      <c r="A453" s="8"/>
      <c r="B453" s="8"/>
      <c r="D453" s="8"/>
      <c r="E453" s="8"/>
    </row>
    <row r="454" spans="1:5" ht="15.75" customHeight="1">
      <c r="A454" s="8"/>
      <c r="B454" s="8"/>
      <c r="D454" s="8"/>
      <c r="E454" s="8"/>
    </row>
    <row r="455" spans="1:5" ht="15.75" customHeight="1">
      <c r="A455" s="8"/>
      <c r="B455" s="8"/>
      <c r="D455" s="8"/>
      <c r="E455" s="8"/>
    </row>
    <row r="456" spans="1:5" ht="15.75" customHeight="1">
      <c r="A456" s="8"/>
      <c r="B456" s="8"/>
      <c r="D456" s="8"/>
      <c r="E456" s="8"/>
    </row>
    <row r="457" spans="1:5" ht="15.75" customHeight="1">
      <c r="A457" s="8"/>
      <c r="B457" s="8"/>
      <c r="D457" s="8"/>
      <c r="E457" s="8"/>
    </row>
    <row r="458" spans="1:5" ht="15.75" customHeight="1">
      <c r="A458" s="8"/>
      <c r="B458" s="8"/>
      <c r="D458" s="8"/>
      <c r="E458" s="8"/>
    </row>
    <row r="459" spans="1:5" ht="15.75" customHeight="1">
      <c r="A459" s="8"/>
      <c r="B459" s="8"/>
      <c r="D459" s="8"/>
      <c r="E459" s="8"/>
    </row>
    <row r="460" spans="1:5" ht="15.75" customHeight="1">
      <c r="A460" s="8"/>
      <c r="B460" s="8"/>
      <c r="D460" s="8"/>
      <c r="E460" s="8"/>
    </row>
    <row r="461" spans="1:5" ht="15.75" customHeight="1">
      <c r="A461" s="8"/>
      <c r="B461" s="8"/>
      <c r="D461" s="8"/>
      <c r="E461" s="8"/>
    </row>
    <row r="462" spans="1:5" ht="15.75" customHeight="1">
      <c r="A462" s="8"/>
      <c r="B462" s="8"/>
      <c r="D462" s="8"/>
      <c r="E462" s="8"/>
    </row>
    <row r="463" spans="1:5" ht="15.75" customHeight="1">
      <c r="A463" s="8"/>
      <c r="B463" s="8"/>
      <c r="D463" s="8"/>
      <c r="E463" s="8"/>
    </row>
    <row r="464" spans="1:5" ht="15.75" customHeight="1">
      <c r="A464" s="8"/>
      <c r="B464" s="8"/>
      <c r="D464" s="8"/>
      <c r="E464" s="8"/>
    </row>
    <row r="465" spans="1:5" ht="15.75" customHeight="1">
      <c r="A465" s="8"/>
      <c r="B465" s="8"/>
      <c r="D465" s="8"/>
      <c r="E465" s="8"/>
    </row>
    <row r="466" spans="1:5" ht="15.75" customHeight="1">
      <c r="A466" s="8"/>
      <c r="B466" s="8"/>
      <c r="D466" s="8"/>
      <c r="E466" s="8"/>
    </row>
    <row r="467" spans="1:5" ht="15.75" customHeight="1">
      <c r="A467" s="8"/>
      <c r="B467" s="8"/>
      <c r="D467" s="8"/>
      <c r="E467" s="8"/>
    </row>
    <row r="468" spans="1:5" ht="15.75" customHeight="1">
      <c r="A468" s="8"/>
      <c r="B468" s="8"/>
      <c r="D468" s="8"/>
      <c r="E468" s="8"/>
    </row>
    <row r="469" spans="1:5" ht="15.75" customHeight="1">
      <c r="A469" s="8"/>
      <c r="B469" s="8"/>
      <c r="D469" s="8"/>
      <c r="E469" s="8"/>
    </row>
    <row r="470" spans="1:5" ht="15.75" customHeight="1">
      <c r="A470" s="8"/>
      <c r="B470" s="8"/>
      <c r="D470" s="8"/>
      <c r="E470" s="8"/>
    </row>
    <row r="471" spans="1:5" ht="15.75" customHeight="1">
      <c r="A471" s="8"/>
      <c r="B471" s="8"/>
      <c r="D471" s="8"/>
      <c r="E471" s="8"/>
    </row>
    <row r="472" spans="1:5" ht="15.75" customHeight="1">
      <c r="A472" s="8"/>
      <c r="B472" s="8"/>
      <c r="D472" s="8"/>
      <c r="E472" s="8"/>
    </row>
    <row r="473" spans="1:5" ht="15.75" customHeight="1">
      <c r="A473" s="8"/>
      <c r="B473" s="8"/>
      <c r="D473" s="8"/>
      <c r="E473" s="8"/>
    </row>
    <row r="474" spans="1:5" ht="15.75" customHeight="1">
      <c r="A474" s="8"/>
      <c r="B474" s="8"/>
      <c r="D474" s="8"/>
      <c r="E474" s="8"/>
    </row>
    <row r="475" spans="1:5" ht="15.75" customHeight="1">
      <c r="A475" s="8"/>
      <c r="B475" s="8"/>
      <c r="D475" s="8"/>
      <c r="E475" s="8"/>
    </row>
    <row r="476" spans="1:5" ht="15.75" customHeight="1">
      <c r="A476" s="8"/>
      <c r="B476" s="8"/>
      <c r="D476" s="8"/>
      <c r="E476" s="8"/>
    </row>
    <row r="477" spans="1:5" ht="15.75" customHeight="1">
      <c r="A477" s="8"/>
      <c r="B477" s="8"/>
      <c r="D477" s="8"/>
      <c r="E477" s="8"/>
    </row>
    <row r="478" spans="1:5" ht="15.75" customHeight="1">
      <c r="A478" s="8"/>
      <c r="B478" s="8"/>
      <c r="D478" s="8"/>
      <c r="E478" s="8"/>
    </row>
    <row r="479" spans="1:5" ht="15.75" customHeight="1">
      <c r="A479" s="8"/>
      <c r="B479" s="8"/>
      <c r="D479" s="8"/>
      <c r="E479" s="8"/>
    </row>
    <row r="480" spans="1:5" ht="15.75" customHeight="1">
      <c r="A480" s="8"/>
      <c r="B480" s="8"/>
      <c r="D480" s="8"/>
      <c r="E480" s="8"/>
    </row>
    <row r="481" spans="1:5" ht="15.75" customHeight="1">
      <c r="A481" s="8"/>
      <c r="B481" s="8"/>
      <c r="D481" s="8"/>
      <c r="E481" s="8"/>
    </row>
    <row r="482" spans="1:5" ht="15.75" customHeight="1">
      <c r="A482" s="8"/>
      <c r="B482" s="8"/>
      <c r="D482" s="8"/>
      <c r="E482" s="8"/>
    </row>
    <row r="483" spans="1:5" ht="15.75" customHeight="1">
      <c r="A483" s="8"/>
      <c r="B483" s="8"/>
      <c r="D483" s="8"/>
      <c r="E483" s="8"/>
    </row>
    <row r="484" spans="1:5" ht="15.75" customHeight="1">
      <c r="A484" s="8"/>
      <c r="B484" s="8"/>
      <c r="D484" s="8"/>
      <c r="E484" s="8"/>
    </row>
    <row r="485" spans="1:5" ht="15.75" customHeight="1">
      <c r="A485" s="8"/>
      <c r="B485" s="8"/>
      <c r="D485" s="8"/>
      <c r="E485" s="8"/>
    </row>
    <row r="486" spans="1:5" ht="15.75" customHeight="1">
      <c r="A486" s="8"/>
      <c r="B486" s="8"/>
      <c r="D486" s="8"/>
      <c r="E486" s="8"/>
    </row>
    <row r="487" spans="1:5" ht="15.75" customHeight="1">
      <c r="A487" s="8"/>
      <c r="B487" s="8"/>
      <c r="D487" s="8"/>
      <c r="E487" s="8"/>
    </row>
    <row r="488" spans="1:5" ht="15.75" customHeight="1">
      <c r="A488" s="8"/>
      <c r="B488" s="8"/>
      <c r="D488" s="8"/>
      <c r="E488" s="8"/>
    </row>
    <row r="489" spans="1:5" ht="15.75" customHeight="1">
      <c r="A489" s="8"/>
      <c r="B489" s="8"/>
      <c r="D489" s="8"/>
      <c r="E489" s="8"/>
    </row>
    <row r="490" spans="1:5" ht="15.75" customHeight="1">
      <c r="A490" s="8"/>
      <c r="B490" s="8"/>
      <c r="D490" s="8"/>
      <c r="E490" s="8"/>
    </row>
    <row r="491" spans="1:5" ht="15.75" customHeight="1">
      <c r="A491" s="8"/>
      <c r="B491" s="8"/>
      <c r="D491" s="8"/>
      <c r="E491" s="8"/>
    </row>
    <row r="492" spans="1:5" ht="15.75" customHeight="1">
      <c r="A492" s="8"/>
      <c r="B492" s="8"/>
      <c r="D492" s="8"/>
      <c r="E492" s="8"/>
    </row>
    <row r="493" spans="1:5" ht="15.75" customHeight="1">
      <c r="A493" s="8"/>
      <c r="B493" s="8"/>
      <c r="D493" s="8"/>
      <c r="E493" s="8"/>
    </row>
    <row r="494" spans="1:5" ht="15.75" customHeight="1">
      <c r="A494" s="8"/>
      <c r="B494" s="8"/>
      <c r="D494" s="8"/>
      <c r="E494" s="8"/>
    </row>
    <row r="495" spans="1:5" ht="15.75" customHeight="1">
      <c r="A495" s="8"/>
      <c r="B495" s="8"/>
      <c r="D495" s="8"/>
      <c r="E495" s="8"/>
    </row>
    <row r="496" spans="1:5" ht="15.75" customHeight="1">
      <c r="A496" s="8"/>
      <c r="B496" s="8"/>
      <c r="D496" s="8"/>
      <c r="E496" s="8"/>
    </row>
    <row r="497" spans="1:5" ht="15.75" customHeight="1">
      <c r="A497" s="8"/>
      <c r="B497" s="8"/>
      <c r="D497" s="8"/>
      <c r="E497" s="8"/>
    </row>
    <row r="498" spans="1:5" ht="15.75" customHeight="1">
      <c r="A498" s="8"/>
      <c r="B498" s="8"/>
      <c r="D498" s="8"/>
      <c r="E498" s="8"/>
    </row>
    <row r="499" spans="1:5" ht="15.75" customHeight="1">
      <c r="A499" s="8"/>
      <c r="B499" s="8"/>
      <c r="D499" s="8"/>
      <c r="E499" s="8"/>
    </row>
    <row r="500" spans="1:5" ht="15.75" customHeight="1">
      <c r="A500" s="8"/>
      <c r="B500" s="8"/>
      <c r="D500" s="8"/>
      <c r="E500" s="8"/>
    </row>
    <row r="501" spans="1:5" ht="15.75" customHeight="1">
      <c r="A501" s="8"/>
      <c r="B501" s="8"/>
      <c r="D501" s="8"/>
      <c r="E501" s="8"/>
    </row>
    <row r="502" spans="1:5" ht="15.75" customHeight="1">
      <c r="A502" s="8"/>
      <c r="B502" s="8"/>
      <c r="D502" s="8"/>
      <c r="E502" s="8"/>
    </row>
    <row r="503" spans="1:5" ht="15.75" customHeight="1">
      <c r="A503" s="8"/>
      <c r="B503" s="8"/>
      <c r="D503" s="8"/>
      <c r="E503" s="8"/>
    </row>
    <row r="504" spans="1:5" ht="15.75" customHeight="1">
      <c r="A504" s="8"/>
      <c r="B504" s="8"/>
      <c r="D504" s="8"/>
      <c r="E504" s="8"/>
    </row>
    <row r="505" spans="1:5" ht="15.75" customHeight="1">
      <c r="A505" s="8"/>
      <c r="B505" s="8"/>
      <c r="D505" s="8"/>
      <c r="E505" s="8"/>
    </row>
    <row r="506" spans="1:5" ht="15.75" customHeight="1">
      <c r="A506" s="8"/>
      <c r="B506" s="8"/>
      <c r="D506" s="8"/>
      <c r="E506" s="8"/>
    </row>
    <row r="507" spans="1:5" ht="15.75" customHeight="1">
      <c r="A507" s="8"/>
      <c r="B507" s="8"/>
      <c r="D507" s="8"/>
      <c r="E507" s="8"/>
    </row>
    <row r="508" spans="1:5" ht="15.75" customHeight="1">
      <c r="A508" s="8"/>
      <c r="B508" s="8"/>
      <c r="D508" s="8"/>
      <c r="E508" s="8"/>
    </row>
    <row r="509" spans="1:5" ht="15.75" customHeight="1">
      <c r="A509" s="8"/>
      <c r="B509" s="8"/>
      <c r="D509" s="8"/>
      <c r="E509" s="8"/>
    </row>
    <row r="510" spans="1:5" ht="15.75" customHeight="1">
      <c r="A510" s="8"/>
      <c r="B510" s="8"/>
      <c r="D510" s="8"/>
      <c r="E510" s="8"/>
    </row>
    <row r="511" spans="1:5" ht="15.75" customHeight="1">
      <c r="A511" s="8"/>
      <c r="B511" s="8"/>
      <c r="D511" s="8"/>
      <c r="E511" s="8"/>
    </row>
    <row r="512" spans="1:5" ht="15.75" customHeight="1">
      <c r="A512" s="8"/>
      <c r="B512" s="8"/>
      <c r="D512" s="8"/>
      <c r="E512" s="8"/>
    </row>
    <row r="513" spans="1:5" ht="15.75" customHeight="1">
      <c r="A513" s="8"/>
      <c r="B513" s="8"/>
      <c r="D513" s="8"/>
      <c r="E513" s="8"/>
    </row>
    <row r="514" spans="1:5" ht="15.75" customHeight="1">
      <c r="A514" s="8"/>
      <c r="B514" s="8"/>
      <c r="D514" s="8"/>
      <c r="E514" s="8"/>
    </row>
    <row r="515" spans="1:5" ht="15.75" customHeight="1">
      <c r="A515" s="8"/>
      <c r="B515" s="8"/>
      <c r="D515" s="8"/>
      <c r="E515" s="8"/>
    </row>
    <row r="516" spans="1:5" ht="15.75" customHeight="1">
      <c r="A516" s="8"/>
      <c r="B516" s="8"/>
      <c r="D516" s="8"/>
      <c r="E516" s="8"/>
    </row>
    <row r="517" spans="1:5" ht="15.75" customHeight="1">
      <c r="A517" s="8"/>
      <c r="B517" s="8"/>
      <c r="D517" s="8"/>
      <c r="E517" s="8"/>
    </row>
    <row r="518" spans="1:5" ht="15.75" customHeight="1">
      <c r="A518" s="8"/>
      <c r="B518" s="8"/>
      <c r="D518" s="8"/>
      <c r="E518" s="8"/>
    </row>
    <row r="519" spans="1:5" ht="15.75" customHeight="1">
      <c r="A519" s="8"/>
      <c r="B519" s="8"/>
      <c r="D519" s="8"/>
      <c r="E519" s="8"/>
    </row>
    <row r="520" spans="1:5" ht="15.75" customHeight="1">
      <c r="A520" s="8"/>
      <c r="B520" s="8"/>
      <c r="D520" s="8"/>
      <c r="E520" s="8"/>
    </row>
    <row r="521" spans="1:5" ht="15.75" customHeight="1">
      <c r="A521" s="8"/>
      <c r="B521" s="8"/>
      <c r="D521" s="8"/>
      <c r="E521" s="8"/>
    </row>
    <row r="522" spans="1:5" ht="15.75" customHeight="1">
      <c r="A522" s="8"/>
      <c r="B522" s="8"/>
      <c r="D522" s="8"/>
      <c r="E522" s="8"/>
    </row>
    <row r="523" spans="1:5" ht="15.75" customHeight="1">
      <c r="A523" s="8"/>
      <c r="B523" s="8"/>
      <c r="D523" s="8"/>
      <c r="E523" s="8"/>
    </row>
    <row r="524" spans="1:5" ht="15.75" customHeight="1">
      <c r="A524" s="8"/>
      <c r="B524" s="8"/>
      <c r="D524" s="8"/>
      <c r="E524" s="8"/>
    </row>
    <row r="525" spans="1:5" ht="15.75" customHeight="1">
      <c r="A525" s="8"/>
      <c r="B525" s="8"/>
      <c r="D525" s="8"/>
      <c r="E525" s="8"/>
    </row>
    <row r="526" spans="1:5" ht="15.75" customHeight="1">
      <c r="A526" s="8"/>
      <c r="B526" s="8"/>
      <c r="D526" s="8"/>
      <c r="E526" s="8"/>
    </row>
    <row r="527" spans="1:5" ht="15.75" customHeight="1">
      <c r="A527" s="8"/>
      <c r="B527" s="8"/>
      <c r="D527" s="8"/>
      <c r="E527" s="8"/>
    </row>
    <row r="528" spans="1:5" ht="15.75" customHeight="1">
      <c r="A528" s="8"/>
      <c r="B528" s="8"/>
      <c r="D528" s="8"/>
      <c r="E528" s="8"/>
    </row>
    <row r="529" spans="1:5" ht="15.75" customHeight="1">
      <c r="A529" s="8"/>
      <c r="B529" s="8"/>
      <c r="D529" s="8"/>
      <c r="E529" s="8"/>
    </row>
    <row r="530" spans="1:5" ht="15.75" customHeight="1">
      <c r="A530" s="8"/>
      <c r="B530" s="8"/>
      <c r="D530" s="8"/>
      <c r="E530" s="8"/>
    </row>
    <row r="531" spans="1:5" ht="15.75" customHeight="1">
      <c r="A531" s="8"/>
      <c r="B531" s="8"/>
      <c r="D531" s="8"/>
      <c r="E531" s="8"/>
    </row>
    <row r="532" spans="1:5" ht="15.75" customHeight="1">
      <c r="A532" s="8"/>
      <c r="B532" s="8"/>
      <c r="D532" s="8"/>
      <c r="E532" s="8"/>
    </row>
    <row r="533" spans="1:5" ht="15.75" customHeight="1">
      <c r="A533" s="8"/>
      <c r="B533" s="8"/>
      <c r="D533" s="8"/>
      <c r="E533" s="8"/>
    </row>
    <row r="534" spans="1:5" ht="15.75" customHeight="1">
      <c r="A534" s="8"/>
      <c r="B534" s="8"/>
      <c r="D534" s="8"/>
      <c r="E534" s="8"/>
    </row>
    <row r="535" spans="1:5" ht="15.75" customHeight="1">
      <c r="A535" s="8"/>
      <c r="B535" s="8"/>
      <c r="D535" s="8"/>
      <c r="E535" s="8"/>
    </row>
    <row r="536" spans="1:5" ht="15.75" customHeight="1">
      <c r="A536" s="8"/>
      <c r="B536" s="8"/>
      <c r="D536" s="8"/>
      <c r="E536" s="8"/>
    </row>
    <row r="537" spans="1:5" ht="15.75" customHeight="1">
      <c r="A537" s="8"/>
      <c r="B537" s="8"/>
      <c r="D537" s="8"/>
      <c r="E537" s="8"/>
    </row>
    <row r="538" spans="1:5" ht="15.75" customHeight="1">
      <c r="A538" s="8"/>
      <c r="B538" s="8"/>
      <c r="D538" s="8"/>
      <c r="E538" s="8"/>
    </row>
    <row r="539" spans="1:5" ht="15.75" customHeight="1">
      <c r="A539" s="8"/>
      <c r="B539" s="8"/>
      <c r="D539" s="8"/>
      <c r="E539" s="8"/>
    </row>
    <row r="540" spans="1:5" ht="15.75" customHeight="1">
      <c r="A540" s="8"/>
      <c r="B540" s="8"/>
      <c r="D540" s="8"/>
      <c r="E540" s="8"/>
    </row>
    <row r="541" spans="1:5" ht="15.75" customHeight="1">
      <c r="A541" s="8"/>
      <c r="B541" s="8"/>
      <c r="D541" s="8"/>
      <c r="E541" s="8"/>
    </row>
    <row r="542" spans="1:5" ht="15.75" customHeight="1">
      <c r="A542" s="8"/>
      <c r="B542" s="8"/>
      <c r="D542" s="8"/>
      <c r="E542" s="8"/>
    </row>
    <row r="543" spans="1:5" ht="15.75" customHeight="1">
      <c r="A543" s="8"/>
      <c r="B543" s="8"/>
      <c r="D543" s="8"/>
      <c r="E543" s="8"/>
    </row>
    <row r="544" spans="1:5" ht="15.75" customHeight="1">
      <c r="A544" s="8"/>
      <c r="B544" s="8"/>
      <c r="D544" s="8"/>
      <c r="E544" s="8"/>
    </row>
    <row r="545" spans="1:5" ht="15.75" customHeight="1">
      <c r="A545" s="8"/>
      <c r="B545" s="8"/>
      <c r="D545" s="8"/>
      <c r="E545" s="8"/>
    </row>
    <row r="546" spans="1:5" ht="15.75" customHeight="1">
      <c r="A546" s="8"/>
      <c r="B546" s="8"/>
      <c r="D546" s="8"/>
      <c r="E546" s="8"/>
    </row>
    <row r="547" spans="1:5" ht="15.75" customHeight="1">
      <c r="A547" s="8"/>
      <c r="B547" s="8"/>
      <c r="D547" s="8"/>
      <c r="E547" s="8"/>
    </row>
    <row r="548" spans="1:5" ht="15.75" customHeight="1">
      <c r="A548" s="8"/>
      <c r="B548" s="8"/>
      <c r="D548" s="8"/>
      <c r="E548" s="8"/>
    </row>
    <row r="549" spans="1:5" ht="15.75" customHeight="1">
      <c r="A549" s="8"/>
      <c r="B549" s="8"/>
      <c r="D549" s="8"/>
      <c r="E549" s="8"/>
    </row>
    <row r="550" spans="1:5" ht="15.75" customHeight="1">
      <c r="A550" s="8"/>
      <c r="B550" s="8"/>
      <c r="D550" s="8"/>
      <c r="E550" s="8"/>
    </row>
    <row r="551" spans="1:5" ht="15.75" customHeight="1">
      <c r="A551" s="8"/>
      <c r="B551" s="8"/>
      <c r="D551" s="8"/>
      <c r="E551" s="8"/>
    </row>
    <row r="552" spans="1:5" ht="15.75" customHeight="1">
      <c r="A552" s="8"/>
      <c r="B552" s="8"/>
      <c r="D552" s="8"/>
      <c r="E552" s="8"/>
    </row>
    <row r="553" spans="1:5" ht="15.75" customHeight="1">
      <c r="A553" s="8"/>
      <c r="B553" s="8"/>
      <c r="D553" s="8"/>
      <c r="E553" s="8"/>
    </row>
    <row r="554" spans="1:5" ht="15.75" customHeight="1">
      <c r="A554" s="8"/>
      <c r="B554" s="8"/>
      <c r="D554" s="8"/>
      <c r="E554" s="8"/>
    </row>
    <row r="555" spans="1:5" ht="15.75" customHeight="1">
      <c r="A555" s="8"/>
      <c r="B555" s="8"/>
      <c r="D555" s="8"/>
      <c r="E555" s="8"/>
    </row>
    <row r="556" spans="1:5" ht="15.75" customHeight="1">
      <c r="A556" s="8"/>
      <c r="B556" s="8"/>
      <c r="D556" s="8"/>
      <c r="E556" s="8"/>
    </row>
    <row r="557" spans="1:5" ht="15.75" customHeight="1">
      <c r="A557" s="8"/>
      <c r="B557" s="8"/>
      <c r="D557" s="8"/>
      <c r="E557" s="8"/>
    </row>
    <row r="558" spans="1:5" ht="15.75" customHeight="1">
      <c r="A558" s="8"/>
      <c r="B558" s="8"/>
      <c r="D558" s="8"/>
      <c r="E558" s="8"/>
    </row>
    <row r="559" spans="1:5" ht="15.75" customHeight="1">
      <c r="A559" s="8"/>
      <c r="B559" s="8"/>
      <c r="D559" s="8"/>
      <c r="E559" s="8"/>
    </row>
    <row r="560" spans="1:5" ht="15.75" customHeight="1">
      <c r="A560" s="8"/>
      <c r="B560" s="8"/>
      <c r="D560" s="8"/>
      <c r="E560" s="8"/>
    </row>
    <row r="561" spans="1:5" ht="15.75" customHeight="1">
      <c r="A561" s="8"/>
      <c r="B561" s="8"/>
      <c r="D561" s="8"/>
      <c r="E561" s="8"/>
    </row>
    <row r="562" spans="1:5" ht="15.75" customHeight="1">
      <c r="A562" s="8"/>
      <c r="B562" s="8"/>
      <c r="D562" s="8"/>
      <c r="E562" s="8"/>
    </row>
    <row r="563" spans="1:5" ht="15.75" customHeight="1">
      <c r="A563" s="8"/>
      <c r="B563" s="8"/>
      <c r="D563" s="8"/>
      <c r="E563" s="8"/>
    </row>
    <row r="564" spans="1:5" ht="15.75" customHeight="1">
      <c r="A564" s="8"/>
      <c r="B564" s="8"/>
      <c r="D564" s="8"/>
      <c r="E564" s="8"/>
    </row>
    <row r="565" spans="1:5" ht="15.75" customHeight="1">
      <c r="A565" s="8"/>
      <c r="B565" s="8"/>
      <c r="D565" s="8"/>
      <c r="E565" s="8"/>
    </row>
    <row r="566" spans="1:5" ht="15.75" customHeight="1">
      <c r="A566" s="8"/>
      <c r="B566" s="8"/>
      <c r="D566" s="8"/>
      <c r="E566" s="8"/>
    </row>
    <row r="567" spans="1:5" ht="15.75" customHeight="1">
      <c r="A567" s="8"/>
      <c r="B567" s="8"/>
      <c r="D567" s="8"/>
      <c r="E567" s="8"/>
    </row>
    <row r="568" spans="1:5" ht="15.75" customHeight="1">
      <c r="A568" s="8"/>
      <c r="B568" s="8"/>
      <c r="D568" s="8"/>
      <c r="E568" s="8"/>
    </row>
    <row r="569" spans="1:5" ht="15.75" customHeight="1">
      <c r="A569" s="8"/>
      <c r="B569" s="8"/>
      <c r="D569" s="8"/>
      <c r="E569" s="8"/>
    </row>
    <row r="570" spans="1:5" ht="15.75" customHeight="1">
      <c r="A570" s="8"/>
      <c r="B570" s="8"/>
      <c r="D570" s="8"/>
      <c r="E570" s="8"/>
    </row>
    <row r="571" spans="1:5" ht="15.75" customHeight="1">
      <c r="A571" s="8"/>
      <c r="B571" s="8"/>
      <c r="D571" s="8"/>
      <c r="E571" s="8"/>
    </row>
    <row r="572" spans="1:5" ht="15.75" customHeight="1">
      <c r="A572" s="8"/>
      <c r="B572" s="8"/>
      <c r="D572" s="8"/>
      <c r="E572" s="8"/>
    </row>
    <row r="573" spans="1:5" ht="15.75" customHeight="1">
      <c r="A573" s="8"/>
      <c r="B573" s="8"/>
      <c r="D573" s="8"/>
      <c r="E573" s="8"/>
    </row>
    <row r="574" spans="1:5" ht="15.75" customHeight="1">
      <c r="A574" s="8"/>
      <c r="B574" s="8"/>
      <c r="D574" s="8"/>
      <c r="E574" s="8"/>
    </row>
    <row r="575" spans="1:5" ht="15.75" customHeight="1">
      <c r="A575" s="8"/>
      <c r="B575" s="8"/>
      <c r="D575" s="8"/>
      <c r="E575" s="8"/>
    </row>
    <row r="576" spans="1:5" ht="15.75" customHeight="1">
      <c r="A576" s="8"/>
      <c r="B576" s="8"/>
      <c r="D576" s="8"/>
      <c r="E576" s="8"/>
    </row>
    <row r="577" spans="1:5" ht="15.75" customHeight="1">
      <c r="A577" s="8"/>
      <c r="B577" s="8"/>
      <c r="D577" s="8"/>
      <c r="E577" s="8"/>
    </row>
    <row r="578" spans="1:5" ht="15.75" customHeight="1">
      <c r="A578" s="8"/>
      <c r="B578" s="8"/>
      <c r="D578" s="8"/>
      <c r="E578" s="8"/>
    </row>
    <row r="579" spans="1:5" ht="15.75" customHeight="1">
      <c r="A579" s="8"/>
      <c r="B579" s="8"/>
      <c r="D579" s="8"/>
      <c r="E579" s="8"/>
    </row>
    <row r="580" spans="1:5" ht="15.75" customHeight="1">
      <c r="A580" s="8"/>
      <c r="B580" s="8"/>
      <c r="D580" s="8"/>
      <c r="E580" s="8"/>
    </row>
    <row r="581" spans="1:5" ht="15.75" customHeight="1">
      <c r="A581" s="8"/>
      <c r="B581" s="8"/>
      <c r="D581" s="8"/>
      <c r="E581" s="8"/>
    </row>
    <row r="582" spans="1:5" ht="15.75" customHeight="1">
      <c r="A582" s="8"/>
      <c r="B582" s="8"/>
      <c r="D582" s="8"/>
      <c r="E582" s="8"/>
    </row>
    <row r="583" spans="1:5" ht="15.75" customHeight="1">
      <c r="A583" s="8"/>
      <c r="B583" s="8"/>
      <c r="D583" s="8"/>
      <c r="E583" s="8"/>
    </row>
    <row r="584" spans="1:5" ht="15.75" customHeight="1">
      <c r="A584" s="8"/>
      <c r="B584" s="8"/>
      <c r="D584" s="8"/>
      <c r="E584" s="8"/>
    </row>
    <row r="585" spans="1:5" ht="15.75" customHeight="1">
      <c r="A585" s="8"/>
      <c r="B585" s="8"/>
      <c r="D585" s="8"/>
      <c r="E585" s="8"/>
    </row>
    <row r="586" spans="1:5" ht="15.75" customHeight="1">
      <c r="A586" s="8"/>
      <c r="B586" s="8"/>
      <c r="D586" s="8"/>
      <c r="E586" s="8"/>
    </row>
    <row r="587" spans="1:5" ht="15.75" customHeight="1">
      <c r="A587" s="8"/>
      <c r="B587" s="8"/>
      <c r="D587" s="8"/>
      <c r="E587" s="8"/>
    </row>
    <row r="588" spans="1:5" ht="15.75" customHeight="1">
      <c r="A588" s="8"/>
      <c r="B588" s="8"/>
      <c r="D588" s="8"/>
      <c r="E588" s="8"/>
    </row>
    <row r="589" spans="1:5" ht="15.75" customHeight="1">
      <c r="A589" s="8"/>
      <c r="B589" s="8"/>
      <c r="D589" s="8"/>
      <c r="E589" s="8"/>
    </row>
    <row r="590" spans="1:5" ht="15.75" customHeight="1">
      <c r="A590" s="8"/>
      <c r="B590" s="8"/>
      <c r="D590" s="8"/>
      <c r="E590" s="8"/>
    </row>
    <row r="591" spans="1:5" ht="15.75" customHeight="1">
      <c r="A591" s="8"/>
      <c r="B591" s="8"/>
      <c r="D591" s="8"/>
      <c r="E591" s="8"/>
    </row>
    <row r="592" spans="1:5" ht="15.75" customHeight="1">
      <c r="A592" s="8"/>
      <c r="B592" s="8"/>
      <c r="D592" s="8"/>
      <c r="E592" s="8"/>
    </row>
    <row r="593" spans="1:5" ht="15.75" customHeight="1">
      <c r="A593" s="8"/>
      <c r="B593" s="8"/>
      <c r="D593" s="8"/>
      <c r="E593" s="8"/>
    </row>
    <row r="594" spans="1:5" ht="15.75" customHeight="1">
      <c r="A594" s="8"/>
      <c r="B594" s="8"/>
      <c r="D594" s="8"/>
      <c r="E594" s="8"/>
    </row>
    <row r="595" spans="1:5" ht="15.75" customHeight="1">
      <c r="A595" s="8"/>
      <c r="B595" s="8"/>
      <c r="D595" s="8"/>
      <c r="E595" s="8"/>
    </row>
    <row r="596" spans="1:5" ht="15.75" customHeight="1">
      <c r="A596" s="8"/>
      <c r="B596" s="8"/>
      <c r="D596" s="8"/>
      <c r="E596" s="8"/>
    </row>
    <row r="597" spans="1:5" ht="15.75" customHeight="1">
      <c r="A597" s="8"/>
      <c r="B597" s="8"/>
      <c r="D597" s="8"/>
      <c r="E597" s="8"/>
    </row>
    <row r="598" spans="1:5" ht="15.75" customHeight="1">
      <c r="A598" s="8"/>
      <c r="B598" s="8"/>
      <c r="D598" s="8"/>
      <c r="E598" s="8"/>
    </row>
    <row r="599" spans="1:5" ht="15.75" customHeight="1">
      <c r="A599" s="8"/>
      <c r="B599" s="8"/>
      <c r="D599" s="8"/>
      <c r="E599" s="8"/>
    </row>
    <row r="600" spans="1:5" ht="15.75" customHeight="1">
      <c r="A600" s="8"/>
      <c r="B600" s="8"/>
      <c r="D600" s="8"/>
      <c r="E600" s="8"/>
    </row>
    <row r="601" spans="1:5" ht="15.75" customHeight="1">
      <c r="A601" s="8"/>
      <c r="B601" s="8"/>
      <c r="D601" s="8"/>
      <c r="E601" s="8"/>
    </row>
    <row r="602" spans="1:5" ht="15.75" customHeight="1">
      <c r="A602" s="8"/>
      <c r="B602" s="8"/>
      <c r="D602" s="8"/>
      <c r="E602" s="8"/>
    </row>
    <row r="603" spans="1:5" ht="15.75" customHeight="1">
      <c r="A603" s="8"/>
      <c r="B603" s="8"/>
      <c r="D603" s="8"/>
      <c r="E603" s="8"/>
    </row>
    <row r="604" spans="1:5" ht="15.75" customHeight="1">
      <c r="A604" s="8"/>
      <c r="B604" s="8"/>
      <c r="D604" s="8"/>
      <c r="E604" s="8"/>
    </row>
    <row r="605" spans="1:5" ht="15.75" customHeight="1">
      <c r="A605" s="8"/>
      <c r="B605" s="8"/>
      <c r="D605" s="8"/>
      <c r="E605" s="8"/>
    </row>
    <row r="606" spans="1:5" ht="15.75" customHeight="1">
      <c r="A606" s="8"/>
      <c r="B606" s="8"/>
      <c r="D606" s="8"/>
      <c r="E606" s="8"/>
    </row>
    <row r="607" spans="1:5" ht="15.75" customHeight="1">
      <c r="A607" s="8"/>
      <c r="B607" s="8"/>
      <c r="D607" s="8"/>
      <c r="E607" s="8"/>
    </row>
    <row r="608" spans="1:5" ht="15.75" customHeight="1">
      <c r="A608" s="8"/>
      <c r="B608" s="8"/>
      <c r="D608" s="8"/>
      <c r="E608" s="8"/>
    </row>
    <row r="609" spans="1:5" ht="15.75" customHeight="1">
      <c r="A609" s="8"/>
      <c r="B609" s="8"/>
      <c r="D609" s="8"/>
      <c r="E609" s="8"/>
    </row>
    <row r="610" spans="1:5" ht="15.75" customHeight="1">
      <c r="A610" s="8"/>
      <c r="B610" s="8"/>
      <c r="D610" s="8"/>
      <c r="E610" s="8"/>
    </row>
    <row r="611" spans="1:5" ht="15.75" customHeight="1">
      <c r="A611" s="8"/>
      <c r="B611" s="8"/>
      <c r="D611" s="8"/>
      <c r="E611" s="8"/>
    </row>
    <row r="612" spans="1:5" ht="15.75" customHeight="1">
      <c r="A612" s="8"/>
      <c r="B612" s="8"/>
      <c r="D612" s="8"/>
      <c r="E612" s="8"/>
    </row>
    <row r="613" spans="1:5" ht="15.75" customHeight="1">
      <c r="A613" s="8"/>
      <c r="B613" s="8"/>
      <c r="D613" s="8"/>
      <c r="E613" s="8"/>
    </row>
    <row r="614" spans="1:5" ht="15.75" customHeight="1">
      <c r="A614" s="8"/>
      <c r="B614" s="8"/>
      <c r="D614" s="8"/>
      <c r="E614" s="8"/>
    </row>
    <row r="615" spans="1:5" ht="15.75" customHeight="1">
      <c r="A615" s="8"/>
      <c r="B615" s="8"/>
      <c r="D615" s="8"/>
      <c r="E615" s="8"/>
    </row>
    <row r="616" spans="1:5" ht="15.75" customHeight="1">
      <c r="A616" s="8"/>
      <c r="B616" s="8"/>
      <c r="D616" s="8"/>
      <c r="E616" s="8"/>
    </row>
    <row r="617" spans="1:5" ht="15.75" customHeight="1">
      <c r="A617" s="8"/>
      <c r="B617" s="8"/>
      <c r="D617" s="8"/>
      <c r="E617" s="8"/>
    </row>
    <row r="618" spans="1:5" ht="15.75" customHeight="1">
      <c r="A618" s="8"/>
      <c r="B618" s="8"/>
      <c r="D618" s="8"/>
      <c r="E618" s="8"/>
    </row>
    <row r="619" spans="1:5" ht="15.75" customHeight="1">
      <c r="A619" s="8"/>
      <c r="B619" s="8"/>
      <c r="D619" s="8"/>
      <c r="E619" s="8"/>
    </row>
    <row r="620" spans="1:5" ht="15.75" customHeight="1">
      <c r="A620" s="8"/>
      <c r="B620" s="8"/>
      <c r="D620" s="8"/>
      <c r="E620" s="8"/>
    </row>
    <row r="621" spans="1:5" ht="15.75" customHeight="1">
      <c r="A621" s="8"/>
      <c r="B621" s="8"/>
      <c r="D621" s="8"/>
      <c r="E621" s="8"/>
    </row>
    <row r="622" spans="1:5" ht="15.75" customHeight="1">
      <c r="A622" s="8"/>
      <c r="B622" s="8"/>
      <c r="D622" s="8"/>
      <c r="E622" s="8"/>
    </row>
    <row r="623" spans="1:5" ht="15.75" customHeight="1">
      <c r="A623" s="8"/>
      <c r="B623" s="8"/>
      <c r="D623" s="8"/>
      <c r="E623" s="8"/>
    </row>
    <row r="624" spans="1:5" ht="15.75" customHeight="1">
      <c r="A624" s="8"/>
      <c r="B624" s="8"/>
      <c r="D624" s="8"/>
      <c r="E624" s="8"/>
    </row>
    <row r="625" spans="1:5" ht="15.75" customHeight="1">
      <c r="A625" s="8"/>
      <c r="B625" s="8"/>
      <c r="D625" s="8"/>
      <c r="E625" s="8"/>
    </row>
    <row r="626" spans="1:5" ht="15.75" customHeight="1">
      <c r="A626" s="8"/>
      <c r="B626" s="8"/>
      <c r="D626" s="8"/>
      <c r="E626" s="8"/>
    </row>
    <row r="627" spans="1:5" ht="15.75" customHeight="1">
      <c r="A627" s="8"/>
      <c r="B627" s="8"/>
      <c r="D627" s="8"/>
      <c r="E627" s="8"/>
    </row>
    <row r="628" spans="1:5" ht="15.75" customHeight="1">
      <c r="A628" s="8"/>
      <c r="B628" s="8"/>
      <c r="D628" s="8"/>
      <c r="E628" s="8"/>
    </row>
    <row r="629" spans="1:5" ht="15.75" customHeight="1">
      <c r="A629" s="8"/>
      <c r="B629" s="8"/>
      <c r="D629" s="8"/>
      <c r="E629" s="8"/>
    </row>
    <row r="630" spans="1:5" ht="15.75" customHeight="1">
      <c r="A630" s="8"/>
      <c r="B630" s="8"/>
      <c r="D630" s="8"/>
      <c r="E630" s="8"/>
    </row>
    <row r="631" spans="1:5" ht="15.75" customHeight="1">
      <c r="A631" s="8"/>
      <c r="B631" s="8"/>
      <c r="D631" s="8"/>
      <c r="E631" s="8"/>
    </row>
    <row r="632" spans="1:5" ht="15.75" customHeight="1">
      <c r="A632" s="8"/>
      <c r="B632" s="8"/>
      <c r="D632" s="8"/>
      <c r="E632" s="8"/>
    </row>
    <row r="633" spans="1:5" ht="15.75" customHeight="1">
      <c r="A633" s="8"/>
      <c r="B633" s="8"/>
      <c r="D633" s="8"/>
      <c r="E633" s="8"/>
    </row>
    <row r="634" spans="1:5" ht="15.75" customHeight="1">
      <c r="A634" s="8"/>
      <c r="B634" s="8"/>
      <c r="D634" s="8"/>
      <c r="E634" s="8"/>
    </row>
    <row r="635" spans="1:5" ht="15.75" customHeight="1">
      <c r="A635" s="8"/>
      <c r="B635" s="8"/>
      <c r="D635" s="8"/>
      <c r="E635" s="8"/>
    </row>
    <row r="636" spans="1:5" ht="15.75" customHeight="1">
      <c r="A636" s="8"/>
      <c r="B636" s="8"/>
      <c r="D636" s="8"/>
      <c r="E636" s="8"/>
    </row>
    <row r="637" spans="1:5" ht="15.75" customHeight="1">
      <c r="A637" s="8"/>
      <c r="B637" s="8"/>
      <c r="D637" s="8"/>
      <c r="E637" s="8"/>
    </row>
    <row r="638" spans="1:5" ht="15.75" customHeight="1">
      <c r="A638" s="8"/>
      <c r="B638" s="8"/>
      <c r="D638" s="8"/>
      <c r="E638" s="8"/>
    </row>
    <row r="639" spans="1:5" ht="15.75" customHeight="1">
      <c r="A639" s="8"/>
      <c r="B639" s="8"/>
      <c r="D639" s="8"/>
      <c r="E639" s="8"/>
    </row>
    <row r="640" spans="1:5" ht="15.75" customHeight="1">
      <c r="A640" s="8"/>
      <c r="B640" s="8"/>
      <c r="D640" s="8"/>
      <c r="E640" s="8"/>
    </row>
    <row r="641" spans="1:5" ht="15.75" customHeight="1">
      <c r="A641" s="8"/>
      <c r="B641" s="8"/>
      <c r="D641" s="8"/>
      <c r="E641" s="8"/>
    </row>
    <row r="642" spans="1:5" ht="15.75" customHeight="1">
      <c r="A642" s="8"/>
      <c r="B642" s="8"/>
      <c r="D642" s="8"/>
      <c r="E642" s="8"/>
    </row>
    <row r="643" spans="1:5" ht="15.75" customHeight="1">
      <c r="A643" s="8"/>
      <c r="B643" s="8"/>
      <c r="D643" s="8"/>
      <c r="E643" s="8"/>
    </row>
    <row r="644" spans="1:5" ht="15.75" customHeight="1">
      <c r="A644" s="8"/>
      <c r="B644" s="8"/>
      <c r="D644" s="8"/>
      <c r="E644" s="8"/>
    </row>
    <row r="645" spans="1:5" ht="15.75" customHeight="1">
      <c r="A645" s="8"/>
      <c r="B645" s="8"/>
      <c r="D645" s="8"/>
      <c r="E645" s="8"/>
    </row>
    <row r="646" spans="1:5" ht="15.75" customHeight="1">
      <c r="A646" s="8"/>
      <c r="B646" s="8"/>
      <c r="D646" s="8"/>
      <c r="E646" s="8"/>
    </row>
    <row r="647" spans="1:5" ht="15.75" customHeight="1">
      <c r="A647" s="8"/>
      <c r="B647" s="8"/>
      <c r="D647" s="8"/>
      <c r="E647" s="8"/>
    </row>
    <row r="648" spans="1:5" ht="15.75" customHeight="1">
      <c r="A648" s="8"/>
      <c r="B648" s="8"/>
      <c r="D648" s="8"/>
      <c r="E648" s="8"/>
    </row>
    <row r="649" spans="1:5" ht="15.75" customHeight="1">
      <c r="A649" s="8"/>
      <c r="B649" s="8"/>
      <c r="D649" s="8"/>
      <c r="E649" s="8"/>
    </row>
    <row r="650" spans="1:5" ht="15.75" customHeight="1">
      <c r="A650" s="8"/>
      <c r="B650" s="8"/>
      <c r="D650" s="8"/>
      <c r="E650" s="8"/>
    </row>
    <row r="651" spans="1:5" ht="15.75" customHeight="1">
      <c r="A651" s="8"/>
      <c r="B651" s="8"/>
      <c r="D651" s="8"/>
      <c r="E651" s="8"/>
    </row>
    <row r="652" spans="1:5" ht="15.75" customHeight="1">
      <c r="A652" s="8"/>
      <c r="B652" s="8"/>
      <c r="D652" s="8"/>
      <c r="E652" s="8"/>
    </row>
    <row r="653" spans="1:5" ht="15.75" customHeight="1">
      <c r="A653" s="8"/>
      <c r="B653" s="8"/>
      <c r="D653" s="8"/>
      <c r="E653" s="8"/>
    </row>
    <row r="654" spans="1:5" ht="15.75" customHeight="1">
      <c r="A654" s="8"/>
      <c r="B654" s="8"/>
      <c r="D654" s="8"/>
      <c r="E654" s="8"/>
    </row>
    <row r="655" spans="1:5" ht="15.75" customHeight="1">
      <c r="A655" s="8"/>
      <c r="B655" s="8"/>
      <c r="D655" s="8"/>
      <c r="E655" s="8"/>
    </row>
    <row r="656" spans="1:5" ht="15.75" customHeight="1">
      <c r="A656" s="8"/>
      <c r="B656" s="8"/>
      <c r="D656" s="8"/>
      <c r="E656" s="8"/>
    </row>
    <row r="657" spans="1:5" ht="15.75" customHeight="1">
      <c r="A657" s="8"/>
      <c r="B657" s="8"/>
      <c r="D657" s="8"/>
      <c r="E657" s="8"/>
    </row>
    <row r="658" spans="1:5" ht="15.75" customHeight="1">
      <c r="A658" s="8"/>
      <c r="B658" s="8"/>
      <c r="D658" s="8"/>
      <c r="E658" s="8"/>
    </row>
    <row r="659" spans="1:5" ht="15.75" customHeight="1">
      <c r="A659" s="8"/>
      <c r="B659" s="8"/>
      <c r="D659" s="8"/>
      <c r="E659" s="8"/>
    </row>
    <row r="660" spans="1:5" ht="15.75" customHeight="1">
      <c r="A660" s="8"/>
      <c r="B660" s="8"/>
      <c r="D660" s="8"/>
      <c r="E660" s="8"/>
    </row>
    <row r="661" spans="1:5" ht="15.75" customHeight="1">
      <c r="A661" s="8"/>
      <c r="B661" s="8"/>
      <c r="D661" s="8"/>
      <c r="E661" s="8"/>
    </row>
    <row r="662" spans="1:5" ht="15.75" customHeight="1">
      <c r="A662" s="8"/>
      <c r="B662" s="8"/>
      <c r="D662" s="8"/>
      <c r="E662" s="8"/>
    </row>
    <row r="663" spans="1:5" ht="15.75" customHeight="1">
      <c r="A663" s="8"/>
      <c r="B663" s="8"/>
      <c r="D663" s="8"/>
      <c r="E663" s="8"/>
    </row>
    <row r="664" spans="1:5" ht="15.75" customHeight="1">
      <c r="A664" s="8"/>
      <c r="B664" s="8"/>
      <c r="D664" s="8"/>
      <c r="E664" s="8"/>
    </row>
    <row r="665" spans="1:5" ht="15.75" customHeight="1">
      <c r="A665" s="8"/>
      <c r="B665" s="8"/>
      <c r="D665" s="8"/>
      <c r="E665" s="8"/>
    </row>
    <row r="666" spans="1:5" ht="15.75" customHeight="1">
      <c r="A666" s="8"/>
      <c r="B666" s="8"/>
      <c r="D666" s="8"/>
      <c r="E666" s="8"/>
    </row>
    <row r="667" spans="1:5" ht="15.75" customHeight="1">
      <c r="A667" s="8"/>
      <c r="B667" s="8"/>
      <c r="D667" s="8"/>
      <c r="E667" s="8"/>
    </row>
    <row r="668" spans="1:5" ht="15.75" customHeight="1">
      <c r="A668" s="8"/>
      <c r="B668" s="8"/>
      <c r="D668" s="8"/>
      <c r="E668" s="8"/>
    </row>
    <row r="669" spans="1:5" ht="15.75" customHeight="1">
      <c r="A669" s="8"/>
      <c r="B669" s="8"/>
      <c r="D669" s="8"/>
      <c r="E669" s="8"/>
    </row>
    <row r="670" spans="1:5" ht="15.75" customHeight="1">
      <c r="A670" s="8"/>
      <c r="B670" s="8"/>
      <c r="D670" s="8"/>
      <c r="E670" s="8"/>
    </row>
    <row r="671" spans="1:5" ht="15.75" customHeight="1">
      <c r="A671" s="8"/>
      <c r="B671" s="8"/>
      <c r="D671" s="8"/>
      <c r="E671" s="8"/>
    </row>
    <row r="672" spans="1:5" ht="15.75" customHeight="1">
      <c r="A672" s="8"/>
      <c r="B672" s="8"/>
      <c r="D672" s="8"/>
      <c r="E672" s="8"/>
    </row>
    <row r="673" spans="1:5" ht="15.75" customHeight="1">
      <c r="A673" s="8"/>
      <c r="B673" s="8"/>
      <c r="D673" s="8"/>
      <c r="E673" s="8"/>
    </row>
    <row r="674" spans="1:5" ht="15.75" customHeight="1">
      <c r="A674" s="8"/>
      <c r="B674" s="8"/>
      <c r="D674" s="8"/>
      <c r="E674" s="8"/>
    </row>
    <row r="675" spans="1:5" ht="15.75" customHeight="1">
      <c r="A675" s="8"/>
      <c r="B675" s="8"/>
      <c r="D675" s="8"/>
      <c r="E675" s="8"/>
    </row>
    <row r="676" spans="1:5" ht="15.75" customHeight="1">
      <c r="A676" s="8"/>
      <c r="B676" s="8"/>
      <c r="D676" s="8"/>
      <c r="E676" s="8"/>
    </row>
    <row r="677" spans="1:5" ht="15.75" customHeight="1">
      <c r="A677" s="8"/>
      <c r="B677" s="8"/>
      <c r="D677" s="8"/>
      <c r="E677" s="8"/>
    </row>
    <row r="678" spans="1:5" ht="15.75" customHeight="1">
      <c r="A678" s="8"/>
      <c r="B678" s="8"/>
      <c r="D678" s="8"/>
      <c r="E678" s="8"/>
    </row>
    <row r="679" spans="1:5" ht="15.75" customHeight="1">
      <c r="A679" s="8"/>
      <c r="B679" s="8"/>
      <c r="D679" s="8"/>
      <c r="E679" s="8"/>
    </row>
    <row r="680" spans="1:5" ht="15.75" customHeight="1">
      <c r="A680" s="8"/>
      <c r="B680" s="8"/>
      <c r="D680" s="8"/>
      <c r="E680" s="8"/>
    </row>
    <row r="681" spans="1:5" ht="15.75" customHeight="1">
      <c r="A681" s="8"/>
      <c r="B681" s="8"/>
      <c r="D681" s="8"/>
      <c r="E681" s="8"/>
    </row>
    <row r="682" spans="1:5" ht="15.75" customHeight="1">
      <c r="A682" s="8"/>
      <c r="B682" s="8"/>
      <c r="D682" s="8"/>
      <c r="E682" s="8"/>
    </row>
    <row r="683" spans="1:5" ht="15.75" customHeight="1">
      <c r="A683" s="8"/>
      <c r="B683" s="8"/>
      <c r="D683" s="8"/>
      <c r="E683" s="8"/>
    </row>
    <row r="684" spans="1:5" ht="15.75" customHeight="1">
      <c r="A684" s="8"/>
      <c r="B684" s="8"/>
      <c r="D684" s="8"/>
      <c r="E684" s="8"/>
    </row>
    <row r="685" spans="1:5" ht="15.75" customHeight="1">
      <c r="A685" s="8"/>
      <c r="B685" s="8"/>
      <c r="D685" s="8"/>
      <c r="E685" s="8"/>
    </row>
    <row r="686" spans="1:5" ht="15.75" customHeight="1">
      <c r="A686" s="8"/>
      <c r="B686" s="8"/>
      <c r="D686" s="8"/>
      <c r="E686" s="8"/>
    </row>
    <row r="687" spans="1:5" ht="15.75" customHeight="1">
      <c r="A687" s="8"/>
      <c r="B687" s="8"/>
      <c r="D687" s="8"/>
      <c r="E687" s="8"/>
    </row>
    <row r="688" spans="1:5" ht="15.75" customHeight="1">
      <c r="A688" s="8"/>
      <c r="B688" s="8"/>
      <c r="D688" s="8"/>
      <c r="E688" s="8"/>
    </row>
    <row r="689" spans="1:5" ht="15.75" customHeight="1">
      <c r="A689" s="8"/>
      <c r="B689" s="8"/>
      <c r="D689" s="8"/>
      <c r="E689" s="8"/>
    </row>
    <row r="690" spans="1:5" ht="15.75" customHeight="1">
      <c r="A690" s="8"/>
      <c r="B690" s="8"/>
      <c r="D690" s="8"/>
      <c r="E690" s="8"/>
    </row>
    <row r="691" spans="1:5" ht="15.75" customHeight="1">
      <c r="A691" s="8"/>
      <c r="B691" s="8"/>
      <c r="D691" s="8"/>
      <c r="E691" s="8"/>
    </row>
    <row r="692" spans="1:5" ht="15.75" customHeight="1">
      <c r="A692" s="8"/>
      <c r="B692" s="8"/>
      <c r="D692" s="8"/>
      <c r="E692" s="8"/>
    </row>
    <row r="693" spans="1:5" ht="15.75" customHeight="1">
      <c r="A693" s="8"/>
      <c r="B693" s="8"/>
      <c r="D693" s="8"/>
      <c r="E693" s="8"/>
    </row>
    <row r="694" spans="1:5" ht="15.75" customHeight="1">
      <c r="A694" s="8"/>
      <c r="B694" s="8"/>
      <c r="D694" s="8"/>
      <c r="E694" s="8"/>
    </row>
    <row r="695" spans="1:5" ht="15.75" customHeight="1">
      <c r="A695" s="8"/>
      <c r="B695" s="8"/>
      <c r="D695" s="8"/>
      <c r="E695" s="8"/>
    </row>
    <row r="696" spans="1:5" ht="15.75" customHeight="1">
      <c r="A696" s="8"/>
      <c r="B696" s="8"/>
      <c r="D696" s="8"/>
      <c r="E696" s="8"/>
    </row>
    <row r="697" spans="1:5" ht="15.75" customHeight="1">
      <c r="A697" s="8"/>
      <c r="B697" s="8"/>
      <c r="D697" s="8"/>
      <c r="E697" s="8"/>
    </row>
    <row r="698" spans="1:5" ht="15.75" customHeight="1">
      <c r="A698" s="8"/>
      <c r="B698" s="8"/>
      <c r="D698" s="8"/>
      <c r="E698" s="8"/>
    </row>
    <row r="699" spans="1:5" ht="15.75" customHeight="1">
      <c r="A699" s="8"/>
      <c r="B699" s="8"/>
      <c r="D699" s="8"/>
      <c r="E699" s="8"/>
    </row>
    <row r="700" spans="1:5" ht="15.75" customHeight="1">
      <c r="A700" s="8"/>
      <c r="B700" s="8"/>
      <c r="D700" s="8"/>
      <c r="E700" s="8"/>
    </row>
    <row r="701" spans="1:5" ht="15.75" customHeight="1">
      <c r="A701" s="8"/>
      <c r="B701" s="8"/>
      <c r="D701" s="8"/>
      <c r="E701" s="8"/>
    </row>
    <row r="702" spans="1:5" ht="15.75" customHeight="1">
      <c r="A702" s="8"/>
      <c r="B702" s="8"/>
      <c r="D702" s="8"/>
      <c r="E702" s="8"/>
    </row>
    <row r="703" spans="1:5" ht="15.75" customHeight="1">
      <c r="A703" s="8"/>
      <c r="B703" s="8"/>
      <c r="D703" s="8"/>
      <c r="E703" s="8"/>
    </row>
    <row r="704" spans="1:5" ht="15.75" customHeight="1">
      <c r="A704" s="8"/>
      <c r="B704" s="8"/>
      <c r="D704" s="8"/>
      <c r="E704" s="8"/>
    </row>
    <row r="705" spans="1:5" ht="15.75" customHeight="1">
      <c r="A705" s="8"/>
      <c r="B705" s="8"/>
      <c r="D705" s="8"/>
      <c r="E705" s="8"/>
    </row>
    <row r="706" spans="1:5" ht="15.75" customHeight="1">
      <c r="A706" s="8"/>
      <c r="B706" s="8"/>
      <c r="D706" s="8"/>
      <c r="E706" s="8"/>
    </row>
    <row r="707" spans="1:5" ht="15.75" customHeight="1">
      <c r="A707" s="8"/>
      <c r="B707" s="8"/>
      <c r="D707" s="8"/>
      <c r="E707" s="8"/>
    </row>
    <row r="708" spans="1:5" ht="15.75" customHeight="1">
      <c r="A708" s="8"/>
      <c r="B708" s="8"/>
      <c r="D708" s="8"/>
      <c r="E708" s="8"/>
    </row>
    <row r="709" spans="1:5" ht="15.75" customHeight="1">
      <c r="A709" s="8"/>
      <c r="B709" s="8"/>
      <c r="D709" s="8"/>
      <c r="E709" s="8"/>
    </row>
    <row r="710" spans="1:5" ht="15.75" customHeight="1">
      <c r="A710" s="8"/>
      <c r="B710" s="8"/>
      <c r="D710" s="8"/>
      <c r="E710" s="8"/>
    </row>
    <row r="711" spans="1:5" ht="15.75" customHeight="1">
      <c r="A711" s="8"/>
      <c r="B711" s="8"/>
      <c r="D711" s="8"/>
      <c r="E711" s="8"/>
    </row>
    <row r="712" spans="1:5" ht="15.75" customHeight="1">
      <c r="A712" s="8"/>
      <c r="B712" s="8"/>
      <c r="D712" s="8"/>
      <c r="E712" s="8"/>
    </row>
    <row r="713" spans="1:5" ht="15.75" customHeight="1">
      <c r="A713" s="8"/>
      <c r="B713" s="8"/>
      <c r="D713" s="8"/>
      <c r="E713" s="8"/>
    </row>
    <row r="714" spans="1:5" ht="15.75" customHeight="1">
      <c r="A714" s="8"/>
      <c r="B714" s="8"/>
      <c r="D714" s="8"/>
      <c r="E714" s="8"/>
    </row>
    <row r="715" spans="1:5" ht="15.75" customHeight="1">
      <c r="A715" s="8"/>
      <c r="B715" s="8"/>
      <c r="D715" s="8"/>
      <c r="E715" s="8"/>
    </row>
    <row r="716" spans="1:5" ht="15.75" customHeight="1">
      <c r="A716" s="8"/>
      <c r="B716" s="8"/>
      <c r="D716" s="8"/>
      <c r="E716" s="8"/>
    </row>
    <row r="717" spans="1:5" ht="15.75" customHeight="1">
      <c r="A717" s="8"/>
      <c r="B717" s="8"/>
      <c r="D717" s="8"/>
      <c r="E717" s="8"/>
    </row>
    <row r="718" spans="1:5" ht="15.75" customHeight="1">
      <c r="A718" s="8"/>
      <c r="B718" s="8"/>
      <c r="D718" s="8"/>
      <c r="E718" s="8"/>
    </row>
    <row r="719" spans="1:5" ht="15.75" customHeight="1">
      <c r="A719" s="8"/>
      <c r="B719" s="8"/>
      <c r="D719" s="8"/>
      <c r="E719" s="8"/>
    </row>
    <row r="720" spans="1:5" ht="15.75" customHeight="1">
      <c r="A720" s="8"/>
      <c r="B720" s="8"/>
      <c r="D720" s="8"/>
      <c r="E720" s="8"/>
    </row>
    <row r="721" spans="1:5" ht="15.75" customHeight="1">
      <c r="A721" s="8"/>
      <c r="B721" s="8"/>
      <c r="D721" s="8"/>
      <c r="E721" s="8"/>
    </row>
    <row r="722" spans="1:5" ht="15.75" customHeight="1">
      <c r="A722" s="8"/>
      <c r="B722" s="8"/>
      <c r="D722" s="8"/>
      <c r="E722" s="8"/>
    </row>
    <row r="723" spans="1:5" ht="15.75" customHeight="1">
      <c r="A723" s="8"/>
      <c r="B723" s="8"/>
      <c r="D723" s="8"/>
      <c r="E723" s="8"/>
    </row>
    <row r="724" spans="1:5" ht="15.75" customHeight="1">
      <c r="A724" s="8"/>
      <c r="B724" s="8"/>
      <c r="D724" s="8"/>
      <c r="E724" s="8"/>
    </row>
    <row r="725" spans="1:5" ht="15.75" customHeight="1">
      <c r="A725" s="8"/>
      <c r="B725" s="8"/>
      <c r="D725" s="8"/>
      <c r="E725" s="8"/>
    </row>
    <row r="726" spans="1:5" ht="15.75" customHeight="1">
      <c r="A726" s="8"/>
      <c r="B726" s="8"/>
      <c r="D726" s="8"/>
      <c r="E726" s="8"/>
    </row>
    <row r="727" spans="1:5" ht="15.75" customHeight="1">
      <c r="A727" s="8"/>
      <c r="B727" s="8"/>
      <c r="D727" s="8"/>
      <c r="E727" s="8"/>
    </row>
    <row r="728" spans="1:5" ht="15.75" customHeight="1">
      <c r="A728" s="8"/>
      <c r="B728" s="8"/>
      <c r="D728" s="8"/>
      <c r="E728" s="8"/>
    </row>
    <row r="729" spans="1:5" ht="15.75" customHeight="1">
      <c r="A729" s="8"/>
      <c r="B729" s="8"/>
      <c r="D729" s="8"/>
      <c r="E729" s="8"/>
    </row>
    <row r="730" spans="1:5" ht="15.75" customHeight="1">
      <c r="A730" s="8"/>
      <c r="B730" s="8"/>
      <c r="D730" s="8"/>
      <c r="E730" s="8"/>
    </row>
    <row r="731" spans="1:5" ht="15.75" customHeight="1">
      <c r="A731" s="8"/>
      <c r="B731" s="8"/>
      <c r="D731" s="8"/>
      <c r="E731" s="8"/>
    </row>
    <row r="732" spans="1:5" ht="15.75" customHeight="1">
      <c r="A732" s="8"/>
      <c r="B732" s="8"/>
      <c r="D732" s="8"/>
      <c r="E732" s="8"/>
    </row>
    <row r="733" spans="1:5" ht="15.75" customHeight="1">
      <c r="A733" s="8"/>
      <c r="B733" s="8"/>
      <c r="D733" s="8"/>
      <c r="E733" s="8"/>
    </row>
    <row r="734" spans="1:5" ht="15.75" customHeight="1">
      <c r="A734" s="8"/>
      <c r="B734" s="8"/>
      <c r="D734" s="8"/>
      <c r="E734" s="8"/>
    </row>
    <row r="735" spans="1:5" ht="15.75" customHeight="1">
      <c r="A735" s="8"/>
      <c r="B735" s="8"/>
      <c r="D735" s="8"/>
      <c r="E735" s="8"/>
    </row>
    <row r="736" spans="1:5" ht="15.75" customHeight="1">
      <c r="A736" s="8"/>
      <c r="B736" s="8"/>
      <c r="D736" s="8"/>
      <c r="E736" s="8"/>
    </row>
    <row r="737" spans="1:5" ht="15.75" customHeight="1">
      <c r="A737" s="8"/>
      <c r="B737" s="8"/>
      <c r="D737" s="8"/>
      <c r="E737" s="8"/>
    </row>
    <row r="738" spans="1:5" ht="15.75" customHeight="1">
      <c r="A738" s="8"/>
      <c r="B738" s="8"/>
      <c r="D738" s="8"/>
      <c r="E738" s="8"/>
    </row>
    <row r="739" spans="1:5" ht="15.75" customHeight="1">
      <c r="A739" s="8"/>
      <c r="B739" s="8"/>
      <c r="D739" s="8"/>
      <c r="E739" s="8"/>
    </row>
    <row r="740" spans="1:5" ht="15.75" customHeight="1">
      <c r="A740" s="8"/>
      <c r="B740" s="8"/>
      <c r="D740" s="8"/>
      <c r="E740" s="8"/>
    </row>
    <row r="741" spans="1:5" ht="15.75" customHeight="1">
      <c r="A741" s="8"/>
      <c r="B741" s="8"/>
      <c r="D741" s="8"/>
      <c r="E741" s="8"/>
    </row>
    <row r="742" spans="1:5" ht="15.75" customHeight="1">
      <c r="A742" s="8"/>
      <c r="B742" s="8"/>
      <c r="D742" s="8"/>
      <c r="E742" s="8"/>
    </row>
    <row r="743" spans="1:5" ht="15.75" customHeight="1">
      <c r="A743" s="8"/>
      <c r="B743" s="8"/>
      <c r="D743" s="8"/>
      <c r="E743" s="8"/>
    </row>
    <row r="744" spans="1:5" ht="15.75" customHeight="1">
      <c r="A744" s="8"/>
      <c r="B744" s="8"/>
      <c r="D744" s="8"/>
      <c r="E744" s="8"/>
    </row>
    <row r="745" spans="1:5" ht="15.75" customHeight="1">
      <c r="A745" s="8"/>
      <c r="B745" s="8"/>
      <c r="D745" s="8"/>
      <c r="E745" s="8"/>
    </row>
    <row r="746" spans="1:5" ht="15.75" customHeight="1">
      <c r="A746" s="8"/>
      <c r="B746" s="8"/>
      <c r="D746" s="8"/>
      <c r="E746" s="8"/>
    </row>
    <row r="747" spans="1:5" ht="15.75" customHeight="1">
      <c r="A747" s="8"/>
      <c r="B747" s="8"/>
      <c r="D747" s="8"/>
      <c r="E747" s="8"/>
    </row>
    <row r="748" spans="1:5" ht="15.75" customHeight="1">
      <c r="A748" s="8"/>
      <c r="B748" s="8"/>
      <c r="D748" s="8"/>
      <c r="E748" s="8"/>
    </row>
    <row r="749" spans="1:5" ht="15.75" customHeight="1">
      <c r="A749" s="8"/>
      <c r="B749" s="8"/>
      <c r="D749" s="8"/>
      <c r="E749" s="8"/>
    </row>
    <row r="750" spans="1:5" ht="15.75" customHeight="1">
      <c r="A750" s="8"/>
      <c r="B750" s="8"/>
      <c r="D750" s="8"/>
      <c r="E750" s="8"/>
    </row>
    <row r="751" spans="1:5" ht="15.75" customHeight="1">
      <c r="A751" s="8"/>
      <c r="B751" s="8"/>
      <c r="D751" s="8"/>
      <c r="E751" s="8"/>
    </row>
    <row r="752" spans="1:5" ht="15.75" customHeight="1">
      <c r="A752" s="8"/>
      <c r="B752" s="8"/>
      <c r="D752" s="8"/>
      <c r="E752" s="8"/>
    </row>
    <row r="753" spans="1:5" ht="15.75" customHeight="1">
      <c r="A753" s="8"/>
      <c r="B753" s="8"/>
      <c r="D753" s="8"/>
      <c r="E753" s="8"/>
    </row>
    <row r="754" spans="1:5" ht="15.75" customHeight="1">
      <c r="A754" s="8"/>
      <c r="B754" s="8"/>
      <c r="D754" s="8"/>
      <c r="E754" s="8"/>
    </row>
    <row r="755" spans="1:5" ht="15.75" customHeight="1">
      <c r="A755" s="8"/>
      <c r="B755" s="8"/>
      <c r="D755" s="8"/>
      <c r="E755" s="8"/>
    </row>
    <row r="756" spans="1:5" ht="15.75" customHeight="1">
      <c r="A756" s="8"/>
      <c r="B756" s="8"/>
      <c r="D756" s="8"/>
      <c r="E756" s="8"/>
    </row>
    <row r="757" spans="1:5" ht="15.75" customHeight="1">
      <c r="A757" s="8"/>
      <c r="B757" s="8"/>
      <c r="D757" s="8"/>
      <c r="E757" s="8"/>
    </row>
    <row r="758" spans="1:5" ht="15.75" customHeight="1">
      <c r="A758" s="8"/>
      <c r="B758" s="8"/>
      <c r="D758" s="8"/>
      <c r="E758" s="8"/>
    </row>
    <row r="759" spans="1:5" ht="15.75" customHeight="1">
      <c r="A759" s="8"/>
      <c r="B759" s="8"/>
      <c r="D759" s="8"/>
      <c r="E759" s="8"/>
    </row>
    <row r="760" spans="1:5" ht="15.75" customHeight="1">
      <c r="A760" s="8"/>
      <c r="B760" s="8"/>
      <c r="D760" s="8"/>
      <c r="E760" s="8"/>
    </row>
    <row r="761" spans="1:5" ht="15.75" customHeight="1">
      <c r="A761" s="8"/>
      <c r="B761" s="8"/>
      <c r="D761" s="8"/>
      <c r="E761" s="8"/>
    </row>
    <row r="762" spans="1:5" ht="15.75" customHeight="1">
      <c r="A762" s="8"/>
      <c r="B762" s="8"/>
      <c r="D762" s="8"/>
      <c r="E762" s="8"/>
    </row>
    <row r="763" spans="1:5" ht="15.75" customHeight="1">
      <c r="A763" s="8"/>
      <c r="B763" s="8"/>
      <c r="D763" s="8"/>
      <c r="E763" s="8"/>
    </row>
    <row r="764" spans="1:5" ht="15.75" customHeight="1">
      <c r="A764" s="8"/>
      <c r="B764" s="8"/>
      <c r="D764" s="8"/>
      <c r="E764" s="8"/>
    </row>
    <row r="765" spans="1:5" ht="15.75" customHeight="1">
      <c r="A765" s="8"/>
      <c r="B765" s="8"/>
      <c r="D765" s="8"/>
      <c r="E765" s="8"/>
    </row>
    <row r="766" spans="1:5" ht="15.75" customHeight="1">
      <c r="A766" s="8"/>
      <c r="B766" s="8"/>
      <c r="D766" s="8"/>
      <c r="E766" s="8"/>
    </row>
    <row r="767" spans="1:5" ht="15.75" customHeight="1">
      <c r="A767" s="8"/>
      <c r="B767" s="8"/>
      <c r="D767" s="8"/>
      <c r="E767" s="8"/>
    </row>
    <row r="768" spans="1:5" ht="15.75" customHeight="1">
      <c r="A768" s="8"/>
      <c r="B768" s="8"/>
      <c r="D768" s="8"/>
      <c r="E768" s="8"/>
    </row>
    <row r="769" spans="1:5" ht="15.75" customHeight="1">
      <c r="A769" s="8"/>
      <c r="B769" s="8"/>
      <c r="D769" s="8"/>
      <c r="E769" s="8"/>
    </row>
    <row r="770" spans="1:5" ht="15.75" customHeight="1">
      <c r="A770" s="8"/>
      <c r="B770" s="8"/>
      <c r="D770" s="8"/>
      <c r="E770" s="8"/>
    </row>
    <row r="771" spans="1:5" ht="15.75" customHeight="1">
      <c r="A771" s="8"/>
      <c r="B771" s="8"/>
      <c r="D771" s="8"/>
      <c r="E771" s="8"/>
    </row>
    <row r="772" spans="1:5" ht="15.75" customHeight="1">
      <c r="A772" s="8"/>
      <c r="B772" s="8"/>
      <c r="D772" s="8"/>
      <c r="E772" s="8"/>
    </row>
    <row r="773" spans="1:5" ht="15.75" customHeight="1">
      <c r="A773" s="8"/>
      <c r="B773" s="8"/>
      <c r="D773" s="8"/>
      <c r="E773" s="8"/>
    </row>
    <row r="774" spans="1:5" ht="15.75" customHeight="1">
      <c r="A774" s="8"/>
      <c r="B774" s="8"/>
      <c r="D774" s="8"/>
      <c r="E774" s="8"/>
    </row>
    <row r="775" spans="1:5" ht="15.75" customHeight="1">
      <c r="A775" s="8"/>
      <c r="B775" s="8"/>
      <c r="D775" s="8"/>
      <c r="E775" s="8"/>
    </row>
    <row r="776" spans="1:5" ht="15.75" customHeight="1">
      <c r="A776" s="8"/>
      <c r="B776" s="8"/>
      <c r="D776" s="8"/>
      <c r="E776" s="8"/>
    </row>
    <row r="777" spans="1:5" ht="15.75" customHeight="1">
      <c r="A777" s="8"/>
      <c r="B777" s="8"/>
      <c r="D777" s="8"/>
      <c r="E777" s="8"/>
    </row>
    <row r="778" spans="1:5" ht="15.75" customHeight="1">
      <c r="A778" s="8"/>
      <c r="B778" s="8"/>
      <c r="D778" s="8"/>
      <c r="E778" s="8"/>
    </row>
    <row r="779" spans="1:5" ht="15.75" customHeight="1">
      <c r="A779" s="8"/>
      <c r="B779" s="8"/>
      <c r="D779" s="8"/>
      <c r="E779" s="8"/>
    </row>
    <row r="780" spans="1:5" ht="15.75" customHeight="1">
      <c r="A780" s="8"/>
      <c r="B780" s="8"/>
      <c r="D780" s="8"/>
      <c r="E780" s="8"/>
    </row>
    <row r="781" spans="1:5" ht="15.75" customHeight="1">
      <c r="A781" s="8"/>
      <c r="B781" s="8"/>
      <c r="D781" s="8"/>
      <c r="E781" s="8"/>
    </row>
    <row r="782" spans="1:5" ht="15.75" customHeight="1">
      <c r="A782" s="8"/>
      <c r="B782" s="8"/>
      <c r="D782" s="8"/>
      <c r="E782" s="8"/>
    </row>
    <row r="783" spans="1:5" ht="15.75" customHeight="1">
      <c r="A783" s="8"/>
      <c r="B783" s="8"/>
      <c r="D783" s="8"/>
      <c r="E783" s="8"/>
    </row>
    <row r="784" spans="1:5" ht="15.75" customHeight="1">
      <c r="A784" s="8"/>
      <c r="B784" s="8"/>
      <c r="D784" s="8"/>
      <c r="E784" s="8"/>
    </row>
    <row r="785" spans="1:5" ht="15.75" customHeight="1">
      <c r="A785" s="8"/>
      <c r="B785" s="8"/>
      <c r="D785" s="8"/>
      <c r="E785" s="8"/>
    </row>
    <row r="786" spans="1:5" ht="15.75" customHeight="1">
      <c r="A786" s="8"/>
      <c r="B786" s="8"/>
      <c r="D786" s="8"/>
      <c r="E786" s="8"/>
    </row>
    <row r="787" spans="1:5" ht="15.75" customHeight="1">
      <c r="A787" s="8"/>
      <c r="B787" s="8"/>
      <c r="D787" s="8"/>
      <c r="E787" s="8"/>
    </row>
    <row r="788" spans="1:5" ht="15.75" customHeight="1">
      <c r="A788" s="8"/>
      <c r="B788" s="8"/>
      <c r="D788" s="8"/>
      <c r="E788" s="8"/>
    </row>
    <row r="789" spans="1:5" ht="15.75" customHeight="1">
      <c r="A789" s="8"/>
      <c r="B789" s="8"/>
      <c r="D789" s="8"/>
      <c r="E789" s="8"/>
    </row>
    <row r="790" spans="1:5" ht="15.75" customHeight="1">
      <c r="A790" s="8"/>
      <c r="B790" s="8"/>
      <c r="D790" s="8"/>
      <c r="E790" s="8"/>
    </row>
    <row r="791" spans="1:5" ht="15.75" customHeight="1">
      <c r="A791" s="8"/>
      <c r="B791" s="8"/>
      <c r="D791" s="8"/>
      <c r="E791" s="8"/>
    </row>
    <row r="792" spans="1:5" ht="15.75" customHeight="1">
      <c r="A792" s="8"/>
      <c r="B792" s="8"/>
      <c r="D792" s="8"/>
      <c r="E792" s="8"/>
    </row>
    <row r="793" spans="1:5" ht="15.75" customHeight="1">
      <c r="A793" s="8"/>
      <c r="B793" s="8"/>
      <c r="D793" s="8"/>
      <c r="E793" s="8"/>
    </row>
    <row r="794" spans="1:5" ht="15.75" customHeight="1">
      <c r="A794" s="8"/>
      <c r="B794" s="8"/>
      <c r="D794" s="8"/>
      <c r="E794" s="8"/>
    </row>
    <row r="795" spans="1:5" ht="15.75" customHeight="1">
      <c r="A795" s="8"/>
      <c r="B795" s="8"/>
      <c r="D795" s="8"/>
      <c r="E795" s="8"/>
    </row>
    <row r="796" spans="1:5" ht="15.75" customHeight="1">
      <c r="A796" s="8"/>
      <c r="B796" s="8"/>
      <c r="D796" s="8"/>
      <c r="E796" s="8"/>
    </row>
    <row r="797" spans="1:5" ht="15.75" customHeight="1">
      <c r="A797" s="8"/>
      <c r="B797" s="8"/>
      <c r="D797" s="8"/>
      <c r="E797" s="8"/>
    </row>
    <row r="798" spans="1:5" ht="15.75" customHeight="1">
      <c r="A798" s="8"/>
      <c r="B798" s="8"/>
      <c r="D798" s="8"/>
      <c r="E798" s="8"/>
    </row>
    <row r="799" spans="1:5" ht="15.75" customHeight="1">
      <c r="A799" s="8"/>
      <c r="B799" s="8"/>
      <c r="D799" s="8"/>
      <c r="E799" s="8"/>
    </row>
    <row r="800" spans="1:5" ht="15.75" customHeight="1">
      <c r="A800" s="8"/>
      <c r="B800" s="8"/>
      <c r="D800" s="8"/>
      <c r="E800" s="8"/>
    </row>
    <row r="801" spans="1:5" ht="15.75" customHeight="1">
      <c r="A801" s="8"/>
      <c r="B801" s="8"/>
      <c r="D801" s="8"/>
      <c r="E801" s="8"/>
    </row>
    <row r="802" spans="1:5" ht="15.75" customHeight="1">
      <c r="A802" s="8"/>
      <c r="B802" s="8"/>
      <c r="D802" s="8"/>
      <c r="E802" s="8"/>
    </row>
    <row r="803" spans="1:5" ht="15.75" customHeight="1">
      <c r="A803" s="8"/>
      <c r="B803" s="8"/>
      <c r="D803" s="8"/>
      <c r="E803" s="8"/>
    </row>
    <row r="804" spans="1:5" ht="15.75" customHeight="1">
      <c r="A804" s="8"/>
      <c r="B804" s="8"/>
      <c r="D804" s="8"/>
      <c r="E804" s="8"/>
    </row>
    <row r="805" spans="1:5" ht="15.75" customHeight="1">
      <c r="A805" s="8"/>
      <c r="B805" s="8"/>
      <c r="D805" s="8"/>
      <c r="E805" s="8"/>
    </row>
    <row r="806" spans="1:5" ht="15.75" customHeight="1">
      <c r="A806" s="8"/>
      <c r="B806" s="8"/>
      <c r="D806" s="8"/>
      <c r="E806" s="8"/>
    </row>
    <row r="807" spans="1:5" ht="15.75" customHeight="1">
      <c r="A807" s="8"/>
      <c r="B807" s="8"/>
      <c r="D807" s="8"/>
      <c r="E807" s="8"/>
    </row>
    <row r="808" spans="1:5" ht="15.75" customHeight="1">
      <c r="A808" s="8"/>
      <c r="B808" s="8"/>
      <c r="D808" s="8"/>
      <c r="E808" s="8"/>
    </row>
    <row r="809" spans="1:5" ht="15.75" customHeight="1">
      <c r="A809" s="8"/>
      <c r="B809" s="8"/>
      <c r="D809" s="8"/>
      <c r="E809" s="8"/>
    </row>
    <row r="810" spans="1:5" ht="15.75" customHeight="1">
      <c r="A810" s="8"/>
      <c r="B810" s="8"/>
      <c r="D810" s="8"/>
      <c r="E810" s="8"/>
    </row>
    <row r="811" spans="1:5" ht="15.75" customHeight="1">
      <c r="A811" s="8"/>
      <c r="B811" s="8"/>
      <c r="D811" s="8"/>
      <c r="E811" s="8"/>
    </row>
    <row r="812" spans="1:5" ht="15.75" customHeight="1">
      <c r="A812" s="8"/>
      <c r="B812" s="8"/>
      <c r="D812" s="8"/>
      <c r="E812" s="8"/>
    </row>
    <row r="813" spans="1:5" ht="15.75" customHeight="1">
      <c r="A813" s="8"/>
      <c r="B813" s="8"/>
      <c r="D813" s="8"/>
      <c r="E813" s="8"/>
    </row>
    <row r="814" spans="1:5" ht="15.75" customHeight="1">
      <c r="A814" s="8"/>
      <c r="B814" s="8"/>
      <c r="D814" s="8"/>
      <c r="E814" s="8"/>
    </row>
    <row r="815" spans="1:5" ht="15.75" customHeight="1">
      <c r="A815" s="8"/>
      <c r="B815" s="8"/>
      <c r="D815" s="8"/>
      <c r="E815" s="8"/>
    </row>
    <row r="816" spans="1:5" ht="15.75" customHeight="1">
      <c r="A816" s="8"/>
      <c r="B816" s="8"/>
      <c r="D816" s="8"/>
      <c r="E816" s="8"/>
    </row>
    <row r="817" spans="1:5" ht="15.75" customHeight="1">
      <c r="A817" s="8"/>
      <c r="B817" s="8"/>
      <c r="D817" s="8"/>
      <c r="E817" s="8"/>
    </row>
    <row r="818" spans="1:5" ht="15.75" customHeight="1">
      <c r="A818" s="8"/>
      <c r="B818" s="8"/>
      <c r="D818" s="8"/>
      <c r="E818" s="8"/>
    </row>
    <row r="819" spans="1:5" ht="15.75" customHeight="1">
      <c r="A819" s="8"/>
      <c r="B819" s="8"/>
      <c r="D819" s="8"/>
      <c r="E819" s="8"/>
    </row>
    <row r="820" spans="1:5" ht="15.75" customHeight="1">
      <c r="A820" s="8"/>
      <c r="B820" s="8"/>
      <c r="D820" s="8"/>
      <c r="E820" s="8"/>
    </row>
    <row r="821" spans="1:5" ht="15.75" customHeight="1">
      <c r="A821" s="8"/>
      <c r="B821" s="8"/>
      <c r="D821" s="8"/>
      <c r="E821" s="8"/>
    </row>
    <row r="822" spans="1:5" ht="15.75" customHeight="1">
      <c r="A822" s="8"/>
      <c r="B822" s="8"/>
      <c r="D822" s="8"/>
      <c r="E822" s="8"/>
    </row>
    <row r="823" spans="1:5" ht="15.75" customHeight="1">
      <c r="A823" s="8"/>
      <c r="B823" s="8"/>
      <c r="D823" s="8"/>
      <c r="E823" s="8"/>
    </row>
    <row r="824" spans="1:5" ht="15.75" customHeight="1">
      <c r="A824" s="8"/>
      <c r="B824" s="8"/>
      <c r="D824" s="8"/>
      <c r="E824" s="8"/>
    </row>
    <row r="825" spans="1:5" ht="15.75" customHeight="1">
      <c r="A825" s="8"/>
      <c r="B825" s="8"/>
      <c r="D825" s="8"/>
      <c r="E825" s="8"/>
    </row>
    <row r="826" spans="1:5" ht="15.75" customHeight="1">
      <c r="A826" s="8"/>
      <c r="B826" s="8"/>
      <c r="D826" s="8"/>
      <c r="E826" s="8"/>
    </row>
    <row r="827" spans="1:5" ht="15.75" customHeight="1">
      <c r="A827" s="8"/>
      <c r="B827" s="8"/>
      <c r="D827" s="8"/>
      <c r="E827" s="8"/>
    </row>
    <row r="828" spans="1:5" ht="15.75" customHeight="1">
      <c r="A828" s="8"/>
      <c r="B828" s="8"/>
      <c r="D828" s="8"/>
      <c r="E828" s="8"/>
    </row>
    <row r="829" spans="1:5" ht="15.75" customHeight="1">
      <c r="A829" s="8"/>
      <c r="B829" s="8"/>
      <c r="D829" s="8"/>
      <c r="E829" s="8"/>
    </row>
    <row r="830" spans="1:5" ht="15.75" customHeight="1">
      <c r="A830" s="8"/>
      <c r="B830" s="8"/>
      <c r="D830" s="8"/>
      <c r="E830" s="8"/>
    </row>
    <row r="831" spans="1:5" ht="15.75" customHeight="1">
      <c r="A831" s="8"/>
      <c r="B831" s="8"/>
      <c r="D831" s="8"/>
      <c r="E831" s="8"/>
    </row>
    <row r="832" spans="1:5" ht="15.75" customHeight="1">
      <c r="A832" s="8"/>
      <c r="B832" s="8"/>
      <c r="D832" s="8"/>
      <c r="E832" s="8"/>
    </row>
    <row r="833" spans="1:5" ht="15.75" customHeight="1">
      <c r="A833" s="8"/>
      <c r="B833" s="8"/>
      <c r="D833" s="8"/>
      <c r="E833" s="8"/>
    </row>
    <row r="834" spans="1:5" ht="15.75" customHeight="1">
      <c r="A834" s="8"/>
      <c r="B834" s="8"/>
      <c r="D834" s="8"/>
      <c r="E834" s="8"/>
    </row>
    <row r="835" spans="1:5" ht="15.75" customHeight="1">
      <c r="A835" s="8"/>
      <c r="B835" s="8"/>
      <c r="D835" s="8"/>
      <c r="E835" s="8"/>
    </row>
    <row r="836" spans="1:5" ht="15.75" customHeight="1">
      <c r="A836" s="8"/>
      <c r="B836" s="8"/>
      <c r="D836" s="8"/>
      <c r="E836" s="8"/>
    </row>
    <row r="837" spans="1:5" ht="15.75" customHeight="1">
      <c r="A837" s="8"/>
      <c r="B837" s="8"/>
      <c r="D837" s="8"/>
      <c r="E837" s="8"/>
    </row>
    <row r="838" spans="1:5" ht="15.75" customHeight="1">
      <c r="A838" s="8"/>
      <c r="B838" s="8"/>
      <c r="D838" s="8"/>
      <c r="E838" s="8"/>
    </row>
    <row r="839" spans="1:5" ht="15.75" customHeight="1">
      <c r="A839" s="8"/>
      <c r="B839" s="8"/>
      <c r="D839" s="8"/>
      <c r="E839" s="8"/>
    </row>
    <row r="840" spans="1:5" ht="15.75" customHeight="1">
      <c r="A840" s="8"/>
      <c r="B840" s="8"/>
      <c r="D840" s="8"/>
      <c r="E840" s="8"/>
    </row>
    <row r="841" spans="1:5" ht="15.75" customHeight="1">
      <c r="A841" s="8"/>
      <c r="B841" s="8"/>
      <c r="D841" s="8"/>
      <c r="E841" s="8"/>
    </row>
    <row r="842" spans="1:5" ht="15.75" customHeight="1">
      <c r="A842" s="8"/>
      <c r="B842" s="8"/>
      <c r="D842" s="8"/>
      <c r="E842" s="8"/>
    </row>
    <row r="843" spans="1:5" ht="15.75" customHeight="1">
      <c r="A843" s="8"/>
      <c r="B843" s="8"/>
      <c r="D843" s="8"/>
      <c r="E843" s="8"/>
    </row>
    <row r="844" spans="1:5" ht="15.75" customHeight="1">
      <c r="A844" s="8"/>
      <c r="B844" s="8"/>
      <c r="D844" s="8"/>
      <c r="E844" s="8"/>
    </row>
    <row r="845" spans="1:5" ht="15.75" customHeight="1">
      <c r="A845" s="8"/>
      <c r="B845" s="8"/>
      <c r="D845" s="8"/>
      <c r="E845" s="8"/>
    </row>
    <row r="846" spans="1:5" ht="15.75" customHeight="1">
      <c r="A846" s="8"/>
      <c r="B846" s="8"/>
      <c r="D846" s="8"/>
      <c r="E846" s="8"/>
    </row>
    <row r="847" spans="1:5" ht="15.75" customHeight="1">
      <c r="A847" s="8"/>
      <c r="B847" s="8"/>
      <c r="D847" s="8"/>
      <c r="E847" s="8"/>
    </row>
    <row r="848" spans="1:5" ht="15.75" customHeight="1">
      <c r="A848" s="8"/>
      <c r="B848" s="8"/>
      <c r="D848" s="8"/>
      <c r="E848" s="8"/>
    </row>
    <row r="849" spans="1:5" ht="15.75" customHeight="1">
      <c r="A849" s="8"/>
      <c r="B849" s="8"/>
      <c r="D849" s="8"/>
      <c r="E849" s="8"/>
    </row>
    <row r="850" spans="1:5" ht="15.75" customHeight="1">
      <c r="A850" s="8"/>
      <c r="B850" s="8"/>
      <c r="D850" s="8"/>
      <c r="E850" s="8"/>
    </row>
    <row r="851" spans="1:5" ht="15.75" customHeight="1">
      <c r="A851" s="8"/>
      <c r="B851" s="8"/>
      <c r="D851" s="8"/>
      <c r="E851" s="8"/>
    </row>
    <row r="852" spans="1:5" ht="15.75" customHeight="1">
      <c r="A852" s="8"/>
      <c r="B852" s="8"/>
      <c r="D852" s="8"/>
      <c r="E852" s="8"/>
    </row>
    <row r="853" spans="1:5" ht="15.75" customHeight="1">
      <c r="A853" s="8"/>
      <c r="B853" s="8"/>
      <c r="D853" s="8"/>
      <c r="E853" s="8"/>
    </row>
    <row r="854" spans="1:5" ht="15.75" customHeight="1">
      <c r="A854" s="8"/>
      <c r="B854" s="8"/>
      <c r="D854" s="8"/>
      <c r="E854" s="8"/>
    </row>
    <row r="855" spans="1:5" ht="15.75" customHeight="1">
      <c r="A855" s="8"/>
      <c r="B855" s="8"/>
      <c r="D855" s="8"/>
      <c r="E855" s="8"/>
    </row>
    <row r="856" spans="1:5" ht="15.75" customHeight="1">
      <c r="A856" s="8"/>
      <c r="B856" s="8"/>
      <c r="D856" s="8"/>
      <c r="E856" s="8"/>
    </row>
    <row r="857" spans="1:5" ht="15.75" customHeight="1">
      <c r="A857" s="8"/>
      <c r="B857" s="8"/>
      <c r="D857" s="8"/>
      <c r="E857" s="8"/>
    </row>
    <row r="858" spans="1:5" ht="15.75" customHeight="1">
      <c r="A858" s="8"/>
      <c r="B858" s="8"/>
      <c r="D858" s="8"/>
      <c r="E858" s="8"/>
    </row>
    <row r="859" spans="1:5" ht="15.75" customHeight="1">
      <c r="A859" s="8"/>
      <c r="B859" s="8"/>
      <c r="D859" s="8"/>
      <c r="E859" s="8"/>
    </row>
    <row r="860" spans="1:5" ht="15.75" customHeight="1">
      <c r="A860" s="8"/>
      <c r="B860" s="8"/>
      <c r="D860" s="8"/>
      <c r="E860" s="8"/>
    </row>
    <row r="861" spans="1:5" ht="15.75" customHeight="1">
      <c r="A861" s="8"/>
      <c r="B861" s="8"/>
      <c r="D861" s="8"/>
      <c r="E861" s="8"/>
    </row>
    <row r="862" spans="1:5" ht="15.75" customHeight="1">
      <c r="A862" s="8"/>
      <c r="B862" s="8"/>
      <c r="D862" s="8"/>
      <c r="E862" s="8"/>
    </row>
    <row r="863" spans="1:5" ht="15.75" customHeight="1">
      <c r="A863" s="8"/>
      <c r="B863" s="8"/>
      <c r="D863" s="8"/>
      <c r="E863" s="8"/>
    </row>
    <row r="864" spans="1:5" ht="15.75" customHeight="1">
      <c r="A864" s="8"/>
      <c r="B864" s="8"/>
      <c r="D864" s="8"/>
      <c r="E864" s="8"/>
    </row>
    <row r="865" spans="1:5" ht="15.75" customHeight="1">
      <c r="A865" s="8"/>
      <c r="B865" s="8"/>
      <c r="D865" s="8"/>
      <c r="E865" s="8"/>
    </row>
    <row r="866" spans="1:5" ht="15.75" customHeight="1">
      <c r="A866" s="8"/>
      <c r="B866" s="8"/>
      <c r="D866" s="8"/>
      <c r="E866" s="8"/>
    </row>
    <row r="867" spans="1:5" ht="15.75" customHeight="1">
      <c r="A867" s="8"/>
      <c r="B867" s="8"/>
      <c r="D867" s="8"/>
      <c r="E867" s="8"/>
    </row>
    <row r="868" spans="1:5" ht="15.75" customHeight="1">
      <c r="A868" s="8"/>
      <c r="B868" s="8"/>
      <c r="D868" s="8"/>
      <c r="E868" s="8"/>
    </row>
    <row r="869" spans="1:5" ht="15.75" customHeight="1">
      <c r="A869" s="8"/>
      <c r="B869" s="8"/>
      <c r="D869" s="8"/>
      <c r="E869" s="8"/>
    </row>
    <row r="870" spans="1:5" ht="15.75" customHeight="1">
      <c r="A870" s="8"/>
      <c r="B870" s="8"/>
      <c r="D870" s="8"/>
      <c r="E870" s="8"/>
    </row>
    <row r="871" spans="1:5" ht="15.75" customHeight="1">
      <c r="A871" s="8"/>
      <c r="B871" s="8"/>
      <c r="D871" s="8"/>
      <c r="E871" s="8"/>
    </row>
    <row r="872" spans="1:5" ht="15.75" customHeight="1">
      <c r="A872" s="8"/>
      <c r="B872" s="8"/>
      <c r="D872" s="8"/>
      <c r="E872" s="8"/>
    </row>
    <row r="873" spans="1:5" ht="15.75" customHeight="1">
      <c r="A873" s="8"/>
      <c r="B873" s="8"/>
      <c r="D873" s="8"/>
      <c r="E873" s="8"/>
    </row>
    <row r="874" spans="1:5" ht="15.75" customHeight="1">
      <c r="A874" s="8"/>
      <c r="B874" s="8"/>
      <c r="D874" s="8"/>
      <c r="E874" s="8"/>
    </row>
    <row r="875" spans="1:5" ht="15.75" customHeight="1">
      <c r="A875" s="8"/>
      <c r="B875" s="8"/>
      <c r="D875" s="8"/>
      <c r="E875" s="8"/>
    </row>
    <row r="876" spans="1:5" ht="15.75" customHeight="1">
      <c r="A876" s="8"/>
      <c r="B876" s="8"/>
      <c r="D876" s="8"/>
      <c r="E876" s="8"/>
    </row>
    <row r="877" spans="1:5" ht="15.75" customHeight="1">
      <c r="A877" s="8"/>
      <c r="B877" s="8"/>
      <c r="D877" s="8"/>
      <c r="E877" s="8"/>
    </row>
    <row r="878" spans="1:5" ht="15.75" customHeight="1">
      <c r="A878" s="8"/>
      <c r="B878" s="8"/>
      <c r="D878" s="8"/>
      <c r="E878" s="8"/>
    </row>
    <row r="879" spans="1:5" ht="15.75" customHeight="1">
      <c r="A879" s="8"/>
      <c r="B879" s="8"/>
      <c r="D879" s="8"/>
      <c r="E879" s="8"/>
    </row>
    <row r="880" spans="1:5" ht="15.75" customHeight="1">
      <c r="A880" s="8"/>
      <c r="B880" s="8"/>
      <c r="D880" s="8"/>
      <c r="E880" s="8"/>
    </row>
    <row r="881" spans="1:5" ht="15.75" customHeight="1">
      <c r="A881" s="8"/>
      <c r="B881" s="8"/>
      <c r="D881" s="8"/>
      <c r="E881" s="8"/>
    </row>
    <row r="882" spans="1:5" ht="15.75" customHeight="1">
      <c r="A882" s="8"/>
      <c r="B882" s="8"/>
      <c r="D882" s="8"/>
      <c r="E882" s="8"/>
    </row>
    <row r="883" spans="1:5" ht="15.75" customHeight="1">
      <c r="A883" s="8"/>
      <c r="B883" s="8"/>
      <c r="D883" s="8"/>
      <c r="E883" s="8"/>
    </row>
    <row r="884" spans="1:5" ht="15.75" customHeight="1">
      <c r="A884" s="8"/>
      <c r="B884" s="8"/>
      <c r="D884" s="8"/>
      <c r="E884" s="8"/>
    </row>
    <row r="885" spans="1:5" ht="15.75" customHeight="1">
      <c r="A885" s="8"/>
      <c r="B885" s="8"/>
      <c r="D885" s="8"/>
      <c r="E885" s="8"/>
    </row>
    <row r="886" spans="1:5" ht="15.75" customHeight="1">
      <c r="A886" s="8"/>
      <c r="B886" s="8"/>
      <c r="D886" s="8"/>
      <c r="E886" s="8"/>
    </row>
    <row r="887" spans="1:5" ht="15.75" customHeight="1">
      <c r="A887" s="8"/>
      <c r="B887" s="8"/>
      <c r="D887" s="8"/>
      <c r="E887" s="8"/>
    </row>
    <row r="888" spans="1:5" ht="15.75" customHeight="1">
      <c r="A888" s="8"/>
      <c r="B888" s="8"/>
      <c r="D888" s="8"/>
      <c r="E888" s="8"/>
    </row>
    <row r="889" spans="1:5" ht="15.75" customHeight="1">
      <c r="A889" s="8"/>
      <c r="B889" s="8"/>
      <c r="D889" s="8"/>
      <c r="E889" s="8"/>
    </row>
    <row r="890" spans="1:5" ht="15.75" customHeight="1">
      <c r="A890" s="8"/>
      <c r="B890" s="8"/>
      <c r="D890" s="8"/>
      <c r="E890" s="8"/>
    </row>
    <row r="891" spans="1:5" ht="15.75" customHeight="1">
      <c r="A891" s="8"/>
      <c r="B891" s="8"/>
      <c r="D891" s="8"/>
      <c r="E891" s="8"/>
    </row>
    <row r="892" spans="1:5" ht="15.75" customHeight="1">
      <c r="A892" s="8"/>
      <c r="B892" s="8"/>
      <c r="D892" s="8"/>
      <c r="E892" s="8"/>
    </row>
    <row r="893" spans="1:5" ht="15.75" customHeight="1">
      <c r="A893" s="8"/>
      <c r="B893" s="8"/>
      <c r="D893" s="8"/>
      <c r="E893" s="8"/>
    </row>
    <row r="894" spans="1:5" ht="15.75" customHeight="1">
      <c r="A894" s="8"/>
      <c r="B894" s="8"/>
      <c r="D894" s="8"/>
      <c r="E894" s="8"/>
    </row>
    <row r="895" spans="1:5" ht="15.75" customHeight="1">
      <c r="A895" s="8"/>
      <c r="B895" s="8"/>
      <c r="D895" s="8"/>
      <c r="E895" s="8"/>
    </row>
    <row r="896" spans="1:5" ht="15.75" customHeight="1">
      <c r="A896" s="8"/>
      <c r="B896" s="8"/>
      <c r="D896" s="8"/>
      <c r="E896" s="8"/>
    </row>
    <row r="897" spans="1:5" ht="15.75" customHeight="1">
      <c r="A897" s="8"/>
      <c r="B897" s="8"/>
      <c r="D897" s="8"/>
      <c r="E897" s="8"/>
    </row>
    <row r="898" spans="1:5" ht="15.75" customHeight="1">
      <c r="A898" s="8"/>
      <c r="B898" s="8"/>
      <c r="D898" s="8"/>
      <c r="E898" s="8"/>
    </row>
    <row r="899" spans="1:5" ht="15.75" customHeight="1">
      <c r="A899" s="8"/>
      <c r="B899" s="8"/>
      <c r="D899" s="8"/>
      <c r="E899" s="8"/>
    </row>
    <row r="900" spans="1:5" ht="15.75" customHeight="1">
      <c r="A900" s="8"/>
      <c r="B900" s="8"/>
      <c r="D900" s="8"/>
      <c r="E900" s="8"/>
    </row>
    <row r="901" spans="1:5" ht="15.75" customHeight="1">
      <c r="A901" s="8"/>
      <c r="B901" s="8"/>
      <c r="D901" s="8"/>
      <c r="E901" s="8"/>
    </row>
    <row r="902" spans="1:5" ht="15.75" customHeight="1">
      <c r="A902" s="8"/>
      <c r="B902" s="8"/>
      <c r="D902" s="8"/>
      <c r="E902" s="8"/>
    </row>
    <row r="903" spans="1:5" ht="15.75" customHeight="1">
      <c r="A903" s="8"/>
      <c r="B903" s="8"/>
      <c r="D903" s="8"/>
      <c r="E903" s="8"/>
    </row>
    <row r="904" spans="1:5" ht="15.75" customHeight="1">
      <c r="A904" s="8"/>
      <c r="B904" s="8"/>
      <c r="D904" s="8"/>
      <c r="E904" s="8"/>
    </row>
    <row r="905" spans="1:5" ht="15.75" customHeight="1">
      <c r="A905" s="8"/>
      <c r="B905" s="8"/>
      <c r="D905" s="8"/>
      <c r="E905" s="8"/>
    </row>
    <row r="906" spans="1:5" ht="15.75" customHeight="1">
      <c r="A906" s="8"/>
      <c r="B906" s="8"/>
      <c r="D906" s="8"/>
      <c r="E906" s="8"/>
    </row>
    <row r="907" spans="1:5" ht="15.75" customHeight="1">
      <c r="A907" s="8"/>
      <c r="B907" s="8"/>
      <c r="D907" s="8"/>
      <c r="E907" s="8"/>
    </row>
    <row r="908" spans="1:5" ht="15.75" customHeight="1">
      <c r="A908" s="8"/>
      <c r="B908" s="8"/>
      <c r="D908" s="8"/>
      <c r="E908" s="8"/>
    </row>
    <row r="909" spans="1:5" ht="15.75" customHeight="1">
      <c r="A909" s="8"/>
      <c r="B909" s="8"/>
      <c r="D909" s="8"/>
      <c r="E909" s="8"/>
    </row>
    <row r="910" spans="1:5" ht="15" customHeight="1">
      <c r="A910" s="8"/>
      <c r="B910" s="8"/>
      <c r="D910" s="8"/>
      <c r="E910" s="8"/>
    </row>
    <row r="911" spans="1:5" ht="15" customHeight="1">
      <c r="A911" s="8"/>
      <c r="B911" s="8"/>
      <c r="D911" s="8"/>
      <c r="E911" s="8"/>
    </row>
  </sheetData>
  <mergeCells count="1">
    <mergeCell ref="A1:E1"/>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0.499984740745262"/>
  </sheetPr>
  <dimension ref="A1:AG34"/>
  <sheetViews>
    <sheetView zoomScale="80" zoomScaleNormal="80" workbookViewId="0">
      <pane xSplit="2" ySplit="3" topLeftCell="C28" activePane="bottomRight" state="frozen"/>
      <selection pane="topRight" activeCell="D1" sqref="D1"/>
      <selection pane="bottomLeft" activeCell="A4" sqref="A4"/>
      <selection pane="bottomRight" activeCell="A38" sqref="A38"/>
    </sheetView>
  </sheetViews>
  <sheetFormatPr defaultColWidth="14.42578125" defaultRowHeight="15"/>
  <cols>
    <col min="1" max="1" width="28.85546875" style="2" customWidth="1"/>
    <col min="2" max="2" width="9.140625" style="7" customWidth="1"/>
    <col min="3" max="3" width="9.42578125" customWidth="1"/>
    <col min="4" max="4" width="10.140625" style="8" customWidth="1"/>
    <col min="5" max="5" width="6.7109375" style="8" hidden="1" customWidth="1"/>
    <col min="6" max="6" width="8.140625" style="8" hidden="1" customWidth="1"/>
    <col min="7" max="7" width="9.7109375" style="8" hidden="1" customWidth="1"/>
    <col min="8" max="8" width="12.42578125" style="8" hidden="1" customWidth="1"/>
    <col min="9" max="9" width="15.5703125" customWidth="1"/>
    <col min="10" max="10" width="11.85546875" style="220" hidden="1" customWidth="1"/>
    <col min="11" max="11" width="12" style="220" hidden="1" customWidth="1"/>
    <col min="12" max="12" width="11.5703125" customWidth="1"/>
    <col min="13" max="13" width="13" style="15" customWidth="1"/>
    <col min="14" max="14" width="11.28515625" customWidth="1"/>
    <col min="15" max="15" width="9.28515625" style="224" customWidth="1"/>
    <col min="16" max="16" width="12.42578125" style="8" customWidth="1"/>
    <col min="17" max="28" width="12.7109375" style="8" customWidth="1"/>
    <col min="29" max="30" width="8.85546875" customWidth="1"/>
  </cols>
  <sheetData>
    <row r="1" spans="1:33" s="8" customFormat="1">
      <c r="A1" s="519"/>
      <c r="B1" s="519"/>
      <c r="C1" s="519"/>
      <c r="D1" s="519"/>
      <c r="E1" s="519"/>
      <c r="F1" s="519"/>
      <c r="G1" s="519"/>
      <c r="H1" s="519"/>
      <c r="I1" s="519"/>
      <c r="J1" s="519"/>
      <c r="K1" s="519"/>
      <c r="L1" s="519"/>
      <c r="M1" s="519"/>
      <c r="N1" s="519"/>
      <c r="O1" s="519"/>
      <c r="P1" s="519"/>
      <c r="Q1" s="519"/>
      <c r="R1" s="519"/>
      <c r="S1" s="519"/>
      <c r="T1" s="519"/>
      <c r="U1" s="519"/>
      <c r="V1" s="519"/>
      <c r="W1" s="519"/>
      <c r="X1" s="519"/>
      <c r="Y1" s="519"/>
      <c r="Z1" s="519"/>
      <c r="AA1" s="519"/>
      <c r="AB1" s="519"/>
    </row>
    <row r="2" spans="1:33" ht="45" customHeight="1">
      <c r="A2" s="367" t="s">
        <v>277</v>
      </c>
      <c r="B2" s="367"/>
      <c r="C2" s="286"/>
      <c r="D2" s="286"/>
      <c r="E2" s="286"/>
      <c r="F2" s="286"/>
      <c r="G2" s="286"/>
      <c r="H2" s="286"/>
      <c r="I2" s="286"/>
      <c r="J2" s="286"/>
      <c r="K2" s="286"/>
      <c r="L2" s="286"/>
      <c r="M2" s="546" t="s">
        <v>278</v>
      </c>
      <c r="N2" s="548"/>
      <c r="O2" s="547"/>
      <c r="P2" s="546" t="s">
        <v>279</v>
      </c>
      <c r="Q2" s="547"/>
      <c r="R2" s="546" t="s">
        <v>280</v>
      </c>
      <c r="S2" s="548"/>
      <c r="T2" s="548"/>
      <c r="U2" s="547"/>
      <c r="V2" s="546" t="s">
        <v>281</v>
      </c>
      <c r="W2" s="548"/>
      <c r="X2" s="547"/>
      <c r="Y2" s="546" t="s">
        <v>282</v>
      </c>
      <c r="Z2" s="547"/>
      <c r="AA2" s="546" t="s">
        <v>283</v>
      </c>
      <c r="AB2" s="547"/>
      <c r="AC2" s="1"/>
      <c r="AD2" s="1"/>
      <c r="AE2" s="8"/>
      <c r="AF2" s="8"/>
      <c r="AG2" s="8"/>
    </row>
    <row r="3" spans="1:33" ht="54.75" customHeight="1">
      <c r="A3" s="10" t="s">
        <v>284</v>
      </c>
      <c r="B3" s="286" t="s">
        <v>285</v>
      </c>
      <c r="C3" s="286" t="s">
        <v>286</v>
      </c>
      <c r="D3" s="286" t="s">
        <v>287</v>
      </c>
      <c r="E3" s="286" t="s">
        <v>288</v>
      </c>
      <c r="F3" s="286" t="s">
        <v>289</v>
      </c>
      <c r="G3" s="286" t="s">
        <v>290</v>
      </c>
      <c r="H3" s="286" t="s">
        <v>291</v>
      </c>
      <c r="I3" s="286" t="s">
        <v>292</v>
      </c>
      <c r="J3" s="286" t="s">
        <v>293</v>
      </c>
      <c r="K3" s="286" t="s">
        <v>294</v>
      </c>
      <c r="L3" s="286" t="s">
        <v>295</v>
      </c>
      <c r="M3" s="286" t="s">
        <v>104</v>
      </c>
      <c r="N3" s="286" t="s">
        <v>296</v>
      </c>
      <c r="O3" s="286" t="s">
        <v>297</v>
      </c>
      <c r="P3" s="286" t="s">
        <v>104</v>
      </c>
      <c r="Q3" s="286" t="s">
        <v>296</v>
      </c>
      <c r="R3" s="286" t="s">
        <v>298</v>
      </c>
      <c r="S3" s="286" t="s">
        <v>299</v>
      </c>
      <c r="T3" s="286" t="s">
        <v>300</v>
      </c>
      <c r="U3" s="286" t="s">
        <v>301</v>
      </c>
      <c r="V3" s="286" t="s">
        <v>298</v>
      </c>
      <c r="W3" s="286" t="s">
        <v>299</v>
      </c>
      <c r="X3" s="286" t="s">
        <v>301</v>
      </c>
      <c r="Y3" s="286" t="s">
        <v>299</v>
      </c>
      <c r="Z3" s="286" t="s">
        <v>300</v>
      </c>
      <c r="AA3" s="286" t="s">
        <v>299</v>
      </c>
      <c r="AB3" s="286" t="s">
        <v>300</v>
      </c>
      <c r="AC3" s="1"/>
      <c r="AD3" s="1"/>
      <c r="AE3" s="8"/>
      <c r="AF3" s="8"/>
      <c r="AG3" s="8"/>
    </row>
    <row r="4" spans="1:33">
      <c r="A4" s="11" t="s">
        <v>302</v>
      </c>
      <c r="B4" s="342">
        <v>7</v>
      </c>
      <c r="C4" s="343">
        <f>'Population Distribution'!$D$22*1000</f>
        <v>3720200</v>
      </c>
      <c r="D4" s="344">
        <f>'Population Distribution'!$B$28</f>
        <v>1361150.7336595745</v>
      </c>
      <c r="E4" s="345">
        <v>0.3</v>
      </c>
      <c r="F4" s="346" t="s">
        <v>303</v>
      </c>
      <c r="G4" s="347">
        <v>1</v>
      </c>
      <c r="H4" s="348">
        <v>0.33624999999999999</v>
      </c>
      <c r="I4" s="349">
        <v>0.16</v>
      </c>
      <c r="J4" s="219">
        <f>D4*I4</f>
        <v>217784.11738553192</v>
      </c>
      <c r="K4" s="219">
        <f>(C4-D4)*I4</f>
        <v>377447.88261446805</v>
      </c>
      <c r="L4" s="94">
        <f>C4*I4</f>
        <v>595232</v>
      </c>
      <c r="M4" s="95">
        <f t="shared" ref="M4:M20" si="0">B4*L4</f>
        <v>4166624</v>
      </c>
      <c r="N4" s="96">
        <f t="shared" ref="N4:N28" si="1">M4/C4</f>
        <v>1.1200000000000001</v>
      </c>
      <c r="O4" s="221">
        <f t="shared" ref="O4:O28" si="2">N4/$N$29</f>
        <v>0.16489988221436983</v>
      </c>
      <c r="P4" s="95">
        <f t="shared" ref="P4:P28" si="3">C4*H4*B4</f>
        <v>8756420.75</v>
      </c>
      <c r="Q4" s="214">
        <f t="shared" ref="Q4:Q28" si="4">P4/C4</f>
        <v>2.3537499999999998</v>
      </c>
      <c r="R4" s="95">
        <f t="shared" ref="R4:R28" si="5">B4*J4</f>
        <v>1524488.8216987234</v>
      </c>
      <c r="S4" s="95">
        <f t="shared" ref="S4:S28" si="6">B4*K4*(1-E4)</f>
        <v>1849494.6248108931</v>
      </c>
      <c r="T4" s="214">
        <f>R4/D4</f>
        <v>1.1199999999999999</v>
      </c>
      <c r="U4" s="214">
        <f>S4/((C4-D4))</f>
        <v>0.78399999999999992</v>
      </c>
      <c r="V4" s="95">
        <f>B4*D4*I4</f>
        <v>1524488.8216987234</v>
      </c>
      <c r="W4" s="95">
        <f t="shared" ref="W4:W28" si="7">B4*H4*(C4-D4)*(1-E4)</f>
        <v>3886828.5474541425</v>
      </c>
      <c r="X4" s="214">
        <f t="shared" ref="X4:X28" si="8">W4/((C4-D4))</f>
        <v>1.6476249999999997</v>
      </c>
      <c r="Y4" s="214">
        <f t="shared" ref="Y4:Y28" si="9">(B4-G4)*I4*(C4-D4)</f>
        <v>2264687.2956868079</v>
      </c>
      <c r="Z4" s="214">
        <f t="shared" ref="Z4:Z28" si="10">Y4/(C4-D4)</f>
        <v>0.95999999999999985</v>
      </c>
      <c r="AA4" s="214">
        <f t="shared" ref="AA4:AA28" si="11">(B4-G4)*(C4-D4)*H4</f>
        <v>4759381.8948418079</v>
      </c>
      <c r="AB4" s="214">
        <f t="shared" ref="AB4:AB28" si="12">AA4/(C4-D4)</f>
        <v>2.0175000000000001</v>
      </c>
      <c r="AC4" s="1"/>
      <c r="AD4" s="1"/>
      <c r="AE4" s="8"/>
      <c r="AF4" s="8"/>
      <c r="AG4" s="8"/>
    </row>
    <row r="5" spans="1:33">
      <c r="A5" s="11" t="s">
        <v>304</v>
      </c>
      <c r="B5" s="342">
        <v>5</v>
      </c>
      <c r="C5" s="343">
        <f>'Population Distribution'!$D$22*1000</f>
        <v>3720200</v>
      </c>
      <c r="D5" s="344">
        <f>'Population Distribution'!$B$28</f>
        <v>1361150.7336595745</v>
      </c>
      <c r="E5" s="345">
        <v>0.3</v>
      </c>
      <c r="F5" s="346" t="s">
        <v>303</v>
      </c>
      <c r="G5" s="347">
        <v>1</v>
      </c>
      <c r="H5" s="348">
        <v>0.14166666666666666</v>
      </c>
      <c r="I5" s="349">
        <v>0.11</v>
      </c>
      <c r="J5" s="219">
        <f t="shared" ref="J5:J28" si="13">D5*I5</f>
        <v>149726.58070255321</v>
      </c>
      <c r="K5" s="219">
        <f t="shared" ref="K5:K28" si="14">(C5-D5)*I5</f>
        <v>259495.41929744679</v>
      </c>
      <c r="L5" s="94">
        <f t="shared" ref="L5:L28" si="15">C5*I5</f>
        <v>409222</v>
      </c>
      <c r="M5" s="95">
        <f t="shared" si="0"/>
        <v>2046110</v>
      </c>
      <c r="N5" s="96">
        <f t="shared" si="1"/>
        <v>0.55000000000000004</v>
      </c>
      <c r="O5" s="221">
        <f t="shared" si="2"/>
        <v>8.0977620730270899E-2</v>
      </c>
      <c r="P5" s="95">
        <f t="shared" si="3"/>
        <v>2635141.666666667</v>
      </c>
      <c r="Q5" s="214">
        <f t="shared" si="4"/>
        <v>0.70833333333333337</v>
      </c>
      <c r="R5" s="95">
        <f t="shared" si="5"/>
        <v>748632.90351276612</v>
      </c>
      <c r="S5" s="95">
        <f t="shared" si="6"/>
        <v>908233.96754106367</v>
      </c>
      <c r="T5" s="214">
        <f t="shared" ref="T5:T28" si="16">R5/D5</f>
        <v>0.55000000000000004</v>
      </c>
      <c r="U5" s="214">
        <f t="shared" ref="U5:U28" si="17">S5/((C5-D5))</f>
        <v>0.38499999999999995</v>
      </c>
      <c r="V5" s="95">
        <f t="shared" ref="V5:V28" si="18">B5*D5*I5</f>
        <v>748632.903512766</v>
      </c>
      <c r="W5" s="95">
        <f t="shared" si="7"/>
        <v>1169695.2612271272</v>
      </c>
      <c r="X5" s="214">
        <f t="shared" si="8"/>
        <v>0.49583333333333318</v>
      </c>
      <c r="Y5" s="214">
        <f t="shared" si="9"/>
        <v>1037981.6771897872</v>
      </c>
      <c r="Z5" s="214">
        <f t="shared" si="10"/>
        <v>0.44</v>
      </c>
      <c r="AA5" s="214">
        <f t="shared" si="11"/>
        <v>1336794.5842595743</v>
      </c>
      <c r="AB5" s="214">
        <f t="shared" si="12"/>
        <v>0.56666666666666665</v>
      </c>
      <c r="AC5" s="1"/>
      <c r="AD5" s="1"/>
      <c r="AE5" s="8"/>
      <c r="AF5" s="8"/>
      <c r="AG5" s="8"/>
    </row>
    <row r="6" spans="1:33">
      <c r="A6" s="11" t="s">
        <v>305</v>
      </c>
      <c r="B6" s="342">
        <v>8</v>
      </c>
      <c r="C6" s="343">
        <f>'Population Distribution'!$D$22*1000</f>
        <v>3720200</v>
      </c>
      <c r="D6" s="344">
        <f>'Population Distribution'!$B$28</f>
        <v>1361150.7336595745</v>
      </c>
      <c r="E6" s="345">
        <v>0.3</v>
      </c>
      <c r="F6" s="346" t="s">
        <v>303</v>
      </c>
      <c r="G6" s="347">
        <v>1</v>
      </c>
      <c r="H6" s="348">
        <v>0.11874999999999999</v>
      </c>
      <c r="I6" s="349">
        <v>0.11</v>
      </c>
      <c r="J6" s="219">
        <f t="shared" si="13"/>
        <v>149726.58070255321</v>
      </c>
      <c r="K6" s="219">
        <f t="shared" si="14"/>
        <v>259495.41929744679</v>
      </c>
      <c r="L6" s="94">
        <f t="shared" si="15"/>
        <v>409222</v>
      </c>
      <c r="M6" s="95">
        <f t="shared" si="0"/>
        <v>3273776</v>
      </c>
      <c r="N6" s="96">
        <f t="shared" si="1"/>
        <v>0.88</v>
      </c>
      <c r="O6" s="221">
        <f t="shared" si="2"/>
        <v>0.12956419316843343</v>
      </c>
      <c r="P6" s="95">
        <f t="shared" si="3"/>
        <v>3534190</v>
      </c>
      <c r="Q6" s="214">
        <f t="shared" si="4"/>
        <v>0.95</v>
      </c>
      <c r="R6" s="95">
        <f t="shared" si="5"/>
        <v>1197812.6456204257</v>
      </c>
      <c r="S6" s="95">
        <f t="shared" si="6"/>
        <v>1453174.348065702</v>
      </c>
      <c r="T6" s="214">
        <f t="shared" si="16"/>
        <v>0.88000000000000012</v>
      </c>
      <c r="U6" s="214">
        <f t="shared" si="17"/>
        <v>0.61599999999999999</v>
      </c>
      <c r="V6" s="95">
        <f t="shared" si="18"/>
        <v>1197812.6456204257</v>
      </c>
      <c r="W6" s="95">
        <f t="shared" si="7"/>
        <v>1568767.7621163826</v>
      </c>
      <c r="X6" s="214">
        <f t="shared" si="8"/>
        <v>0.66499999999999992</v>
      </c>
      <c r="Y6" s="214">
        <f t="shared" si="9"/>
        <v>1816467.9350821276</v>
      </c>
      <c r="Z6" s="214">
        <f t="shared" si="10"/>
        <v>0.77</v>
      </c>
      <c r="AA6" s="214">
        <f t="shared" si="11"/>
        <v>1960959.7026454783</v>
      </c>
      <c r="AB6" s="214">
        <f t="shared" si="12"/>
        <v>0.83124999999999993</v>
      </c>
      <c r="AC6" s="1"/>
      <c r="AD6" s="1"/>
      <c r="AE6" s="8"/>
      <c r="AF6" s="8"/>
      <c r="AG6" s="8"/>
    </row>
    <row r="7" spans="1:33">
      <c r="A7" s="11" t="s">
        <v>306</v>
      </c>
      <c r="B7" s="342">
        <v>7</v>
      </c>
      <c r="C7" s="343">
        <f>'Population Distribution'!$D$22*1000</f>
        <v>3720200</v>
      </c>
      <c r="D7" s="344">
        <f>'Population Distribution'!$B$28</f>
        <v>1361150.7336595745</v>
      </c>
      <c r="E7" s="345">
        <v>0.3</v>
      </c>
      <c r="F7" s="346" t="s">
        <v>303</v>
      </c>
      <c r="G7" s="347">
        <v>1</v>
      </c>
      <c r="H7" s="348">
        <v>0.11541666666666667</v>
      </c>
      <c r="I7" s="349">
        <v>0.06</v>
      </c>
      <c r="J7" s="219">
        <f t="shared" si="13"/>
        <v>81669.044019574474</v>
      </c>
      <c r="K7" s="219">
        <f t="shared" si="14"/>
        <v>141542.9559804255</v>
      </c>
      <c r="L7" s="94">
        <f t="shared" si="15"/>
        <v>223212</v>
      </c>
      <c r="M7" s="95">
        <f t="shared" si="0"/>
        <v>1562484</v>
      </c>
      <c r="N7" s="96">
        <f t="shared" si="1"/>
        <v>0.42</v>
      </c>
      <c r="O7" s="221">
        <f t="shared" si="2"/>
        <v>6.1837455830388674E-2</v>
      </c>
      <c r="P7" s="95">
        <f t="shared" si="3"/>
        <v>3005611.583333333</v>
      </c>
      <c r="Q7" s="214">
        <f t="shared" si="4"/>
        <v>0.80791666666666662</v>
      </c>
      <c r="R7" s="95">
        <f t="shared" si="5"/>
        <v>571683.30813702126</v>
      </c>
      <c r="S7" s="95">
        <f t="shared" si="6"/>
        <v>693560.48430408491</v>
      </c>
      <c r="T7" s="214">
        <f t="shared" si="16"/>
        <v>0.42</v>
      </c>
      <c r="U7" s="214">
        <f t="shared" si="17"/>
        <v>0.29399999999999993</v>
      </c>
      <c r="V7" s="95">
        <f t="shared" si="18"/>
        <v>571683.30813702126</v>
      </c>
      <c r="W7" s="95">
        <f t="shared" si="7"/>
        <v>1334140.6538349411</v>
      </c>
      <c r="X7" s="214">
        <f t="shared" si="8"/>
        <v>0.56554166666666661</v>
      </c>
      <c r="Y7" s="214">
        <f t="shared" si="9"/>
        <v>849257.73588255304</v>
      </c>
      <c r="Z7" s="214">
        <f t="shared" si="10"/>
        <v>0.36</v>
      </c>
      <c r="AA7" s="214">
        <f t="shared" si="11"/>
        <v>1633641.6169407445</v>
      </c>
      <c r="AB7" s="214">
        <f t="shared" si="12"/>
        <v>0.6925</v>
      </c>
      <c r="AC7" s="1"/>
      <c r="AD7" s="1"/>
      <c r="AE7" s="8"/>
      <c r="AF7" s="8"/>
      <c r="AG7" s="8"/>
    </row>
    <row r="8" spans="1:33">
      <c r="A8" s="12" t="s">
        <v>307</v>
      </c>
      <c r="B8" s="342">
        <v>4</v>
      </c>
      <c r="C8" s="343">
        <f>'Population Distribution'!$D$22*1000</f>
        <v>3720200</v>
      </c>
      <c r="D8" s="344">
        <f>'Population Distribution'!$B$28</f>
        <v>1361150.7336595745</v>
      </c>
      <c r="E8" s="345">
        <v>0.3</v>
      </c>
      <c r="F8" s="346" t="s">
        <v>303</v>
      </c>
      <c r="G8" s="347">
        <v>1</v>
      </c>
      <c r="H8" s="348">
        <v>0.03</v>
      </c>
      <c r="I8" s="349">
        <v>0.03</v>
      </c>
      <c r="J8" s="219">
        <f t="shared" si="13"/>
        <v>40834.522009787237</v>
      </c>
      <c r="K8" s="219">
        <f t="shared" si="14"/>
        <v>70771.477990212748</v>
      </c>
      <c r="L8" s="94">
        <f t="shared" si="15"/>
        <v>111606</v>
      </c>
      <c r="M8" s="95">
        <f t="shared" si="0"/>
        <v>446424</v>
      </c>
      <c r="N8" s="96">
        <f t="shared" si="1"/>
        <v>0.12</v>
      </c>
      <c r="O8" s="221">
        <f t="shared" si="2"/>
        <v>1.7667844522968192E-2</v>
      </c>
      <c r="P8" s="95">
        <f t="shared" si="3"/>
        <v>446424</v>
      </c>
      <c r="Q8" s="214">
        <f t="shared" si="4"/>
        <v>0.12</v>
      </c>
      <c r="R8" s="95">
        <f t="shared" si="5"/>
        <v>163338.08803914895</v>
      </c>
      <c r="S8" s="95">
        <f t="shared" si="6"/>
        <v>198160.13837259568</v>
      </c>
      <c r="T8" s="214">
        <f t="shared" si="16"/>
        <v>0.12000000000000001</v>
      </c>
      <c r="U8" s="214">
        <f t="shared" si="17"/>
        <v>8.3999999999999991E-2</v>
      </c>
      <c r="V8" s="95">
        <f t="shared" si="18"/>
        <v>163338.08803914895</v>
      </c>
      <c r="W8" s="95">
        <f t="shared" si="7"/>
        <v>198160.13837259568</v>
      </c>
      <c r="X8" s="214">
        <f t="shared" si="8"/>
        <v>8.3999999999999991E-2</v>
      </c>
      <c r="Y8" s="214">
        <f t="shared" si="9"/>
        <v>212314.43397063826</v>
      </c>
      <c r="Z8" s="214">
        <f t="shared" si="10"/>
        <v>0.09</v>
      </c>
      <c r="AA8" s="214">
        <f t="shared" si="11"/>
        <v>212314.43397063826</v>
      </c>
      <c r="AB8" s="214">
        <f t="shared" si="12"/>
        <v>0.09</v>
      </c>
      <c r="AC8" s="1"/>
      <c r="AD8" s="1"/>
      <c r="AE8" s="8"/>
      <c r="AF8" s="8"/>
      <c r="AG8" s="8"/>
    </row>
    <row r="9" spans="1:33">
      <c r="A9" s="12" t="s">
        <v>308</v>
      </c>
      <c r="B9" s="342">
        <v>6</v>
      </c>
      <c r="C9" s="343">
        <f>'Population Distribution'!$D$22*1000</f>
        <v>3720200</v>
      </c>
      <c r="D9" s="344">
        <f>'Population Distribution'!$B$28</f>
        <v>1361150.7336595745</v>
      </c>
      <c r="E9" s="345">
        <v>0.3</v>
      </c>
      <c r="F9" s="346" t="s">
        <v>303</v>
      </c>
      <c r="G9" s="347">
        <v>1</v>
      </c>
      <c r="H9" s="348">
        <v>8.8333333333333333E-2</v>
      </c>
      <c r="I9" s="349">
        <v>0.04</v>
      </c>
      <c r="J9" s="219">
        <f t="shared" si="13"/>
        <v>54446.02934638298</v>
      </c>
      <c r="K9" s="219">
        <f t="shared" si="14"/>
        <v>94361.970653617012</v>
      </c>
      <c r="L9" s="94">
        <f t="shared" si="15"/>
        <v>148808</v>
      </c>
      <c r="M9" s="95">
        <f t="shared" si="0"/>
        <v>892848</v>
      </c>
      <c r="N9" s="96">
        <f t="shared" si="1"/>
        <v>0.24</v>
      </c>
      <c r="O9" s="221">
        <f t="shared" si="2"/>
        <v>3.5335689045936383E-2</v>
      </c>
      <c r="P9" s="95">
        <f t="shared" si="3"/>
        <v>1971706</v>
      </c>
      <c r="Q9" s="214">
        <f t="shared" si="4"/>
        <v>0.53</v>
      </c>
      <c r="R9" s="95">
        <f t="shared" si="5"/>
        <v>326676.1760782979</v>
      </c>
      <c r="S9" s="95">
        <f t="shared" si="6"/>
        <v>396320.27674519143</v>
      </c>
      <c r="T9" s="214">
        <f t="shared" si="16"/>
        <v>0.24000000000000002</v>
      </c>
      <c r="U9" s="214">
        <f t="shared" si="17"/>
        <v>0.16799999999999998</v>
      </c>
      <c r="V9" s="95">
        <f t="shared" si="18"/>
        <v>326676.1760782979</v>
      </c>
      <c r="W9" s="95">
        <f t="shared" si="7"/>
        <v>875207.27781229781</v>
      </c>
      <c r="X9" s="214">
        <f t="shared" si="8"/>
        <v>0.371</v>
      </c>
      <c r="Y9" s="214">
        <f t="shared" si="9"/>
        <v>471809.85326808505</v>
      </c>
      <c r="Z9" s="214">
        <f t="shared" si="10"/>
        <v>0.2</v>
      </c>
      <c r="AA9" s="214">
        <f t="shared" si="11"/>
        <v>1041913.4259670211</v>
      </c>
      <c r="AB9" s="214">
        <f t="shared" si="12"/>
        <v>0.44166666666666665</v>
      </c>
      <c r="AC9" s="1"/>
      <c r="AD9" s="1"/>
      <c r="AE9" s="8"/>
      <c r="AF9" s="8"/>
      <c r="AG9" s="8"/>
    </row>
    <row r="10" spans="1:33" ht="60">
      <c r="A10" s="12" t="s">
        <v>309</v>
      </c>
      <c r="B10" s="342">
        <v>7</v>
      </c>
      <c r="C10" s="343">
        <f>'Population Distribution'!$D$22*1000</f>
        <v>3720200</v>
      </c>
      <c r="D10" s="344">
        <f>'Population Distribution'!$B$28</f>
        <v>1361150.7336595745</v>
      </c>
      <c r="E10" s="345">
        <v>0.3</v>
      </c>
      <c r="F10" s="346" t="s">
        <v>303</v>
      </c>
      <c r="G10" s="347">
        <v>1</v>
      </c>
      <c r="H10" s="348">
        <v>7.3333333333333334E-2</v>
      </c>
      <c r="I10" s="349">
        <v>0.01</v>
      </c>
      <c r="J10" s="219">
        <f t="shared" si="13"/>
        <v>13611.507336595745</v>
      </c>
      <c r="K10" s="219">
        <f t="shared" si="14"/>
        <v>23590.492663404253</v>
      </c>
      <c r="L10" s="94">
        <f t="shared" si="15"/>
        <v>37202</v>
      </c>
      <c r="M10" s="95">
        <f t="shared" si="0"/>
        <v>260414</v>
      </c>
      <c r="N10" s="96">
        <f t="shared" si="1"/>
        <v>7.0000000000000007E-2</v>
      </c>
      <c r="O10" s="221">
        <f t="shared" si="2"/>
        <v>1.0306242638398114E-2</v>
      </c>
      <c r="P10" s="95">
        <f t="shared" si="3"/>
        <v>1909702.6666666667</v>
      </c>
      <c r="Q10" s="214">
        <f t="shared" si="4"/>
        <v>0.51333333333333331</v>
      </c>
      <c r="R10" s="95">
        <f t="shared" si="5"/>
        <v>95280.55135617021</v>
      </c>
      <c r="S10" s="95">
        <f t="shared" si="6"/>
        <v>115593.41405068082</v>
      </c>
      <c r="T10" s="214">
        <f t="shared" si="16"/>
        <v>6.9999999999999993E-2</v>
      </c>
      <c r="U10" s="214">
        <f t="shared" si="17"/>
        <v>4.8999999999999995E-2</v>
      </c>
      <c r="V10" s="95">
        <f t="shared" si="18"/>
        <v>95280.55135617021</v>
      </c>
      <c r="W10" s="95">
        <f t="shared" si="7"/>
        <v>847685.03637165937</v>
      </c>
      <c r="X10" s="214">
        <f t="shared" si="8"/>
        <v>0.35933333333333328</v>
      </c>
      <c r="Y10" s="214">
        <f t="shared" si="9"/>
        <v>141542.9559804255</v>
      </c>
      <c r="Z10" s="214">
        <f t="shared" si="10"/>
        <v>5.9999999999999991E-2</v>
      </c>
      <c r="AA10" s="214">
        <f t="shared" si="11"/>
        <v>1037981.6771897872</v>
      </c>
      <c r="AB10" s="214">
        <f t="shared" si="12"/>
        <v>0.44</v>
      </c>
      <c r="AC10" s="1"/>
      <c r="AD10" s="1"/>
      <c r="AE10" s="8"/>
      <c r="AF10" s="8"/>
      <c r="AG10" s="8"/>
    </row>
    <row r="11" spans="1:33">
      <c r="A11" s="12" t="s">
        <v>310</v>
      </c>
      <c r="B11" s="342">
        <v>13</v>
      </c>
      <c r="C11" s="343">
        <f>'Population Distribution'!$D$22*1000</f>
        <v>3720200</v>
      </c>
      <c r="D11" s="344">
        <f>'Population Distribution'!$B$28</f>
        <v>1361150.7336595745</v>
      </c>
      <c r="E11" s="345">
        <v>0.3</v>
      </c>
      <c r="F11" s="346" t="s">
        <v>303</v>
      </c>
      <c r="G11" s="347">
        <v>1</v>
      </c>
      <c r="H11" s="348">
        <v>5.4583333333333331E-2</v>
      </c>
      <c r="I11" s="349">
        <v>0.03</v>
      </c>
      <c r="J11" s="219">
        <f t="shared" si="13"/>
        <v>40834.522009787237</v>
      </c>
      <c r="K11" s="219">
        <f t="shared" si="14"/>
        <v>70771.477990212748</v>
      </c>
      <c r="L11" s="94">
        <f t="shared" si="15"/>
        <v>111606</v>
      </c>
      <c r="M11" s="95">
        <f t="shared" si="0"/>
        <v>1450878</v>
      </c>
      <c r="N11" s="96">
        <f t="shared" si="1"/>
        <v>0.39</v>
      </c>
      <c r="O11" s="221">
        <f t="shared" si="2"/>
        <v>5.7420494699646635E-2</v>
      </c>
      <c r="P11" s="95">
        <f t="shared" si="3"/>
        <v>2639791.9166666665</v>
      </c>
      <c r="Q11" s="214">
        <f t="shared" si="4"/>
        <v>0.70958333333333334</v>
      </c>
      <c r="R11" s="95">
        <f t="shared" si="5"/>
        <v>530848.78612723411</v>
      </c>
      <c r="S11" s="95">
        <f t="shared" si="6"/>
        <v>644020.44971093605</v>
      </c>
      <c r="T11" s="214">
        <f t="shared" si="16"/>
        <v>0.39</v>
      </c>
      <c r="U11" s="214">
        <f t="shared" si="17"/>
        <v>0.27299999999999996</v>
      </c>
      <c r="V11" s="95">
        <f t="shared" si="18"/>
        <v>530848.78612723411</v>
      </c>
      <c r="W11" s="95">
        <f t="shared" si="7"/>
        <v>1171759.4293351753</v>
      </c>
      <c r="X11" s="214">
        <f t="shared" si="8"/>
        <v>0.49670833333333331</v>
      </c>
      <c r="Y11" s="214">
        <f t="shared" si="9"/>
        <v>849257.73588255304</v>
      </c>
      <c r="Z11" s="214">
        <f t="shared" si="10"/>
        <v>0.36</v>
      </c>
      <c r="AA11" s="214">
        <f t="shared" si="11"/>
        <v>1545177.2694529784</v>
      </c>
      <c r="AB11" s="214">
        <f t="shared" si="12"/>
        <v>0.65499999999999992</v>
      </c>
      <c r="AC11" s="1"/>
      <c r="AD11" s="1"/>
      <c r="AE11" s="8"/>
      <c r="AF11" s="8"/>
      <c r="AG11" s="8"/>
    </row>
    <row r="12" spans="1:33" ht="30">
      <c r="A12" s="12" t="s">
        <v>311</v>
      </c>
      <c r="B12" s="342">
        <v>11</v>
      </c>
      <c r="C12" s="343">
        <f>'Population Distribution'!$D$22*1000</f>
        <v>3720200</v>
      </c>
      <c r="D12" s="344">
        <f>'Population Distribution'!$B$28</f>
        <v>1361150.7336595745</v>
      </c>
      <c r="E12" s="345">
        <v>0.3</v>
      </c>
      <c r="F12" s="346" t="s">
        <v>303</v>
      </c>
      <c r="G12" s="347">
        <v>1</v>
      </c>
      <c r="H12" s="348">
        <v>0.15166666666666667</v>
      </c>
      <c r="I12" s="349">
        <v>0.03</v>
      </c>
      <c r="J12" s="219">
        <f t="shared" si="13"/>
        <v>40834.522009787237</v>
      </c>
      <c r="K12" s="219">
        <f t="shared" si="14"/>
        <v>70771.477990212748</v>
      </c>
      <c r="L12" s="94">
        <f t="shared" si="15"/>
        <v>111606</v>
      </c>
      <c r="M12" s="95">
        <f t="shared" si="0"/>
        <v>1227666</v>
      </c>
      <c r="N12" s="96">
        <f t="shared" si="1"/>
        <v>0.33</v>
      </c>
      <c r="O12" s="221">
        <f t="shared" si="2"/>
        <v>4.8586572438162536E-2</v>
      </c>
      <c r="P12" s="95">
        <f t="shared" si="3"/>
        <v>6206533.666666667</v>
      </c>
      <c r="Q12" s="214">
        <f t="shared" si="4"/>
        <v>1.6683333333333334</v>
      </c>
      <c r="R12" s="95">
        <f t="shared" si="5"/>
        <v>449179.74210765958</v>
      </c>
      <c r="S12" s="95">
        <f t="shared" si="6"/>
        <v>544940.38052463811</v>
      </c>
      <c r="T12" s="214">
        <f t="shared" si="16"/>
        <v>0.33</v>
      </c>
      <c r="U12" s="214">
        <f t="shared" si="17"/>
        <v>0.23099999999999996</v>
      </c>
      <c r="V12" s="95">
        <f t="shared" si="18"/>
        <v>449179.74210765958</v>
      </c>
      <c r="W12" s="95">
        <f t="shared" si="7"/>
        <v>2754976.3682078933</v>
      </c>
      <c r="X12" s="214">
        <f t="shared" si="8"/>
        <v>1.1678333333333333</v>
      </c>
      <c r="Y12" s="214">
        <f t="shared" si="9"/>
        <v>707714.77990212757</v>
      </c>
      <c r="Z12" s="214">
        <f t="shared" si="10"/>
        <v>0.3</v>
      </c>
      <c r="AA12" s="214">
        <f t="shared" si="11"/>
        <v>3577891.3872829783</v>
      </c>
      <c r="AB12" s="214">
        <f t="shared" si="12"/>
        <v>1.5166666666666666</v>
      </c>
      <c r="AC12" s="1"/>
      <c r="AD12" s="1"/>
      <c r="AE12" s="8"/>
      <c r="AF12" s="8"/>
      <c r="AG12" s="8"/>
    </row>
    <row r="13" spans="1:33">
      <c r="A13" s="12" t="s">
        <v>312</v>
      </c>
      <c r="B13" s="342">
        <v>11</v>
      </c>
      <c r="C13" s="343">
        <f>'Population Distribution'!$D$22*1000</f>
        <v>3720200</v>
      </c>
      <c r="D13" s="344">
        <f>'Population Distribution'!$B$28</f>
        <v>1361150.7336595745</v>
      </c>
      <c r="E13" s="345">
        <v>0.3</v>
      </c>
      <c r="F13" s="346" t="s">
        <v>313</v>
      </c>
      <c r="G13" s="350">
        <v>3</v>
      </c>
      <c r="H13" s="348">
        <v>4.791666666666667E-2</v>
      </c>
      <c r="I13" s="349">
        <v>0.01</v>
      </c>
      <c r="J13" s="219">
        <f t="shared" si="13"/>
        <v>13611.507336595745</v>
      </c>
      <c r="K13" s="219">
        <f t="shared" si="14"/>
        <v>23590.492663404253</v>
      </c>
      <c r="L13" s="94">
        <f t="shared" si="15"/>
        <v>37202</v>
      </c>
      <c r="M13" s="95">
        <f t="shared" si="0"/>
        <v>409222</v>
      </c>
      <c r="N13" s="96">
        <f t="shared" si="1"/>
        <v>0.11</v>
      </c>
      <c r="O13" s="221">
        <f t="shared" si="2"/>
        <v>1.6195524146054179E-2</v>
      </c>
      <c r="P13" s="95">
        <f t="shared" si="3"/>
        <v>1960855.4166666667</v>
      </c>
      <c r="Q13" s="214">
        <f t="shared" si="4"/>
        <v>0.52708333333333335</v>
      </c>
      <c r="R13" s="95">
        <f t="shared" si="5"/>
        <v>149726.58070255318</v>
      </c>
      <c r="S13" s="95">
        <f t="shared" si="6"/>
        <v>181646.79350821275</v>
      </c>
      <c r="T13" s="214">
        <f t="shared" si="16"/>
        <v>0.10999999999999999</v>
      </c>
      <c r="U13" s="214">
        <f t="shared" si="17"/>
        <v>7.6999999999999999E-2</v>
      </c>
      <c r="V13" s="95">
        <f t="shared" si="18"/>
        <v>149726.58070255321</v>
      </c>
      <c r="W13" s="95">
        <f t="shared" si="7"/>
        <v>870390.885560186</v>
      </c>
      <c r="X13" s="214">
        <f t="shared" si="8"/>
        <v>0.36895833333333333</v>
      </c>
      <c r="Y13" s="214">
        <f t="shared" si="9"/>
        <v>188723.94130723402</v>
      </c>
      <c r="Z13" s="214">
        <f t="shared" si="10"/>
        <v>0.08</v>
      </c>
      <c r="AA13" s="214">
        <f t="shared" si="11"/>
        <v>904302.21876382979</v>
      </c>
      <c r="AB13" s="214">
        <f t="shared" si="12"/>
        <v>0.38333333333333336</v>
      </c>
      <c r="AC13" s="1"/>
      <c r="AD13" s="1"/>
      <c r="AE13" s="8"/>
      <c r="AF13" s="8"/>
      <c r="AG13" s="8"/>
    </row>
    <row r="14" spans="1:33">
      <c r="A14" s="12" t="s">
        <v>314</v>
      </c>
      <c r="B14" s="342">
        <v>9</v>
      </c>
      <c r="C14" s="343">
        <f>'Population Distribution'!$D$22*1000</f>
        <v>3720200</v>
      </c>
      <c r="D14" s="344">
        <f>'Population Distribution'!$B$28</f>
        <v>1361150.7336595745</v>
      </c>
      <c r="E14" s="345">
        <v>0.3</v>
      </c>
      <c r="F14" s="346" t="s">
        <v>315</v>
      </c>
      <c r="G14" s="350">
        <f>B14/2</f>
        <v>4.5</v>
      </c>
      <c r="H14" s="348">
        <v>2.5000000000000001E-3</v>
      </c>
      <c r="I14" s="349">
        <v>5.0000000000000001E-4</v>
      </c>
      <c r="J14" s="219">
        <f t="shared" si="13"/>
        <v>680.5753668297873</v>
      </c>
      <c r="K14" s="219">
        <f t="shared" si="14"/>
        <v>1179.5246331702126</v>
      </c>
      <c r="L14" s="94">
        <f t="shared" si="15"/>
        <v>1860.1000000000001</v>
      </c>
      <c r="M14" s="95">
        <f t="shared" si="0"/>
        <v>16740.900000000001</v>
      </c>
      <c r="N14" s="96">
        <f t="shared" si="1"/>
        <v>4.5000000000000005E-3</v>
      </c>
      <c r="O14" s="221">
        <f t="shared" si="2"/>
        <v>6.6254416961130736E-4</v>
      </c>
      <c r="P14" s="95">
        <f t="shared" si="3"/>
        <v>83704.5</v>
      </c>
      <c r="Q14" s="214">
        <f t="shared" si="4"/>
        <v>2.2499999999999999E-2</v>
      </c>
      <c r="R14" s="95">
        <f t="shared" si="5"/>
        <v>6125.1783014680859</v>
      </c>
      <c r="S14" s="95">
        <f t="shared" si="6"/>
        <v>7431.0051889723391</v>
      </c>
      <c r="T14" s="214">
        <f t="shared" si="16"/>
        <v>4.5000000000000005E-3</v>
      </c>
      <c r="U14" s="214">
        <f t="shared" si="17"/>
        <v>3.15E-3</v>
      </c>
      <c r="V14" s="95">
        <f t="shared" si="18"/>
        <v>6125.1783014680859</v>
      </c>
      <c r="W14" s="95">
        <f t="shared" si="7"/>
        <v>37155.025944861693</v>
      </c>
      <c r="X14" s="214">
        <f t="shared" si="8"/>
        <v>1.5749999999999997E-2</v>
      </c>
      <c r="Y14" s="214">
        <f t="shared" si="9"/>
        <v>5307.8608492659578</v>
      </c>
      <c r="Z14" s="214">
        <f t="shared" si="10"/>
        <v>2.2500000000000003E-3</v>
      </c>
      <c r="AA14" s="214">
        <f t="shared" si="11"/>
        <v>26539.304246329786</v>
      </c>
      <c r="AB14" s="214">
        <f t="shared" si="12"/>
        <v>1.1250000000000001E-2</v>
      </c>
      <c r="AC14" s="1"/>
      <c r="AD14" s="1"/>
      <c r="AE14" s="8"/>
      <c r="AF14" s="8"/>
      <c r="AG14" s="8"/>
    </row>
    <row r="15" spans="1:33">
      <c r="A15" s="89" t="s">
        <v>117</v>
      </c>
      <c r="B15" s="351">
        <v>8</v>
      </c>
      <c r="C15" s="343">
        <f>'Population Distribution'!$D$22*1000</f>
        <v>3720200</v>
      </c>
      <c r="D15" s="344">
        <f>'Population Distribution'!$B$28</f>
        <v>1361150.7336595745</v>
      </c>
      <c r="E15" s="345">
        <v>0.3</v>
      </c>
      <c r="F15" s="346" t="s">
        <v>303</v>
      </c>
      <c r="G15" s="347">
        <v>1</v>
      </c>
      <c r="H15" s="348">
        <v>8.3750000000000005E-2</v>
      </c>
      <c r="I15" s="349">
        <v>0.05</v>
      </c>
      <c r="J15" s="219">
        <f t="shared" si="13"/>
        <v>68057.536682978724</v>
      </c>
      <c r="K15" s="219">
        <f t="shared" si="14"/>
        <v>117952.46331702126</v>
      </c>
      <c r="L15" s="94">
        <f t="shared" si="15"/>
        <v>186010</v>
      </c>
      <c r="M15" s="95">
        <f t="shared" si="0"/>
        <v>1488080</v>
      </c>
      <c r="N15" s="96">
        <f t="shared" si="1"/>
        <v>0.4</v>
      </c>
      <c r="O15" s="221">
        <f t="shared" si="2"/>
        <v>5.8892815076560648E-2</v>
      </c>
      <c r="P15" s="95">
        <f t="shared" si="3"/>
        <v>2492534</v>
      </c>
      <c r="Q15" s="214">
        <f t="shared" si="4"/>
        <v>0.67</v>
      </c>
      <c r="R15" s="95">
        <f t="shared" si="5"/>
        <v>544460.29346382979</v>
      </c>
      <c r="S15" s="95">
        <f t="shared" si="6"/>
        <v>660533.79457531904</v>
      </c>
      <c r="T15" s="214">
        <f t="shared" si="16"/>
        <v>0.39999999999999997</v>
      </c>
      <c r="U15" s="214">
        <f t="shared" si="17"/>
        <v>0.27999999999999997</v>
      </c>
      <c r="V15" s="95">
        <f t="shared" si="18"/>
        <v>544460.29346382979</v>
      </c>
      <c r="W15" s="95">
        <f t="shared" si="7"/>
        <v>1106394.1059136596</v>
      </c>
      <c r="X15" s="214">
        <f t="shared" si="8"/>
        <v>0.46900000000000003</v>
      </c>
      <c r="Y15" s="214">
        <f t="shared" si="9"/>
        <v>825667.24321914895</v>
      </c>
      <c r="Z15" s="214">
        <f t="shared" si="10"/>
        <v>0.35000000000000003</v>
      </c>
      <c r="AA15" s="214">
        <f t="shared" si="11"/>
        <v>1382992.6323920744</v>
      </c>
      <c r="AB15" s="214">
        <f t="shared" si="12"/>
        <v>0.58625000000000005</v>
      </c>
      <c r="AC15" s="1"/>
      <c r="AD15" s="1"/>
      <c r="AE15" s="8"/>
      <c r="AF15" s="8"/>
      <c r="AG15" s="8"/>
    </row>
    <row r="16" spans="1:33">
      <c r="A16" s="89" t="s">
        <v>316</v>
      </c>
      <c r="B16" s="351">
        <v>15</v>
      </c>
      <c r="C16" s="343">
        <f>'Population Distribution'!$D$22*1000</f>
        <v>3720200</v>
      </c>
      <c r="D16" s="344">
        <f>'Population Distribution'!$B$28</f>
        <v>1361150.7336595745</v>
      </c>
      <c r="E16" s="345">
        <v>0.3</v>
      </c>
      <c r="F16" s="346" t="s">
        <v>313</v>
      </c>
      <c r="G16" s="350">
        <v>3</v>
      </c>
      <c r="H16" s="348">
        <v>4.2500000000000003E-2</v>
      </c>
      <c r="I16" s="349">
        <v>0.03</v>
      </c>
      <c r="J16" s="219">
        <f t="shared" si="13"/>
        <v>40834.522009787237</v>
      </c>
      <c r="K16" s="219">
        <f t="shared" si="14"/>
        <v>70771.477990212748</v>
      </c>
      <c r="L16" s="94">
        <f t="shared" si="15"/>
        <v>111606</v>
      </c>
      <c r="M16" s="95">
        <f t="shared" si="0"/>
        <v>1674090</v>
      </c>
      <c r="N16" s="96">
        <f t="shared" si="1"/>
        <v>0.45</v>
      </c>
      <c r="O16" s="221">
        <f t="shared" si="2"/>
        <v>6.6254416961130727E-2</v>
      </c>
      <c r="P16" s="95">
        <f t="shared" si="3"/>
        <v>2371627.5</v>
      </c>
      <c r="Q16" s="214">
        <f t="shared" si="4"/>
        <v>0.63749999999999996</v>
      </c>
      <c r="R16" s="95">
        <f t="shared" si="5"/>
        <v>612517.83014680853</v>
      </c>
      <c r="S16" s="95">
        <f t="shared" si="6"/>
        <v>743100.51889723376</v>
      </c>
      <c r="T16" s="214">
        <f t="shared" si="16"/>
        <v>0.45</v>
      </c>
      <c r="U16" s="214">
        <f t="shared" si="17"/>
        <v>0.31499999999999995</v>
      </c>
      <c r="V16" s="95">
        <f t="shared" si="18"/>
        <v>612517.83014680853</v>
      </c>
      <c r="W16" s="95">
        <f t="shared" si="7"/>
        <v>1052725.7351044149</v>
      </c>
      <c r="X16" s="214">
        <f t="shared" si="8"/>
        <v>0.44625000000000004</v>
      </c>
      <c r="Y16" s="214">
        <f t="shared" si="9"/>
        <v>849257.73588255304</v>
      </c>
      <c r="Z16" s="214">
        <f t="shared" si="10"/>
        <v>0.36</v>
      </c>
      <c r="AA16" s="214">
        <f t="shared" si="11"/>
        <v>1203115.1258336171</v>
      </c>
      <c r="AB16" s="214">
        <f t="shared" si="12"/>
        <v>0.51000000000000012</v>
      </c>
      <c r="AC16" s="1"/>
      <c r="AD16" s="1"/>
      <c r="AE16" s="8"/>
      <c r="AF16" s="8"/>
      <c r="AG16" s="8"/>
    </row>
    <row r="17" spans="1:33" ht="90">
      <c r="A17" s="90" t="s">
        <v>317</v>
      </c>
      <c r="B17" s="351">
        <v>25</v>
      </c>
      <c r="C17" s="343">
        <f>'Population Distribution'!$D$22*1000</f>
        <v>3720200</v>
      </c>
      <c r="D17" s="344">
        <f>'Population Distribution'!$B$28</f>
        <v>1361150.7336595745</v>
      </c>
      <c r="E17" s="345">
        <v>0.3</v>
      </c>
      <c r="F17" s="346" t="s">
        <v>313</v>
      </c>
      <c r="G17" s="350">
        <v>3</v>
      </c>
      <c r="H17" s="348">
        <v>9.1249999999999998E-2</v>
      </c>
      <c r="I17" s="352">
        <v>0.03</v>
      </c>
      <c r="J17" s="219">
        <f t="shared" si="13"/>
        <v>40834.522009787237</v>
      </c>
      <c r="K17" s="219">
        <f t="shared" si="14"/>
        <v>70771.477990212748</v>
      </c>
      <c r="L17" s="94">
        <f t="shared" si="15"/>
        <v>111606</v>
      </c>
      <c r="M17" s="95">
        <f t="shared" si="0"/>
        <v>2790150</v>
      </c>
      <c r="N17" s="96">
        <f t="shared" si="1"/>
        <v>0.75</v>
      </c>
      <c r="O17" s="221">
        <f t="shared" si="2"/>
        <v>0.11042402826855122</v>
      </c>
      <c r="P17" s="95">
        <f t="shared" si="3"/>
        <v>8486706.25</v>
      </c>
      <c r="Q17" s="214">
        <f t="shared" si="4"/>
        <v>2.28125</v>
      </c>
      <c r="R17" s="95">
        <f t="shared" si="5"/>
        <v>1020863.050244681</v>
      </c>
      <c r="S17" s="95">
        <f t="shared" si="6"/>
        <v>1238500.864828723</v>
      </c>
      <c r="T17" s="214">
        <f t="shared" si="16"/>
        <v>0.75</v>
      </c>
      <c r="U17" s="214">
        <f t="shared" si="17"/>
        <v>0.52499999999999991</v>
      </c>
      <c r="V17" s="95">
        <f t="shared" si="18"/>
        <v>1020863.0502446807</v>
      </c>
      <c r="W17" s="95">
        <f t="shared" si="7"/>
        <v>3767106.7971873661</v>
      </c>
      <c r="X17" s="214">
        <f t="shared" si="8"/>
        <v>1.5968749999999998</v>
      </c>
      <c r="Y17" s="214">
        <f t="shared" si="9"/>
        <v>1556972.5157846804</v>
      </c>
      <c r="Z17" s="214">
        <f t="shared" si="10"/>
        <v>0.65999999999999992</v>
      </c>
      <c r="AA17" s="214">
        <f t="shared" si="11"/>
        <v>4735791.402178403</v>
      </c>
      <c r="AB17" s="214">
        <f t="shared" si="12"/>
        <v>2.0074999999999998</v>
      </c>
      <c r="AC17" s="1"/>
      <c r="AD17" s="1"/>
      <c r="AE17" s="8"/>
      <c r="AF17" s="8"/>
      <c r="AG17" s="8"/>
    </row>
    <row r="18" spans="1:33" ht="15.75">
      <c r="A18" s="13" t="s">
        <v>318</v>
      </c>
      <c r="B18" s="342">
        <v>20</v>
      </c>
      <c r="C18" s="343">
        <f>'Population Distribution'!$D$22*1000</f>
        <v>3720200</v>
      </c>
      <c r="D18" s="344">
        <f>'Population Distribution'!$B$28</f>
        <v>1361150.7336595745</v>
      </c>
      <c r="E18" s="345">
        <v>0.3</v>
      </c>
      <c r="F18" s="346" t="s">
        <v>303</v>
      </c>
      <c r="G18" s="347">
        <v>1</v>
      </c>
      <c r="H18" s="348">
        <v>0.01</v>
      </c>
      <c r="I18" s="352">
        <v>0.01</v>
      </c>
      <c r="J18" s="219">
        <f t="shared" si="13"/>
        <v>13611.507336595745</v>
      </c>
      <c r="K18" s="219">
        <f t="shared" si="14"/>
        <v>23590.492663404253</v>
      </c>
      <c r="L18" s="94">
        <f t="shared" si="15"/>
        <v>37202</v>
      </c>
      <c r="M18" s="95">
        <f t="shared" si="0"/>
        <v>744040</v>
      </c>
      <c r="N18" s="96">
        <f t="shared" si="1"/>
        <v>0.2</v>
      </c>
      <c r="O18" s="221">
        <f t="shared" si="2"/>
        <v>2.9446407538280324E-2</v>
      </c>
      <c r="P18" s="95">
        <f t="shared" si="3"/>
        <v>744040</v>
      </c>
      <c r="Q18" s="214">
        <f t="shared" si="4"/>
        <v>0.2</v>
      </c>
      <c r="R18" s="95">
        <f t="shared" si="5"/>
        <v>272230.14673191489</v>
      </c>
      <c r="S18" s="95">
        <f t="shared" si="6"/>
        <v>330266.89728765952</v>
      </c>
      <c r="T18" s="214">
        <f t="shared" si="16"/>
        <v>0.19999999999999998</v>
      </c>
      <c r="U18" s="214">
        <f t="shared" si="17"/>
        <v>0.13999999999999999</v>
      </c>
      <c r="V18" s="95">
        <f t="shared" si="18"/>
        <v>272230.14673191489</v>
      </c>
      <c r="W18" s="95">
        <f t="shared" si="7"/>
        <v>330266.89728765952</v>
      </c>
      <c r="X18" s="214">
        <f t="shared" si="8"/>
        <v>0.13999999999999999</v>
      </c>
      <c r="Y18" s="214">
        <f t="shared" si="9"/>
        <v>448219.36060468078</v>
      </c>
      <c r="Z18" s="214">
        <f t="shared" si="10"/>
        <v>0.19</v>
      </c>
      <c r="AA18" s="214">
        <f t="shared" si="11"/>
        <v>448219.36060468078</v>
      </c>
      <c r="AB18" s="214">
        <f t="shared" si="12"/>
        <v>0.19</v>
      </c>
      <c r="AC18" s="1"/>
      <c r="AD18" s="1"/>
      <c r="AE18" s="8"/>
      <c r="AF18" s="8"/>
      <c r="AG18" s="8"/>
    </row>
    <row r="19" spans="1:33" ht="15.75">
      <c r="A19" s="13" t="s">
        <v>260</v>
      </c>
      <c r="B19" s="342">
        <v>30</v>
      </c>
      <c r="C19" s="343">
        <f>'Population Distribution'!$D$22*1000</f>
        <v>3720200</v>
      </c>
      <c r="D19" s="344">
        <f>'Population Distribution'!$B$28</f>
        <v>1361150.7336595745</v>
      </c>
      <c r="E19" s="345">
        <v>0.3</v>
      </c>
      <c r="F19" s="346" t="s">
        <v>303</v>
      </c>
      <c r="G19" s="347">
        <v>1</v>
      </c>
      <c r="H19" s="348">
        <v>0.01</v>
      </c>
      <c r="I19" s="352">
        <v>0.01</v>
      </c>
      <c r="J19" s="219">
        <f t="shared" si="13"/>
        <v>13611.507336595745</v>
      </c>
      <c r="K19" s="219">
        <f t="shared" si="14"/>
        <v>23590.492663404253</v>
      </c>
      <c r="L19" s="94">
        <f t="shared" si="15"/>
        <v>37202</v>
      </c>
      <c r="M19" s="95">
        <f t="shared" si="0"/>
        <v>1116060</v>
      </c>
      <c r="N19" s="96">
        <f t="shared" si="1"/>
        <v>0.3</v>
      </c>
      <c r="O19" s="221">
        <f t="shared" si="2"/>
        <v>4.4169611307420482E-2</v>
      </c>
      <c r="P19" s="95">
        <f t="shared" si="3"/>
        <v>1116060</v>
      </c>
      <c r="Q19" s="214">
        <f t="shared" si="4"/>
        <v>0.3</v>
      </c>
      <c r="R19" s="95">
        <f t="shared" si="5"/>
        <v>408345.22009787237</v>
      </c>
      <c r="S19" s="95">
        <f t="shared" si="6"/>
        <v>495400.34593148925</v>
      </c>
      <c r="T19" s="214">
        <f t="shared" si="16"/>
        <v>0.3</v>
      </c>
      <c r="U19" s="214">
        <f t="shared" si="17"/>
        <v>0.21</v>
      </c>
      <c r="V19" s="95">
        <f t="shared" si="18"/>
        <v>408345.22009787243</v>
      </c>
      <c r="W19" s="95">
        <f t="shared" si="7"/>
        <v>495400.34593148925</v>
      </c>
      <c r="X19" s="214">
        <f t="shared" si="8"/>
        <v>0.21</v>
      </c>
      <c r="Y19" s="214">
        <f t="shared" si="9"/>
        <v>684124.28723872325</v>
      </c>
      <c r="Z19" s="214">
        <f t="shared" si="10"/>
        <v>0.28999999999999998</v>
      </c>
      <c r="AA19" s="214">
        <f t="shared" si="11"/>
        <v>684124.28723872337</v>
      </c>
      <c r="AB19" s="214">
        <f t="shared" si="12"/>
        <v>0.29000000000000004</v>
      </c>
      <c r="AC19" s="1"/>
      <c r="AD19" s="1"/>
      <c r="AE19" s="8"/>
      <c r="AF19" s="8"/>
      <c r="AG19" s="8"/>
    </row>
    <row r="20" spans="1:33" ht="15.75">
      <c r="A20" s="13" t="s">
        <v>319</v>
      </c>
      <c r="B20" s="342">
        <v>8</v>
      </c>
      <c r="C20" s="343">
        <f>'Population Distribution'!$D$22*1000</f>
        <v>3720200</v>
      </c>
      <c r="D20" s="344">
        <f>'Population Distribution'!$B$28</f>
        <v>1361150.7336595745</v>
      </c>
      <c r="E20" s="345">
        <v>0.3</v>
      </c>
      <c r="F20" s="346" t="s">
        <v>313</v>
      </c>
      <c r="G20" s="350">
        <v>3</v>
      </c>
      <c r="H20" s="348">
        <v>5.0000000000000001E-3</v>
      </c>
      <c r="I20" s="352">
        <v>5.0000000000000001E-3</v>
      </c>
      <c r="J20" s="219">
        <f t="shared" si="13"/>
        <v>6805.7536682978725</v>
      </c>
      <c r="K20" s="219">
        <f t="shared" si="14"/>
        <v>11795.246331702127</v>
      </c>
      <c r="L20" s="94">
        <f t="shared" si="15"/>
        <v>18601</v>
      </c>
      <c r="M20" s="95">
        <f t="shared" si="0"/>
        <v>148808</v>
      </c>
      <c r="N20" s="96">
        <f t="shared" si="1"/>
        <v>0.04</v>
      </c>
      <c r="O20" s="221">
        <f t="shared" si="2"/>
        <v>5.8892815076560644E-3</v>
      </c>
      <c r="P20" s="95">
        <f t="shared" si="3"/>
        <v>148808</v>
      </c>
      <c r="Q20" s="214">
        <f t="shared" si="4"/>
        <v>0.04</v>
      </c>
      <c r="R20" s="95">
        <f t="shared" si="5"/>
        <v>54446.02934638298</v>
      </c>
      <c r="S20" s="95">
        <f t="shared" si="6"/>
        <v>66053.379457531904</v>
      </c>
      <c r="T20" s="214">
        <f t="shared" si="16"/>
        <v>0.04</v>
      </c>
      <c r="U20" s="214">
        <f t="shared" si="17"/>
        <v>2.8000000000000001E-2</v>
      </c>
      <c r="V20" s="95">
        <f t="shared" si="18"/>
        <v>54446.02934638298</v>
      </c>
      <c r="W20" s="95">
        <f t="shared" si="7"/>
        <v>66053.379457531904</v>
      </c>
      <c r="X20" s="214">
        <f t="shared" si="8"/>
        <v>2.8000000000000001E-2</v>
      </c>
      <c r="Y20" s="214">
        <f t="shared" si="9"/>
        <v>58976.231658510631</v>
      </c>
      <c r="Z20" s="214">
        <f t="shared" si="10"/>
        <v>2.5000000000000001E-2</v>
      </c>
      <c r="AA20" s="214">
        <f t="shared" si="11"/>
        <v>58976.231658510631</v>
      </c>
      <c r="AB20" s="214">
        <f t="shared" si="12"/>
        <v>2.5000000000000001E-2</v>
      </c>
      <c r="AC20" s="1"/>
      <c r="AD20" s="1"/>
      <c r="AE20" s="8"/>
      <c r="AF20" s="8"/>
      <c r="AG20" s="8"/>
    </row>
    <row r="21" spans="1:33" ht="15.75">
      <c r="A21" s="13" t="s">
        <v>320</v>
      </c>
      <c r="B21" s="342">
        <v>8</v>
      </c>
      <c r="C21" s="343">
        <f>'Population Distribution'!$D$22*1000</f>
        <v>3720200</v>
      </c>
      <c r="D21" s="344">
        <f>'Population Distribution'!$B$28</f>
        <v>1361150.7336595745</v>
      </c>
      <c r="E21" s="345">
        <v>0.3</v>
      </c>
      <c r="F21" s="346" t="s">
        <v>313</v>
      </c>
      <c r="G21" s="350">
        <v>3</v>
      </c>
      <c r="H21" s="348">
        <v>5.0000000000000001E-3</v>
      </c>
      <c r="I21" s="352">
        <v>5.0000000000000001E-3</v>
      </c>
      <c r="J21" s="219">
        <f t="shared" si="13"/>
        <v>6805.7536682978725</v>
      </c>
      <c r="K21" s="219">
        <f t="shared" si="14"/>
        <v>11795.246331702127</v>
      </c>
      <c r="L21" s="94">
        <f t="shared" si="15"/>
        <v>18601</v>
      </c>
      <c r="M21" s="95">
        <f t="shared" ref="M21:M28" si="19">B20*L21</f>
        <v>148808</v>
      </c>
      <c r="N21" s="96">
        <f t="shared" si="1"/>
        <v>0.04</v>
      </c>
      <c r="O21" s="221">
        <f t="shared" si="2"/>
        <v>5.8892815076560644E-3</v>
      </c>
      <c r="P21" s="95">
        <f t="shared" si="3"/>
        <v>148808</v>
      </c>
      <c r="Q21" s="214">
        <f t="shared" si="4"/>
        <v>0.04</v>
      </c>
      <c r="R21" s="95">
        <f t="shared" si="5"/>
        <v>54446.02934638298</v>
      </c>
      <c r="S21" s="95">
        <f t="shared" si="6"/>
        <v>66053.379457531904</v>
      </c>
      <c r="T21" s="214">
        <f t="shared" si="16"/>
        <v>0.04</v>
      </c>
      <c r="U21" s="214">
        <f t="shared" si="17"/>
        <v>2.8000000000000001E-2</v>
      </c>
      <c r="V21" s="95">
        <f t="shared" si="18"/>
        <v>54446.02934638298</v>
      </c>
      <c r="W21" s="95">
        <f t="shared" si="7"/>
        <v>66053.379457531904</v>
      </c>
      <c r="X21" s="214">
        <f t="shared" si="8"/>
        <v>2.8000000000000001E-2</v>
      </c>
      <c r="Y21" s="214">
        <f t="shared" si="9"/>
        <v>58976.231658510631</v>
      </c>
      <c r="Z21" s="214">
        <f t="shared" si="10"/>
        <v>2.5000000000000001E-2</v>
      </c>
      <c r="AA21" s="214">
        <f t="shared" si="11"/>
        <v>58976.231658510631</v>
      </c>
      <c r="AB21" s="214">
        <f t="shared" si="12"/>
        <v>2.5000000000000001E-2</v>
      </c>
      <c r="AC21" s="1"/>
      <c r="AD21" s="1"/>
      <c r="AE21" s="8"/>
      <c r="AF21" s="8"/>
      <c r="AG21" s="8"/>
    </row>
    <row r="22" spans="1:33" ht="31.5">
      <c r="A22" s="13" t="s">
        <v>321</v>
      </c>
      <c r="B22" s="342">
        <v>18</v>
      </c>
      <c r="C22" s="343">
        <f>'Population Distribution'!$D$22*1000</f>
        <v>3720200</v>
      </c>
      <c r="D22" s="344">
        <f>'Population Distribution'!$B$28</f>
        <v>1361150.7336595745</v>
      </c>
      <c r="E22" s="345">
        <v>0.3</v>
      </c>
      <c r="F22" s="346" t="s">
        <v>303</v>
      </c>
      <c r="G22" s="347">
        <v>1</v>
      </c>
      <c r="H22" s="348">
        <v>0.01</v>
      </c>
      <c r="I22" s="352">
        <v>0.01</v>
      </c>
      <c r="J22" s="219">
        <f t="shared" si="13"/>
        <v>13611.507336595745</v>
      </c>
      <c r="K22" s="219">
        <f t="shared" si="14"/>
        <v>23590.492663404253</v>
      </c>
      <c r="L22" s="94">
        <f t="shared" si="15"/>
        <v>37202</v>
      </c>
      <c r="M22" s="95">
        <f t="shared" si="19"/>
        <v>297616</v>
      </c>
      <c r="N22" s="96">
        <f t="shared" si="1"/>
        <v>0.08</v>
      </c>
      <c r="O22" s="221">
        <f t="shared" si="2"/>
        <v>1.1778563015312129E-2</v>
      </c>
      <c r="P22" s="95">
        <f t="shared" si="3"/>
        <v>669636</v>
      </c>
      <c r="Q22" s="214">
        <f t="shared" si="4"/>
        <v>0.18</v>
      </c>
      <c r="R22" s="95">
        <f t="shared" si="5"/>
        <v>245007.13205872342</v>
      </c>
      <c r="S22" s="95">
        <f t="shared" si="6"/>
        <v>297240.2075588936</v>
      </c>
      <c r="T22" s="214">
        <f t="shared" si="16"/>
        <v>0.18</v>
      </c>
      <c r="U22" s="214">
        <f t="shared" si="17"/>
        <v>0.126</v>
      </c>
      <c r="V22" s="95">
        <f t="shared" si="18"/>
        <v>245007.13205872342</v>
      </c>
      <c r="W22" s="95">
        <f t="shared" si="7"/>
        <v>297240.20755889354</v>
      </c>
      <c r="X22" s="214">
        <f t="shared" si="8"/>
        <v>0.12599999999999997</v>
      </c>
      <c r="Y22" s="214">
        <f t="shared" si="9"/>
        <v>401038.37527787231</v>
      </c>
      <c r="Z22" s="214">
        <f t="shared" si="10"/>
        <v>0.17</v>
      </c>
      <c r="AA22" s="214">
        <f t="shared" si="11"/>
        <v>401038.37527787231</v>
      </c>
      <c r="AB22" s="214">
        <f t="shared" si="12"/>
        <v>0.17</v>
      </c>
      <c r="AC22" s="1"/>
      <c r="AD22" s="1"/>
      <c r="AE22" s="8"/>
      <c r="AF22" s="8"/>
      <c r="AG22" s="8"/>
    </row>
    <row r="23" spans="1:33" ht="31.5">
      <c r="A23" s="13" t="s">
        <v>322</v>
      </c>
      <c r="B23" s="342">
        <v>5</v>
      </c>
      <c r="C23" s="343">
        <f>'Population Distribution'!$D$22*1000</f>
        <v>3720200</v>
      </c>
      <c r="D23" s="344">
        <f>'Population Distribution'!$B$28</f>
        <v>1361150.7336595745</v>
      </c>
      <c r="E23" s="345">
        <v>0.3</v>
      </c>
      <c r="F23" s="346" t="s">
        <v>313</v>
      </c>
      <c r="G23" s="350">
        <v>3</v>
      </c>
      <c r="H23" s="348">
        <v>0.33624999999999999</v>
      </c>
      <c r="I23" s="352">
        <v>0.01</v>
      </c>
      <c r="J23" s="219">
        <f t="shared" si="13"/>
        <v>13611.507336595745</v>
      </c>
      <c r="K23" s="219">
        <f t="shared" si="14"/>
        <v>23590.492663404253</v>
      </c>
      <c r="L23" s="94">
        <f t="shared" si="15"/>
        <v>37202</v>
      </c>
      <c r="M23" s="95">
        <f t="shared" si="19"/>
        <v>669636</v>
      </c>
      <c r="N23" s="96">
        <f t="shared" si="1"/>
        <v>0.18</v>
      </c>
      <c r="O23" s="221">
        <f t="shared" si="2"/>
        <v>2.6501766784452291E-2</v>
      </c>
      <c r="P23" s="95">
        <f t="shared" si="3"/>
        <v>6254586.25</v>
      </c>
      <c r="Q23" s="214">
        <f t="shared" si="4"/>
        <v>1.6812499999999999</v>
      </c>
      <c r="R23" s="95">
        <f t="shared" si="5"/>
        <v>68057.536682978724</v>
      </c>
      <c r="S23" s="95">
        <f t="shared" si="6"/>
        <v>82566.72432191488</v>
      </c>
      <c r="T23" s="214">
        <f t="shared" si="16"/>
        <v>4.9999999999999996E-2</v>
      </c>
      <c r="U23" s="214">
        <f t="shared" si="17"/>
        <v>3.4999999999999996E-2</v>
      </c>
      <c r="V23" s="95">
        <f t="shared" si="18"/>
        <v>68057.536682978724</v>
      </c>
      <c r="W23" s="95">
        <f t="shared" si="7"/>
        <v>2776306.1053243876</v>
      </c>
      <c r="X23" s="214">
        <f t="shared" si="8"/>
        <v>1.1768749999999999</v>
      </c>
      <c r="Y23" s="214">
        <f t="shared" si="9"/>
        <v>47180.985326808506</v>
      </c>
      <c r="Z23" s="214">
        <f t="shared" si="10"/>
        <v>0.02</v>
      </c>
      <c r="AA23" s="214">
        <f t="shared" si="11"/>
        <v>1586460.631613936</v>
      </c>
      <c r="AB23" s="214">
        <f t="shared" si="12"/>
        <v>0.67249999999999999</v>
      </c>
      <c r="AC23" s="1"/>
      <c r="AD23" s="1"/>
      <c r="AE23" s="8"/>
      <c r="AF23" s="8"/>
      <c r="AG23" s="8"/>
    </row>
    <row r="24" spans="1:33" ht="15.75">
      <c r="A24" s="88" t="s">
        <v>323</v>
      </c>
      <c r="B24" s="342">
        <v>6</v>
      </c>
      <c r="C24" s="343">
        <f>'Population Distribution'!$D$22*1000</f>
        <v>3720200</v>
      </c>
      <c r="D24" s="344">
        <f>'Population Distribution'!$B$28</f>
        <v>1361150.7336595745</v>
      </c>
      <c r="E24" s="345">
        <v>0.3</v>
      </c>
      <c r="F24" s="346" t="s">
        <v>315</v>
      </c>
      <c r="G24" s="350">
        <f>B24/2</f>
        <v>3</v>
      </c>
      <c r="H24" s="348">
        <v>0.01</v>
      </c>
      <c r="I24" s="352">
        <v>0.01</v>
      </c>
      <c r="J24" s="219">
        <f t="shared" si="13"/>
        <v>13611.507336595745</v>
      </c>
      <c r="K24" s="219">
        <f t="shared" si="14"/>
        <v>23590.492663404253</v>
      </c>
      <c r="L24" s="94">
        <f t="shared" si="15"/>
        <v>37202</v>
      </c>
      <c r="M24" s="95">
        <f t="shared" si="19"/>
        <v>186010</v>
      </c>
      <c r="N24" s="96">
        <f t="shared" si="1"/>
        <v>0.05</v>
      </c>
      <c r="O24" s="221">
        <f t="shared" si="2"/>
        <v>7.361601884570081E-3</v>
      </c>
      <c r="P24" s="95">
        <f t="shared" si="3"/>
        <v>223212</v>
      </c>
      <c r="Q24" s="214">
        <f t="shared" si="4"/>
        <v>0.06</v>
      </c>
      <c r="R24" s="95">
        <f t="shared" si="5"/>
        <v>81669.044019574474</v>
      </c>
      <c r="S24" s="95">
        <f t="shared" si="6"/>
        <v>99080.069186297857</v>
      </c>
      <c r="T24" s="214">
        <f t="shared" si="16"/>
        <v>6.0000000000000005E-2</v>
      </c>
      <c r="U24" s="214">
        <f t="shared" si="17"/>
        <v>4.1999999999999996E-2</v>
      </c>
      <c r="V24" s="95">
        <f t="shared" si="18"/>
        <v>81669.044019574474</v>
      </c>
      <c r="W24" s="95">
        <f t="shared" si="7"/>
        <v>99080.069186297842</v>
      </c>
      <c r="X24" s="214">
        <f t="shared" si="8"/>
        <v>4.1999999999999996E-2</v>
      </c>
      <c r="Y24" s="214">
        <f t="shared" si="9"/>
        <v>70771.477990212748</v>
      </c>
      <c r="Z24" s="214">
        <f t="shared" si="10"/>
        <v>2.9999999999999995E-2</v>
      </c>
      <c r="AA24" s="214">
        <f t="shared" si="11"/>
        <v>70771.477990212763</v>
      </c>
      <c r="AB24" s="214">
        <f t="shared" si="12"/>
        <v>3.0000000000000002E-2</v>
      </c>
      <c r="AC24" s="1"/>
      <c r="AD24" s="1"/>
      <c r="AE24" s="8"/>
      <c r="AF24" s="8"/>
      <c r="AG24" s="8"/>
    </row>
    <row r="25" spans="1:33" ht="15.75">
      <c r="A25" s="88" t="s">
        <v>324</v>
      </c>
      <c r="B25" s="342">
        <v>5</v>
      </c>
      <c r="C25" s="343">
        <f>'Population Distribution'!$D$22*1000</f>
        <v>3720200</v>
      </c>
      <c r="D25" s="344">
        <f>'Population Distribution'!$B$28</f>
        <v>1361150.7336595745</v>
      </c>
      <c r="E25" s="345">
        <v>0.3</v>
      </c>
      <c r="F25" s="346" t="s">
        <v>313</v>
      </c>
      <c r="G25" s="350">
        <v>3</v>
      </c>
      <c r="H25" s="348">
        <v>0.14166666666666666</v>
      </c>
      <c r="I25" s="352">
        <v>5.0000000000000001E-3</v>
      </c>
      <c r="J25" s="219">
        <f t="shared" si="13"/>
        <v>6805.7536682978725</v>
      </c>
      <c r="K25" s="219">
        <f t="shared" si="14"/>
        <v>11795.246331702127</v>
      </c>
      <c r="L25" s="94">
        <f t="shared" si="15"/>
        <v>18601</v>
      </c>
      <c r="M25" s="95">
        <f t="shared" si="19"/>
        <v>111606</v>
      </c>
      <c r="N25" s="96">
        <f t="shared" si="1"/>
        <v>0.03</v>
      </c>
      <c r="O25" s="221">
        <f t="shared" si="2"/>
        <v>4.4169611307420479E-3</v>
      </c>
      <c r="P25" s="95">
        <f t="shared" si="3"/>
        <v>2635141.666666667</v>
      </c>
      <c r="Q25" s="214">
        <f t="shared" si="4"/>
        <v>0.70833333333333337</v>
      </c>
      <c r="R25" s="95">
        <f t="shared" si="5"/>
        <v>34028.768341489362</v>
      </c>
      <c r="S25" s="95">
        <f t="shared" si="6"/>
        <v>41283.36216095744</v>
      </c>
      <c r="T25" s="214">
        <f t="shared" si="16"/>
        <v>2.4999999999999998E-2</v>
      </c>
      <c r="U25" s="214">
        <f t="shared" si="17"/>
        <v>1.7499999999999998E-2</v>
      </c>
      <c r="V25" s="95">
        <f t="shared" si="18"/>
        <v>34028.768341489362</v>
      </c>
      <c r="W25" s="95">
        <f t="shared" si="7"/>
        <v>1169695.2612271272</v>
      </c>
      <c r="X25" s="214">
        <f t="shared" si="8"/>
        <v>0.49583333333333318</v>
      </c>
      <c r="Y25" s="214">
        <f t="shared" si="9"/>
        <v>23590.492663404253</v>
      </c>
      <c r="Z25" s="214">
        <f t="shared" si="10"/>
        <v>0.01</v>
      </c>
      <c r="AA25" s="214">
        <f t="shared" si="11"/>
        <v>668397.29212978715</v>
      </c>
      <c r="AB25" s="214">
        <f t="shared" si="12"/>
        <v>0.28333333333333333</v>
      </c>
      <c r="AC25" s="1"/>
      <c r="AD25" s="1"/>
      <c r="AE25" s="8"/>
      <c r="AF25" s="8"/>
      <c r="AG25" s="8"/>
    </row>
    <row r="26" spans="1:33" ht="15.75">
      <c r="A26" s="88" t="s">
        <v>115</v>
      </c>
      <c r="B26" s="342">
        <v>10</v>
      </c>
      <c r="C26" s="343">
        <f>'Population Distribution'!$D$22*1000</f>
        <v>3720200</v>
      </c>
      <c r="D26" s="344">
        <f>'Population Distribution'!$B$28</f>
        <v>1361150.7336595745</v>
      </c>
      <c r="E26" s="345">
        <v>0.3</v>
      </c>
      <c r="F26" s="346" t="s">
        <v>303</v>
      </c>
      <c r="G26" s="347">
        <v>1</v>
      </c>
      <c r="H26" s="348">
        <v>5.0000000000000001E-3</v>
      </c>
      <c r="I26" s="352">
        <v>5.0000000000000001E-3</v>
      </c>
      <c r="J26" s="219">
        <f t="shared" si="13"/>
        <v>6805.7536682978725</v>
      </c>
      <c r="K26" s="219">
        <f t="shared" si="14"/>
        <v>11795.246331702127</v>
      </c>
      <c r="L26" s="94">
        <f t="shared" si="15"/>
        <v>18601</v>
      </c>
      <c r="M26" s="95">
        <f t="shared" si="19"/>
        <v>93005</v>
      </c>
      <c r="N26" s="96">
        <f t="shared" si="1"/>
        <v>2.5000000000000001E-2</v>
      </c>
      <c r="O26" s="221">
        <f t="shared" si="2"/>
        <v>3.6808009422850405E-3</v>
      </c>
      <c r="P26" s="95">
        <f t="shared" si="3"/>
        <v>186010</v>
      </c>
      <c r="Q26" s="214">
        <f t="shared" si="4"/>
        <v>0.05</v>
      </c>
      <c r="R26" s="95">
        <f t="shared" si="5"/>
        <v>68057.536682978724</v>
      </c>
      <c r="S26" s="95">
        <f t="shared" si="6"/>
        <v>82566.72432191488</v>
      </c>
      <c r="T26" s="214">
        <f t="shared" si="16"/>
        <v>4.9999999999999996E-2</v>
      </c>
      <c r="U26" s="214">
        <f t="shared" si="17"/>
        <v>3.4999999999999996E-2</v>
      </c>
      <c r="V26" s="95">
        <f t="shared" si="18"/>
        <v>68057.536682978724</v>
      </c>
      <c r="W26" s="95">
        <f t="shared" si="7"/>
        <v>82566.72432191488</v>
      </c>
      <c r="X26" s="214">
        <f t="shared" si="8"/>
        <v>3.4999999999999996E-2</v>
      </c>
      <c r="Y26" s="214">
        <f t="shared" si="9"/>
        <v>106157.21698531913</v>
      </c>
      <c r="Z26" s="214">
        <f t="shared" si="10"/>
        <v>4.4999999999999998E-2</v>
      </c>
      <c r="AA26" s="214">
        <f t="shared" si="11"/>
        <v>106157.21698531914</v>
      </c>
      <c r="AB26" s="214">
        <f t="shared" si="12"/>
        <v>4.5000000000000005E-2</v>
      </c>
      <c r="AC26" s="1"/>
      <c r="AD26" s="1"/>
      <c r="AE26" s="8"/>
      <c r="AF26" s="8"/>
      <c r="AG26" s="8"/>
    </row>
    <row r="27" spans="1:33" s="8" customFormat="1" ht="15.75">
      <c r="A27" s="88" t="s">
        <v>325</v>
      </c>
      <c r="B27" s="342">
        <v>15</v>
      </c>
      <c r="C27" s="343">
        <f>'Population Distribution'!$D$22*1000</f>
        <v>3720200</v>
      </c>
      <c r="D27" s="344">
        <f>'Population Distribution'!$B$28</f>
        <v>1361150.7336595745</v>
      </c>
      <c r="E27" s="345">
        <v>0.3</v>
      </c>
      <c r="F27" s="346" t="s">
        <v>313</v>
      </c>
      <c r="G27" s="350">
        <v>3</v>
      </c>
      <c r="H27" s="348">
        <v>5.0000000000000001E-4</v>
      </c>
      <c r="I27" s="352">
        <v>5.0000000000000001E-4</v>
      </c>
      <c r="J27" s="219">
        <f t="shared" si="13"/>
        <v>680.5753668297873</v>
      </c>
      <c r="K27" s="219">
        <f t="shared" si="14"/>
        <v>1179.5246331702126</v>
      </c>
      <c r="L27" s="94">
        <f t="shared" si="15"/>
        <v>1860.1000000000001</v>
      </c>
      <c r="M27" s="95">
        <f t="shared" si="19"/>
        <v>18601</v>
      </c>
      <c r="N27" s="96">
        <f t="shared" si="1"/>
        <v>5.0000000000000001E-3</v>
      </c>
      <c r="O27" s="221">
        <f t="shared" si="2"/>
        <v>7.3616018845700805E-4</v>
      </c>
      <c r="P27" s="95">
        <f t="shared" si="3"/>
        <v>27901.500000000004</v>
      </c>
      <c r="Q27" s="214">
        <f t="shared" si="4"/>
        <v>7.5000000000000006E-3</v>
      </c>
      <c r="R27" s="95">
        <f t="shared" si="5"/>
        <v>10208.630502446809</v>
      </c>
      <c r="S27" s="95">
        <f t="shared" si="6"/>
        <v>12385.008648287232</v>
      </c>
      <c r="T27" s="214">
        <f t="shared" si="16"/>
        <v>7.5000000000000006E-3</v>
      </c>
      <c r="U27" s="214">
        <f t="shared" si="17"/>
        <v>5.2499999999999995E-3</v>
      </c>
      <c r="V27" s="95">
        <f t="shared" si="18"/>
        <v>10208.630502446809</v>
      </c>
      <c r="W27" s="95">
        <f t="shared" si="7"/>
        <v>12385.00864828723</v>
      </c>
      <c r="X27" s="214">
        <f t="shared" si="8"/>
        <v>5.2499999999999995E-3</v>
      </c>
      <c r="Y27" s="214">
        <f t="shared" si="9"/>
        <v>14154.295598042552</v>
      </c>
      <c r="Z27" s="214">
        <f t="shared" si="10"/>
        <v>6.0000000000000001E-3</v>
      </c>
      <c r="AA27" s="214">
        <f t="shared" si="11"/>
        <v>14154.295598042552</v>
      </c>
      <c r="AB27" s="214">
        <f t="shared" si="12"/>
        <v>6.0000000000000001E-3</v>
      </c>
      <c r="AC27" s="1"/>
      <c r="AD27" s="1"/>
    </row>
    <row r="28" spans="1:33" s="8" customFormat="1" ht="15.75">
      <c r="A28" s="88" t="s">
        <v>326</v>
      </c>
      <c r="B28" s="353">
        <v>8</v>
      </c>
      <c r="C28" s="368">
        <f>'Population Distribution'!$D$22*1000</f>
        <v>3720200</v>
      </c>
      <c r="D28" s="369">
        <f>'Population Distribution'!$B$28</f>
        <v>1361150.7336595745</v>
      </c>
      <c r="E28" s="370">
        <v>0.3</v>
      </c>
      <c r="F28" s="371" t="s">
        <v>303</v>
      </c>
      <c r="G28" s="372">
        <v>1</v>
      </c>
      <c r="H28" s="373">
        <v>5.0000000000000001E-4</v>
      </c>
      <c r="I28" s="374">
        <v>5.0000000000000001E-4</v>
      </c>
      <c r="J28" s="375">
        <f t="shared" si="13"/>
        <v>680.5753668297873</v>
      </c>
      <c r="K28" s="375">
        <f t="shared" si="14"/>
        <v>1179.5246331702126</v>
      </c>
      <c r="L28" s="376">
        <f t="shared" si="15"/>
        <v>1860.1000000000001</v>
      </c>
      <c r="M28" s="95">
        <f t="shared" si="19"/>
        <v>27901.500000000004</v>
      </c>
      <c r="N28" s="96">
        <f t="shared" si="1"/>
        <v>7.5000000000000006E-3</v>
      </c>
      <c r="O28" s="221">
        <f t="shared" si="2"/>
        <v>1.1042402826855122E-3</v>
      </c>
      <c r="P28" s="95">
        <f t="shared" si="3"/>
        <v>14880.800000000001</v>
      </c>
      <c r="Q28" s="214">
        <f t="shared" si="4"/>
        <v>4.0000000000000001E-3</v>
      </c>
      <c r="R28" s="95">
        <f t="shared" si="5"/>
        <v>5444.6029346382984</v>
      </c>
      <c r="S28" s="95">
        <f t="shared" si="6"/>
        <v>6605.3379457531901</v>
      </c>
      <c r="T28" s="214">
        <f t="shared" si="16"/>
        <v>4.0000000000000001E-3</v>
      </c>
      <c r="U28" s="214">
        <f t="shared" si="17"/>
        <v>2.7999999999999995E-3</v>
      </c>
      <c r="V28" s="95">
        <f t="shared" si="18"/>
        <v>5444.6029346382984</v>
      </c>
      <c r="W28" s="95">
        <f t="shared" si="7"/>
        <v>6605.3379457531901</v>
      </c>
      <c r="X28" s="214">
        <f t="shared" si="8"/>
        <v>2.7999999999999995E-3</v>
      </c>
      <c r="Y28" s="214">
        <f t="shared" si="9"/>
        <v>8256.672432191488</v>
      </c>
      <c r="Z28" s="214">
        <f t="shared" si="10"/>
        <v>3.5000000000000001E-3</v>
      </c>
      <c r="AA28" s="214">
        <f t="shared" si="11"/>
        <v>8256.672432191488</v>
      </c>
      <c r="AB28" s="214">
        <f t="shared" si="12"/>
        <v>3.5000000000000001E-3</v>
      </c>
      <c r="AC28" s="1"/>
      <c r="AD28" s="1"/>
    </row>
    <row r="29" spans="1:33" s="8" customFormat="1">
      <c r="A29" s="286"/>
      <c r="B29" s="286"/>
      <c r="C29" s="367"/>
      <c r="D29" s="367"/>
      <c r="E29" s="367"/>
      <c r="F29" s="367"/>
      <c r="G29" s="367"/>
      <c r="H29" s="367"/>
      <c r="I29" s="367"/>
      <c r="J29" s="367"/>
      <c r="K29" s="367"/>
      <c r="L29" s="91"/>
      <c r="M29" s="92">
        <f>SUM(M4:M28)</f>
        <v>25267598.399999999</v>
      </c>
      <c r="N29" s="93">
        <f>SUM(N4:N28)</f>
        <v>6.7920000000000016</v>
      </c>
      <c r="O29" s="222"/>
      <c r="P29" s="92">
        <f t="shared" ref="P29:X29" si="20">SUM(P4:P28)</f>
        <v>58670034.133333333</v>
      </c>
      <c r="Q29" s="93">
        <f t="shared" si="20"/>
        <v>15.770666666666667</v>
      </c>
      <c r="R29" s="92">
        <f t="shared" si="20"/>
        <v>9243574.6322821677</v>
      </c>
      <c r="S29" s="92">
        <f t="shared" si="20"/>
        <v>11214212.497402478</v>
      </c>
      <c r="T29" s="92">
        <f t="shared" si="20"/>
        <v>6.7910000000000004</v>
      </c>
      <c r="U29" s="92">
        <f t="shared" si="20"/>
        <v>4.7536999999999985</v>
      </c>
      <c r="V29" s="92">
        <f t="shared" si="20"/>
        <v>9243574.6322821677</v>
      </c>
      <c r="W29" s="92">
        <f t="shared" si="20"/>
        <v>26042645.740789581</v>
      </c>
      <c r="X29" s="93">
        <f t="shared" si="20"/>
        <v>11.039466666666668</v>
      </c>
      <c r="Y29" s="93">
        <f t="shared" ref="Y29:AB29" si="21">SUM(Y4:Y28)</f>
        <v>13698409.327322265</v>
      </c>
      <c r="Z29" s="93">
        <f t="shared" si="21"/>
        <v>5.806750000000001</v>
      </c>
      <c r="AA29" s="93">
        <f>SUM(AA4:AA28)</f>
        <v>29464328.749153048</v>
      </c>
      <c r="AB29" s="93">
        <f t="shared" si="21"/>
        <v>12.489916666666668</v>
      </c>
      <c r="AC29" s="1"/>
      <c r="AD29" s="1"/>
    </row>
    <row r="30" spans="1:33" s="8" customFormat="1">
      <c r="A30" s="286"/>
      <c r="B30" s="286"/>
      <c r="C30" s="367"/>
      <c r="D30" s="367"/>
      <c r="E30" s="367"/>
      <c r="F30" s="367"/>
      <c r="G30" s="367"/>
      <c r="H30" s="367"/>
      <c r="I30" s="367"/>
      <c r="J30" s="367"/>
      <c r="K30" s="367"/>
      <c r="L30" s="91"/>
      <c r="M30" s="92"/>
      <c r="N30" s="93">
        <f>N29/12</f>
        <v>0.56600000000000017</v>
      </c>
      <c r="O30" s="222"/>
      <c r="P30" s="92"/>
      <c r="Q30" s="93">
        <f>Q29/12</f>
        <v>1.3142222222222222</v>
      </c>
      <c r="R30" s="92"/>
      <c r="S30" s="92">
        <f>SUM(R29:S29)</f>
        <v>20457787.129684646</v>
      </c>
      <c r="T30" s="93">
        <f>T29/12</f>
        <v>0.56591666666666673</v>
      </c>
      <c r="U30" s="93">
        <f>U29/12</f>
        <v>0.39614166666666656</v>
      </c>
      <c r="V30" s="92"/>
      <c r="W30" s="92">
        <f>SUM(V29:W29)</f>
        <v>35286220.373071745</v>
      </c>
      <c r="X30" s="93">
        <f>X29/12</f>
        <v>0.91995555555555564</v>
      </c>
      <c r="Y30" s="93">
        <f>Y29+V29</f>
        <v>22941983.959604435</v>
      </c>
      <c r="Z30" s="93">
        <f>Z29/12</f>
        <v>0.48389583333333341</v>
      </c>
      <c r="AA30" s="93">
        <f>AA29+V29</f>
        <v>38707903.381435215</v>
      </c>
      <c r="AB30" s="93">
        <f>AB29/12</f>
        <v>1.0408263888888889</v>
      </c>
      <c r="AC30" s="1"/>
      <c r="AD30" s="1"/>
    </row>
    <row r="31" spans="1:33">
      <c r="A31" s="6"/>
      <c r="C31" s="7"/>
      <c r="D31" s="7"/>
      <c r="E31" s="7"/>
      <c r="F31" s="7"/>
      <c r="G31" s="7"/>
      <c r="H31" s="7"/>
      <c r="I31" s="7"/>
      <c r="J31" s="7"/>
      <c r="K31" s="7"/>
      <c r="L31" s="7"/>
      <c r="M31" s="5"/>
      <c r="N31" s="1"/>
      <c r="O31" s="223"/>
      <c r="P31" s="1"/>
      <c r="Q31" s="1"/>
      <c r="R31" s="1"/>
      <c r="S31" s="1"/>
      <c r="T31" s="1"/>
      <c r="U31" s="1"/>
      <c r="V31" s="1"/>
      <c r="W31" s="1"/>
      <c r="X31" s="1"/>
      <c r="Y31" s="1"/>
      <c r="Z31" s="1"/>
      <c r="AA31" s="1"/>
      <c r="AB31" s="1"/>
      <c r="AC31" s="1"/>
      <c r="AD31" s="1"/>
      <c r="AE31" s="8"/>
      <c r="AF31" s="8"/>
      <c r="AG31" s="8"/>
    </row>
    <row r="32" spans="1:33">
      <c r="A32" s="6"/>
      <c r="C32" s="7"/>
      <c r="D32" s="7"/>
      <c r="E32" s="7"/>
      <c r="F32" s="7"/>
      <c r="G32" s="7"/>
      <c r="H32" s="7"/>
      <c r="I32" s="7"/>
      <c r="J32" s="7"/>
      <c r="K32" s="7"/>
      <c r="L32" s="7"/>
      <c r="M32" s="5"/>
      <c r="N32" s="1"/>
      <c r="O32" s="223"/>
      <c r="P32" s="1"/>
      <c r="Q32" s="1"/>
      <c r="R32" s="1"/>
      <c r="S32" s="1"/>
      <c r="T32" s="1"/>
      <c r="U32" s="1"/>
      <c r="V32" s="1"/>
      <c r="W32" s="1"/>
      <c r="X32" s="1"/>
      <c r="Y32" s="1"/>
      <c r="Z32" s="1"/>
      <c r="AA32" s="1"/>
      <c r="AB32" s="1"/>
      <c r="AC32" s="1"/>
      <c r="AD32" s="1"/>
      <c r="AE32" s="8"/>
      <c r="AF32" s="8"/>
      <c r="AG32" s="8"/>
    </row>
    <row r="33" spans="1:33">
      <c r="A33" s="6"/>
      <c r="C33" s="7"/>
      <c r="D33" s="7"/>
      <c r="E33" s="7"/>
      <c r="F33" s="7"/>
      <c r="G33" s="7"/>
      <c r="H33" s="7"/>
      <c r="I33" s="7"/>
      <c r="J33" s="7"/>
      <c r="K33" s="7"/>
      <c r="L33" s="7"/>
      <c r="M33" s="5"/>
      <c r="N33" s="1"/>
      <c r="O33" s="223"/>
      <c r="P33" s="1"/>
      <c r="Q33" s="1"/>
      <c r="R33" s="1"/>
      <c r="S33" s="1"/>
      <c r="T33" s="1"/>
      <c r="U33" s="1"/>
      <c r="V33" s="1"/>
      <c r="W33" s="1"/>
      <c r="X33" s="1"/>
      <c r="Y33" s="1"/>
      <c r="Z33" s="1"/>
      <c r="AA33" s="1"/>
      <c r="AB33" s="1"/>
      <c r="AC33" s="1"/>
      <c r="AD33" s="1"/>
      <c r="AE33" s="8"/>
      <c r="AF33" s="8"/>
      <c r="AG33" s="8"/>
    </row>
    <row r="34" spans="1:33" ht="15" customHeight="1">
      <c r="A34" s="6"/>
      <c r="C34" s="7"/>
      <c r="D34" s="7"/>
      <c r="E34" s="7"/>
      <c r="F34" s="7"/>
      <c r="G34" s="7"/>
      <c r="H34" s="7"/>
      <c r="I34" s="7"/>
      <c r="J34" s="7"/>
      <c r="K34" s="7"/>
      <c r="L34" s="7"/>
      <c r="M34" s="5"/>
      <c r="N34" s="1"/>
      <c r="O34" s="223"/>
      <c r="P34" s="1"/>
      <c r="Q34" s="1"/>
      <c r="R34" s="1"/>
      <c r="S34" s="1"/>
      <c r="T34" s="1"/>
      <c r="U34" s="1"/>
      <c r="V34" s="1"/>
      <c r="W34" s="1"/>
      <c r="X34" s="1"/>
      <c r="Y34" s="1"/>
      <c r="Z34" s="1"/>
      <c r="AA34" s="1"/>
      <c r="AB34" s="1"/>
      <c r="AC34" s="1"/>
      <c r="AD34" s="1"/>
      <c r="AE34" s="8"/>
      <c r="AF34" s="8"/>
      <c r="AG34" s="8"/>
    </row>
  </sheetData>
  <mergeCells count="7">
    <mergeCell ref="A1:AB1"/>
    <mergeCell ref="AA2:AB2"/>
    <mergeCell ref="Y2:Z2"/>
    <mergeCell ref="V2:X2"/>
    <mergeCell ref="R2:U2"/>
    <mergeCell ref="P2:Q2"/>
    <mergeCell ref="M2:O2"/>
  </mergeCells>
  <pageMargins left="0.7" right="0.7" top="0.75" bottom="0.75" header="0" footer="0"/>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923813a-6fc0-4e7e-9ca3-71dffaa792ec">
      <UserInfo>
        <DisplayName>EKBERG, Allison</DisplayName>
        <AccountId>22</AccountId>
        <AccountType/>
      </UserInfo>
      <UserInfo>
        <DisplayName>kaijakasekamp</DisplayName>
        <AccountId>17</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D262D50CC57945AD6FEFE9AE2E5436" ma:contentTypeVersion="6" ma:contentTypeDescription="Create a new document." ma:contentTypeScope="" ma:versionID="4f881e4ace995c0270874f5591d8b62d">
  <xsd:schema xmlns:xsd="http://www.w3.org/2001/XMLSchema" xmlns:xs="http://www.w3.org/2001/XMLSchema" xmlns:p="http://schemas.microsoft.com/office/2006/metadata/properties" xmlns:ns2="db7f31c8-f934-41b7-9210-886d41bdb092" xmlns:ns3="a923813a-6fc0-4e7e-9ca3-71dffaa792ec" targetNamespace="http://schemas.microsoft.com/office/2006/metadata/properties" ma:root="true" ma:fieldsID="9d3b03774715351c02958959172b9de4" ns2:_="" ns3:_="">
    <xsd:import namespace="db7f31c8-f934-41b7-9210-886d41bdb092"/>
    <xsd:import namespace="a923813a-6fc0-4e7e-9ca3-71dffaa792e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7f31c8-f934-41b7-9210-886d41bdb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923813a-6fc0-4e7e-9ca3-71dffaa792e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4AAB5C-B764-43BF-B92B-1870BBBCB556}">
  <ds:schemaRefs>
    <ds:schemaRef ds:uri="http://schemas.microsoft.com/sharepoint/v3/contenttype/forms"/>
  </ds:schemaRefs>
</ds:datastoreItem>
</file>

<file path=customXml/itemProps2.xml><?xml version="1.0" encoding="utf-8"?>
<ds:datastoreItem xmlns:ds="http://schemas.openxmlformats.org/officeDocument/2006/customXml" ds:itemID="{5BB60507-6E9F-40AC-8D34-64146945AB5A}">
  <ds:schemaRefs>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dcmitype/"/>
    <ds:schemaRef ds:uri="a923813a-6fc0-4e7e-9ca3-71dffaa792ec"/>
    <ds:schemaRef ds:uri="db7f31c8-f934-41b7-9210-886d41bdb092"/>
    <ds:schemaRef ds:uri="http://www.w3.org/XML/1998/namespace"/>
  </ds:schemaRefs>
</ds:datastoreItem>
</file>

<file path=customXml/itemProps3.xml><?xml version="1.0" encoding="utf-8"?>
<ds:datastoreItem xmlns:ds="http://schemas.openxmlformats.org/officeDocument/2006/customXml" ds:itemID="{5CEC4ED5-7B7B-4DF5-B8BD-39B4C53B4F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7f31c8-f934-41b7-9210-886d41bdb092"/>
    <ds:schemaRef ds:uri="a923813a-6fc0-4e7e-9ca3-71dffaa792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Capitation Summary</vt:lpstr>
      <vt:lpstr>Minimum Costs</vt:lpstr>
      <vt:lpstr>Diabetes</vt:lpstr>
      <vt:lpstr>Hypertension</vt:lpstr>
      <vt:lpstr>Child Health</vt:lpstr>
      <vt:lpstr>Asthma</vt:lpstr>
      <vt:lpstr>NCD Summary</vt:lpstr>
      <vt:lpstr>Sheet1</vt:lpstr>
      <vt:lpstr>Tests</vt:lpstr>
      <vt:lpstr>Premises</vt:lpstr>
      <vt:lpstr>Specialists</vt:lpstr>
      <vt:lpstr>Medical Equipment</vt:lpstr>
      <vt:lpstr>Medicines</vt:lpstr>
      <vt:lpstr>Visit Costs</vt:lpstr>
      <vt:lpstr>Population Distribution</vt:lpstr>
      <vt:lpstr>Scenario Analysis</vt:lpstr>
      <vt:lpstr>Payment Design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Ola</dc:creator>
  <cp:keywords/>
  <dc:description/>
  <cp:lastModifiedBy>Lela Tsotsoria</cp:lastModifiedBy>
  <cp:revision/>
  <dcterms:created xsi:type="dcterms:W3CDTF">2019-02-05T11:01:11Z</dcterms:created>
  <dcterms:modified xsi:type="dcterms:W3CDTF">2020-08-20T14:25:02Z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0x0101000AD262D50CC57945AD6FEFE9AE2E5436</vt:lpwstr>
  </property>
</Properties>
</file>