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NEW TB Grant 2019\"/>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710" windowHeight="12360" tabRatio="835" activeTab="5"/>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12" i="27" l="1"/>
  <c r="C12" i="27"/>
  <c r="D6" i="27"/>
  <c r="F12" i="27"/>
  <c r="G12" i="27"/>
  <c r="E12" i="27"/>
  <c r="G6" i="27"/>
  <c r="F6" i="27"/>
  <c r="E6" i="27"/>
  <c r="F8" i="27"/>
  <c r="G8" i="27"/>
  <c r="E8" i="27"/>
  <c r="H13" i="13"/>
  <c r="G13" i="13"/>
  <c r="F13" i="13"/>
  <c r="E10" i="13"/>
  <c r="E12" i="13"/>
  <c r="E13" i="13"/>
  <c r="D13" i="13"/>
  <c r="C13" i="13"/>
  <c r="B13" i="13"/>
  <c r="H10" i="13"/>
  <c r="G10" i="13"/>
  <c r="F10" i="13"/>
  <c r="D10" i="13"/>
  <c r="C10" i="13"/>
  <c r="B10" i="13"/>
  <c r="H6" i="10"/>
  <c r="B12" i="13"/>
  <c r="C12" i="13"/>
  <c r="H12" i="13"/>
  <c r="G12" i="13"/>
  <c r="F12" i="13"/>
  <c r="D12" i="13"/>
  <c r="G6" i="10"/>
  <c r="F6" i="10"/>
  <c r="E6" i="10"/>
  <c r="B16" i="10"/>
  <c r="I29" i="27"/>
  <c r="H29" i="27"/>
  <c r="G29" i="27"/>
  <c r="G32" i="27"/>
  <c r="G33" i="27"/>
  <c r="G35" i="27"/>
  <c r="F29" i="27"/>
  <c r="F15" i="27"/>
  <c r="E29" i="27"/>
  <c r="D29" i="27"/>
  <c r="C29" i="27"/>
  <c r="B29" i="27"/>
  <c r="I15" i="27"/>
  <c r="H15" i="27"/>
  <c r="H32" i="27"/>
  <c r="H33" i="27"/>
  <c r="H35" i="27"/>
  <c r="G1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c r="O6" i="24"/>
  <c r="N6"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M2" i="24"/>
  <c r="D16" i="9"/>
  <c r="D13" i="9"/>
  <c r="M1" i="23"/>
  <c r="B4" i="23"/>
  <c r="F4" i="23"/>
  <c r="D8" i="9"/>
  <c r="D14" i="9"/>
  <c r="L2" i="26"/>
  <c r="M1" i="24"/>
  <c r="B4" i="24"/>
  <c r="A25" i="26"/>
  <c r="A17" i="26"/>
  <c r="A27" i="27"/>
  <c r="A23" i="27"/>
  <c r="A27" i="26"/>
  <c r="A23" i="26"/>
  <c r="A19" i="26"/>
  <c r="A26" i="27"/>
  <c r="A22" i="27"/>
  <c r="A26" i="26"/>
  <c r="A22" i="26"/>
  <c r="A18" i="26"/>
  <c r="A25" i="27"/>
  <c r="A21"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c r="M1" i="25"/>
  <c r="B4" i="25"/>
  <c r="F4" i="25"/>
  <c r="M2" i="22"/>
  <c r="E1" i="25"/>
  <c r="E1" i="22"/>
  <c r="E1" i="27"/>
  <c r="E1" i="23"/>
  <c r="E1" i="2"/>
  <c r="E1" i="10"/>
  <c r="E1" i="24"/>
  <c r="E1" i="13"/>
  <c r="E1" i="19"/>
  <c r="E1" i="26"/>
  <c r="M1" i="22"/>
  <c r="B4" i="22"/>
  <c r="M1" i="2"/>
  <c r="B4" i="2"/>
  <c r="L1" i="10"/>
  <c r="L1" i="26"/>
  <c r="E4" i="26"/>
  <c r="L2" i="27"/>
  <c r="M1" i="19"/>
  <c r="B4" i="19"/>
  <c r="J4" i="23"/>
  <c r="N4" i="25"/>
  <c r="N4" i="23"/>
  <c r="C4" i="23"/>
  <c r="D4" i="23"/>
  <c r="J4" i="25"/>
  <c r="E4" i="27"/>
  <c r="E5" i="27"/>
  <c r="C4" i="25"/>
  <c r="D4" i="25"/>
  <c r="H4" i="25"/>
  <c r="D4" i="26"/>
  <c r="C4" i="26"/>
  <c r="F4" i="22"/>
  <c r="C4" i="22"/>
  <c r="N4" i="22"/>
  <c r="J4" i="22"/>
  <c r="G4" i="23"/>
  <c r="K4" i="23"/>
  <c r="O4" i="23"/>
  <c r="D5" i="26"/>
  <c r="F4" i="26"/>
  <c r="E5" i="26"/>
  <c r="E4" i="23"/>
  <c r="P4" i="23"/>
  <c r="L4" i="23"/>
  <c r="H4" i="23"/>
  <c r="P4" i="25"/>
  <c r="O4" i="25"/>
  <c r="L4" i="25"/>
  <c r="G4" i="25"/>
  <c r="E4" i="25"/>
  <c r="Q4" i="25"/>
  <c r="K4" i="25"/>
  <c r="D4" i="22"/>
  <c r="O4" i="22"/>
  <c r="K4" i="22"/>
  <c r="G4" i="22"/>
  <c r="F5" i="26"/>
  <c r="G4" i="26"/>
  <c r="B4" i="26"/>
  <c r="B5" i="26"/>
  <c r="C5" i="26"/>
  <c r="Q4" i="23"/>
  <c r="M4" i="23"/>
  <c r="I4" i="23"/>
  <c r="I4" i="25"/>
  <c r="M4" i="25"/>
  <c r="L4" i="22"/>
  <c r="H4" i="22"/>
  <c r="E4" i="22"/>
  <c r="P4" i="22"/>
  <c r="H4" i="26"/>
  <c r="G5" i="26"/>
  <c r="N17" i="16"/>
  <c r="A3" i="15"/>
  <c r="C1" i="8"/>
  <c r="A4" i="15"/>
  <c r="C2" i="8"/>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H4" i="13"/>
  <c r="F5" i="13"/>
  <c r="H32" i="10"/>
  <c r="H33" i="10"/>
  <c r="H35" i="10"/>
  <c r="I32" i="10"/>
  <c r="I33" i="10"/>
  <c r="I35" i="10"/>
  <c r="E4" i="10"/>
  <c r="E5" i="10"/>
  <c r="D4" i="13"/>
  <c r="D5" i="13"/>
  <c r="A5" i="15"/>
  <c r="A13" i="8"/>
  <c r="A9" i="15"/>
  <c r="A8" i="8"/>
  <c r="A13" i="15"/>
  <c r="A17" i="8"/>
  <c r="A17" i="15"/>
  <c r="A21" i="15"/>
  <c r="A26" i="8"/>
  <c r="A25" i="15"/>
  <c r="A30" i="8"/>
  <c r="A29" i="15"/>
  <c r="A34" i="8"/>
  <c r="A33" i="15"/>
  <c r="A38" i="8"/>
  <c r="A37" i="15"/>
  <c r="A43" i="8"/>
  <c r="A41" i="15"/>
  <c r="A47" i="8"/>
  <c r="A45" i="15"/>
  <c r="A52" i="8"/>
  <c r="A49" i="15"/>
  <c r="B10" i="8"/>
  <c r="A53" i="15"/>
  <c r="B15" i="8"/>
  <c r="A57" i="15"/>
  <c r="B19" i="8"/>
  <c r="A61" i="15"/>
  <c r="B27" i="8"/>
  <c r="A65" i="15"/>
  <c r="B31" i="8"/>
  <c r="A69" i="15"/>
  <c r="B37" i="8"/>
  <c r="A73" i="15"/>
  <c r="B42" i="8"/>
  <c r="A77" i="15"/>
  <c r="B46" i="8"/>
  <c r="A81" i="15"/>
  <c r="B50" i="8"/>
  <c r="A85" i="15"/>
  <c r="G1" i="19"/>
  <c r="A89" i="15"/>
  <c r="A16" i="9"/>
  <c r="A93" i="15"/>
  <c r="A1" i="10"/>
  <c r="A97" i="15"/>
  <c r="A8" i="26"/>
  <c r="A101" i="15"/>
  <c r="A12" i="26"/>
  <c r="A105" i="15"/>
  <c r="A29" i="27"/>
  <c r="A109" i="15"/>
  <c r="A34" i="26"/>
  <c r="A113" i="15"/>
  <c r="J3" i="27"/>
  <c r="A117" i="15"/>
  <c r="A10" i="13"/>
  <c r="A121" i="15"/>
  <c r="A15" i="13"/>
  <c r="A125" i="15"/>
  <c r="A3" i="23"/>
  <c r="A129" i="15"/>
  <c r="N3" i="25"/>
  <c r="A133" i="15"/>
  <c r="A9" i="2"/>
  <c r="A137" i="15"/>
  <c r="A13" i="2"/>
  <c r="A141" i="15"/>
  <c r="A17" i="2"/>
  <c r="A145" i="15"/>
  <c r="A3" i="25"/>
  <c r="A149" i="15"/>
  <c r="A9" i="19"/>
  <c r="A153" i="15"/>
  <c r="A13" i="19"/>
  <c r="A157" i="15"/>
  <c r="A8" i="23"/>
  <c r="A161" i="15"/>
  <c r="A12" i="23"/>
  <c r="A91" i="15"/>
  <c r="C12" i="9"/>
  <c r="A107" i="15"/>
  <c r="A32" i="27"/>
  <c r="A119" i="15"/>
  <c r="A12" i="13"/>
  <c r="A127" i="15"/>
  <c r="F3" i="2"/>
  <c r="A139" i="15"/>
  <c r="A15" i="2"/>
  <c r="A147" i="15"/>
  <c r="A7" i="19"/>
  <c r="A159" i="15"/>
  <c r="A10" i="23"/>
  <c r="A12" i="15"/>
  <c r="D2" i="27"/>
  <c r="A28" i="15"/>
  <c r="A33" i="8"/>
  <c r="A40" i="15"/>
  <c r="A46" i="8"/>
  <c r="A44" i="15"/>
  <c r="A50" i="8"/>
  <c r="A52" i="15"/>
  <c r="B14" i="8"/>
  <c r="A64" i="15"/>
  <c r="B30" i="8"/>
  <c r="A76" i="15"/>
  <c r="B45" i="8"/>
  <c r="A84" i="15"/>
  <c r="A6" i="9"/>
  <c r="A6" i="15"/>
  <c r="A21" i="8"/>
  <c r="A10" i="15"/>
  <c r="A14" i="8"/>
  <c r="A14" i="15"/>
  <c r="A18" i="8"/>
  <c r="A18" i="15"/>
  <c r="A23" i="8"/>
  <c r="A22" i="15"/>
  <c r="A27" i="8"/>
  <c r="A26" i="15"/>
  <c r="A31" i="8"/>
  <c r="A30" i="15"/>
  <c r="A35" i="8"/>
  <c r="A34" i="15"/>
  <c r="A39" i="8"/>
  <c r="A38" i="15"/>
  <c r="A44" i="8"/>
  <c r="A42" i="15"/>
  <c r="A48" i="8"/>
  <c r="A46" i="15"/>
  <c r="A53" i="8"/>
  <c r="A50" i="15"/>
  <c r="B11" i="8"/>
  <c r="A54" i="15"/>
  <c r="B16" i="8"/>
  <c r="A58" i="15"/>
  <c r="B20" i="8"/>
  <c r="A62" i="15"/>
  <c r="B28" i="8"/>
  <c r="A66" i="15"/>
  <c r="B32" i="8"/>
  <c r="A70" i="15"/>
  <c r="B38" i="8"/>
  <c r="A74" i="15"/>
  <c r="B43" i="8"/>
  <c r="A78" i="15"/>
  <c r="B47" i="8"/>
  <c r="A82" i="15"/>
  <c r="B52" i="8"/>
  <c r="A86" i="15"/>
  <c r="A13" i="9"/>
  <c r="A90" i="15"/>
  <c r="H1" i="22"/>
  <c r="A94" i="15"/>
  <c r="A4" i="10"/>
  <c r="A98" i="15"/>
  <c r="A9" i="26"/>
  <c r="A102" i="15"/>
  <c r="A13" i="26"/>
  <c r="A106" i="15"/>
  <c r="A30" i="26"/>
  <c r="A110" i="15"/>
  <c r="A35" i="27"/>
  <c r="A114" i="15"/>
  <c r="A1" i="13"/>
  <c r="A118" i="15"/>
  <c r="A11" i="13"/>
  <c r="A122" i="15"/>
  <c r="H1" i="13"/>
  <c r="A126" i="15"/>
  <c r="B3" i="24"/>
  <c r="A130" i="15"/>
  <c r="A6" i="2"/>
  <c r="A134" i="15"/>
  <c r="A10" i="2"/>
  <c r="A138" i="15"/>
  <c r="A14" i="2"/>
  <c r="A142" i="15"/>
  <c r="A18" i="2"/>
  <c r="A146" i="15"/>
  <c r="A6" i="19"/>
  <c r="A150" i="15"/>
  <c r="A10" i="19"/>
  <c r="A154" i="15"/>
  <c r="A14" i="19"/>
  <c r="A158" i="15"/>
  <c r="A9" i="23"/>
  <c r="A162" i="15"/>
  <c r="A13" i="23"/>
  <c r="A7" i="15"/>
  <c r="A41" i="8"/>
  <c r="A11" i="15"/>
  <c r="A15" i="8"/>
  <c r="A15" i="15"/>
  <c r="A19" i="8"/>
  <c r="A19" i="15"/>
  <c r="A24" i="8"/>
  <c r="A23" i="15"/>
  <c r="A28" i="8"/>
  <c r="A27" i="15"/>
  <c r="A32" i="8"/>
  <c r="A31" i="15"/>
  <c r="A36" i="8"/>
  <c r="A35" i="15"/>
  <c r="A40" i="8"/>
  <c r="A39" i="15"/>
  <c r="A45" i="8"/>
  <c r="A43" i="15"/>
  <c r="A49" i="8"/>
  <c r="A47" i="15"/>
  <c r="B8" i="8"/>
  <c r="A51" i="15"/>
  <c r="B12" i="8"/>
  <c r="A55" i="15"/>
  <c r="B17" i="8"/>
  <c r="A59" i="15"/>
  <c r="B22" i="8"/>
  <c r="A63" i="15"/>
  <c r="B29" i="8"/>
  <c r="A67" i="15"/>
  <c r="B34" i="8"/>
  <c r="A71" i="15"/>
  <c r="B39" i="8"/>
  <c r="A75" i="15"/>
  <c r="B44" i="8"/>
  <c r="A79" i="15"/>
  <c r="B48" i="8"/>
  <c r="A83" i="15"/>
  <c r="B53" i="8"/>
  <c r="A87" i="15"/>
  <c r="I2" i="19"/>
  <c r="A95" i="15"/>
  <c r="A5" i="26"/>
  <c r="A99" i="15"/>
  <c r="A10" i="27"/>
  <c r="A103" i="15"/>
  <c r="A14" i="26"/>
  <c r="A111" i="15"/>
  <c r="B3" i="27"/>
  <c r="A115" i="15"/>
  <c r="A8" i="13"/>
  <c r="A123" i="15"/>
  <c r="I1" i="13"/>
  <c r="A131" i="15"/>
  <c r="A7" i="2"/>
  <c r="A135" i="15"/>
  <c r="A11" i="2"/>
  <c r="A143" i="15"/>
  <c r="A19" i="2"/>
  <c r="A151" i="15"/>
  <c r="A11" i="19"/>
  <c r="A155" i="15"/>
  <c r="A6" i="23"/>
  <c r="A163" i="15"/>
  <c r="A14" i="23"/>
  <c r="A8" i="15"/>
  <c r="A51" i="8"/>
  <c r="A16" i="15"/>
  <c r="A20" i="8"/>
  <c r="A20" i="15"/>
  <c r="A25" i="8"/>
  <c r="A24" i="15"/>
  <c r="A29" i="8"/>
  <c r="A32" i="15"/>
  <c r="A37" i="8"/>
  <c r="A36" i="15"/>
  <c r="A42" i="8"/>
  <c r="A48" i="15"/>
  <c r="B9" i="8"/>
  <c r="A56" i="15"/>
  <c r="B18" i="8"/>
  <c r="A60" i="15"/>
  <c r="B24" i="8"/>
  <c r="A68" i="15"/>
  <c r="B36" i="8"/>
  <c r="A72" i="15"/>
  <c r="B40" i="8"/>
  <c r="A80" i="15"/>
  <c r="B49" i="8"/>
  <c r="A88" i="15"/>
  <c r="A15" i="9"/>
  <c r="A104" i="15"/>
  <c r="A15" i="26"/>
  <c r="A120" i="15"/>
  <c r="A13" i="13"/>
  <c r="A136" i="15"/>
  <c r="A12" i="2"/>
  <c r="A152" i="15"/>
  <c r="A12" i="19"/>
  <c r="A92" i="15"/>
  <c r="H1" i="26"/>
  <c r="A108" i="15"/>
  <c r="A33" i="26"/>
  <c r="A124" i="15"/>
  <c r="A1" i="25"/>
  <c r="A140" i="15"/>
  <c r="A16" i="2"/>
  <c r="A156" i="15"/>
  <c r="A7" i="23"/>
  <c r="A96" i="15"/>
  <c r="A6" i="27"/>
  <c r="A112" i="15"/>
  <c r="E3" i="26"/>
  <c r="A128" i="15"/>
  <c r="J3" i="22"/>
  <c r="A144" i="15"/>
  <c r="A20" i="2"/>
  <c r="A160" i="15"/>
  <c r="A11" i="23"/>
  <c r="A100" i="15"/>
  <c r="A11" i="26"/>
  <c r="A116" i="15"/>
  <c r="A9" i="13"/>
  <c r="A132" i="15"/>
  <c r="A8" i="2"/>
  <c r="A148" i="15"/>
  <c r="A8" i="19"/>
  <c r="A164" i="15"/>
  <c r="A22" i="25"/>
  <c r="D4" i="10"/>
  <c r="F4" i="2"/>
  <c r="J4" i="2"/>
  <c r="N4" i="2"/>
  <c r="C4" i="2"/>
  <c r="C4" i="10"/>
  <c r="D5" i="10"/>
  <c r="F4" i="10"/>
  <c r="C4" i="13"/>
  <c r="C5" i="13"/>
  <c r="G4" i="2"/>
  <c r="K4" i="2"/>
  <c r="O4" i="2"/>
  <c r="D4" i="2"/>
  <c r="G4" i="10"/>
  <c r="F5" i="10"/>
  <c r="B4" i="10"/>
  <c r="B5" i="10"/>
  <c r="C5" i="10"/>
  <c r="B4" i="13"/>
  <c r="B5" i="13"/>
  <c r="H4" i="2"/>
  <c r="L4" i="2"/>
  <c r="P4" i="2"/>
  <c r="E4" i="2"/>
  <c r="H4" i="10"/>
  <c r="G5" i="10"/>
  <c r="I4" i="2"/>
  <c r="M4" i="2"/>
  <c r="Q4" i="2"/>
  <c r="I4" i="10"/>
  <c r="I5" i="10"/>
  <c r="H5" i="10"/>
  <c r="A4" i="26"/>
  <c r="A1" i="27"/>
  <c r="F32" i="27"/>
  <c r="F33" i="27"/>
  <c r="F35" i="27"/>
  <c r="E32" i="27"/>
  <c r="E33" i="27"/>
  <c r="E35" i="27"/>
  <c r="N22" i="24"/>
  <c r="O22" i="24"/>
  <c r="A32" i="10"/>
  <c r="A4" i="27"/>
  <c r="A35" i="10"/>
  <c r="B3" i="23"/>
  <c r="A12" i="10"/>
  <c r="J3" i="10"/>
  <c r="D2" i="24"/>
  <c r="D2" i="25"/>
  <c r="F3" i="22"/>
  <c r="A3" i="22"/>
  <c r="A1" i="2"/>
  <c r="D2" i="2"/>
  <c r="A14" i="9"/>
  <c r="A10" i="9"/>
  <c r="N3" i="24"/>
  <c r="D2" i="22"/>
  <c r="D2" i="26"/>
  <c r="F3" i="25"/>
  <c r="N3" i="2"/>
  <c r="D2" i="10"/>
  <c r="D2" i="19"/>
  <c r="I2" i="26"/>
  <c r="D2" i="23"/>
  <c r="A16" i="8"/>
  <c r="I2" i="10"/>
  <c r="F3" i="19"/>
  <c r="D2" i="13"/>
  <c r="A3" i="24"/>
  <c r="A30" i="10"/>
  <c r="A6" i="13"/>
  <c r="A12" i="27"/>
  <c r="A6" i="26"/>
  <c r="D1" i="22"/>
  <c r="D12" i="9"/>
  <c r="A1" i="26"/>
  <c r="H1" i="2"/>
  <c r="I2" i="22"/>
  <c r="A16" i="19"/>
  <c r="J3" i="13"/>
  <c r="A11" i="27"/>
  <c r="I2" i="2"/>
  <c r="A3" i="2"/>
  <c r="J3" i="26"/>
  <c r="A3" i="19"/>
  <c r="I2" i="23"/>
  <c r="I1" i="24"/>
  <c r="A16" i="23"/>
  <c r="A9" i="10"/>
  <c r="C4" i="27"/>
  <c r="D5" i="27"/>
  <c r="F4" i="19"/>
  <c r="C4" i="19"/>
  <c r="N4" i="19"/>
  <c r="J4" i="19"/>
  <c r="F4" i="24"/>
  <c r="J4" i="24"/>
  <c r="C4" i="24"/>
  <c r="N4" i="24"/>
  <c r="I4" i="13"/>
  <c r="I5" i="13"/>
  <c r="H5" i="13"/>
  <c r="A13" i="27"/>
  <c r="A1" i="24"/>
  <c r="A1" i="23"/>
  <c r="A13" i="10"/>
  <c r="A10" i="10"/>
  <c r="B12" i="9"/>
  <c r="H1" i="10"/>
  <c r="B3" i="19"/>
  <c r="G5" i="13"/>
  <c r="F4" i="27"/>
  <c r="N3" i="19"/>
  <c r="B3" i="22"/>
  <c r="B3" i="25"/>
  <c r="A29" i="10"/>
  <c r="N3" i="22"/>
  <c r="N3" i="23"/>
  <c r="I1" i="19"/>
  <c r="B3" i="2"/>
  <c r="A5" i="13"/>
  <c r="A29" i="26"/>
  <c r="F3" i="24"/>
  <c r="A8" i="27"/>
  <c r="E3" i="27"/>
  <c r="I1" i="26"/>
  <c r="B3" i="10"/>
  <c r="I1" i="27"/>
  <c r="I1" i="23"/>
  <c r="A34" i="10"/>
  <c r="A22" i="8"/>
  <c r="G1" i="22"/>
  <c r="A35" i="26"/>
  <c r="J3" i="23"/>
  <c r="G1" i="24"/>
  <c r="G1" i="27"/>
  <c r="G1" i="25"/>
  <c r="A33" i="27"/>
  <c r="I1" i="22"/>
  <c r="I1" i="10"/>
  <c r="I1" i="25"/>
  <c r="A32" i="26"/>
  <c r="G1" i="13"/>
  <c r="G1" i="2"/>
  <c r="G1" i="10"/>
  <c r="G1" i="26"/>
  <c r="I1" i="2"/>
  <c r="E3" i="13"/>
  <c r="A9" i="27"/>
  <c r="A34" i="27"/>
  <c r="A12" i="9"/>
  <c r="G1" i="23"/>
  <c r="A4" i="13"/>
  <c r="F3" i="23"/>
  <c r="A33" i="10"/>
  <c r="A15" i="10"/>
  <c r="J3" i="24"/>
  <c r="J3" i="19"/>
  <c r="B3" i="13"/>
  <c r="B3" i="26"/>
  <c r="A8" i="9"/>
  <c r="I2" i="25"/>
  <c r="A14" i="27"/>
  <c r="A1" i="22"/>
  <c r="E3" i="10"/>
  <c r="A11" i="10"/>
  <c r="I2" i="27"/>
  <c r="A6" i="10"/>
  <c r="A1" i="19"/>
  <c r="I2" i="24"/>
  <c r="A14" i="10"/>
  <c r="A10" i="26"/>
  <c r="A9" i="9"/>
  <c r="H1" i="19"/>
  <c r="H1" i="25"/>
  <c r="H1" i="23"/>
  <c r="A5" i="10"/>
  <c r="A5" i="27"/>
  <c r="D1" i="10"/>
  <c r="D1" i="2"/>
  <c r="D1" i="19"/>
  <c r="J3" i="2"/>
  <c r="A30" i="27"/>
  <c r="A22" i="24"/>
  <c r="A22" i="22"/>
  <c r="A8" i="10"/>
  <c r="A22" i="2"/>
  <c r="D1" i="26"/>
  <c r="A15" i="27"/>
  <c r="D1" i="24"/>
  <c r="D1" i="23"/>
  <c r="D1" i="27"/>
  <c r="H1" i="24"/>
  <c r="D1" i="13"/>
  <c r="J3" i="25"/>
  <c r="D1" i="25"/>
  <c r="H1" i="27"/>
  <c r="O4" i="19"/>
  <c r="K4" i="19"/>
  <c r="D4" i="19"/>
  <c r="G4" i="19"/>
  <c r="F5" i="27"/>
  <c r="G4" i="27"/>
  <c r="D4" i="24"/>
  <c r="O4" i="24"/>
  <c r="K4" i="24"/>
  <c r="G4" i="24"/>
  <c r="B4" i="27"/>
  <c r="B5" i="27"/>
  <c r="C5" i="27"/>
  <c r="H4" i="24"/>
  <c r="E4" i="24"/>
  <c r="P4" i="24"/>
  <c r="L4" i="24"/>
  <c r="E4" i="19"/>
  <c r="H4" i="19"/>
  <c r="L4" i="19"/>
  <c r="P4" i="19"/>
  <c r="H4" i="27"/>
  <c r="G5" i="27"/>
  <c r="M4" i="24"/>
  <c r="I4" i="24"/>
  <c r="Q4" i="24"/>
  <c r="I4" i="27"/>
  <c r="I5" i="27"/>
  <c r="H5" i="27"/>
  <c r="I4" i="19"/>
  <c r="M4" i="19"/>
  <c r="Q4" i="19"/>
</calcChain>
</file>

<file path=xl/sharedStrings.xml><?xml version="1.0" encoding="utf-8"?>
<sst xmlns="http://schemas.openxmlformats.org/spreadsheetml/2006/main" count="3940" uniqueCount="1564">
  <si>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</si>
  <si>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</si>
  <si>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</si>
  <si>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</si>
  <si>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</si>
  <si>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</si>
  <si>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</si>
  <si>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</si>
  <si>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</si>
  <si>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</si>
  <si>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</si>
  <si>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</si>
  <si>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</si>
  <si>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</si>
  <si>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</si>
  <si>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</si>
  <si>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</si>
  <si>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</si>
  <si>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</si>
  <si>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</si>
  <si>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</si>
  <si>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</si>
  <si>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</si>
  <si>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</si>
  <si>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</si>
  <si>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</si>
  <si>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</si>
  <si>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</si>
  <si>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</si>
  <si>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</si>
  <si>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</si>
  <si>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</si>
  <si>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</si>
  <si>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</si>
  <si>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</si>
  <si>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</si>
  <si>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</si>
  <si>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</si>
  <si>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</si>
  <si>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</si>
  <si>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</si>
  <si>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</si>
  <si>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</si>
  <si>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</si>
  <si>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</si>
  <si>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</si>
  <si>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</si>
  <si>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</si>
  <si>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</si>
  <si>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</si>
  <si>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</si>
  <si>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</si>
  <si>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</si>
  <si>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</si>
  <si>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</si>
  <si>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</si>
  <si>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</si>
  <si>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</si>
  <si>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</si>
  <si>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</si>
  <si>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</si>
  <si>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</si>
  <si>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</si>
  <si>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</si>
  <si>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</si>
  <si>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</si>
  <si>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</si>
  <si>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</si>
  <si>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</si>
  <si>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</si>
  <si>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</si>
  <si>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</si>
  <si>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</si>
  <si>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</si>
  <si>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</si>
  <si>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</si>
  <si>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</si>
  <si>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</si>
  <si>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</si>
  <si>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</si>
  <si>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</si>
  <si>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</si>
  <si>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</si>
  <si>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</si>
  <si>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</si>
  <si>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</si>
  <si>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</si>
  <si>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</si>
  <si>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</si>
  <si>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</si>
  <si>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</si>
  <si>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</si>
  <si>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</si>
  <si>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</si>
  <si>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</si>
  <si>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</si>
  <si>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</si>
  <si>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</si>
  <si>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</si>
  <si>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</si>
  <si>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</si>
  <si>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</si>
  <si>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</si>
  <si>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</si>
  <si>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</si>
  <si>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</si>
  <si>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</si>
  <si>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</si>
  <si>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</si>
  <si>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</si>
  <si>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</si>
  <si>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</si>
  <si>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</si>
  <si>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</si>
  <si>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</si>
  <si>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</si>
  <si>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</si>
  <si>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</si>
  <si>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</si>
  <si>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</si>
  <si>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</si>
  <si>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</si>
  <si>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</si>
  <si>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</si>
  <si>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</si>
  <si>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</si>
  <si>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</si>
  <si>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</si>
  <si>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</si>
  <si>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</si>
  <si>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</si>
  <si>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</si>
  <si>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</si>
  <si>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</si>
  <si>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</si>
  <si>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</si>
  <si>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</si>
  <si>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</si>
  <si>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</si>
  <si>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</si>
  <si>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</si>
  <si>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</si>
  <si>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</si>
  <si>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</si>
  <si>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</si>
  <si>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</si>
  <si>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</si>
  <si>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</si>
  <si>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</si>
  <si>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</si>
  <si>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</si>
  <si>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</si>
  <si>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</si>
  <si>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</si>
  <si>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</si>
  <si>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</si>
  <si>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</si>
  <si>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</si>
  <si>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</si>
  <si>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</si>
  <si>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</si>
  <si>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</si>
  <si>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</si>
  <si>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</si>
  <si>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</si>
  <si>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</si>
  <si>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</si>
  <si>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</si>
  <si>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</si>
  <si>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</si>
  <si>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</si>
  <si>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</si>
  <si>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</si>
  <si>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</si>
  <si>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</si>
  <si>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</si>
  <si>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</si>
  <si>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</si>
  <si>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</si>
  <si>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</si>
  <si>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</si>
  <si>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</si>
  <si>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</si>
  <si>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</si>
  <si>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</si>
  <si>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</si>
  <si>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</si>
  <si>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</si>
  <si>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</si>
  <si>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</si>
  <si>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</si>
  <si>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</si>
  <si>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</si>
  <si>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</si>
  <si>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</si>
  <si>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</si>
  <si>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</si>
  <si>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</si>
  <si>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</si>
  <si>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</si>
  <si>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</si>
  <si>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</si>
  <si>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</si>
  <si>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</si>
  <si>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</si>
  <si>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</si>
  <si>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</si>
  <si>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</si>
  <si>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</si>
  <si>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</si>
  <si>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</si>
  <si>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</si>
  <si>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</si>
  <si>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</si>
  <si>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</si>
  <si>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</si>
  <si>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</si>
  <si>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</si>
  <si>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</si>
  <si>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</si>
  <si>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</si>
  <si>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</si>
  <si>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</si>
  <si>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</si>
  <si>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</si>
  <si>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</si>
  <si>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</si>
  <si>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</si>
  <si>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</si>
  <si>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</si>
  <si>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</si>
  <si>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</si>
  <si>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</si>
  <si>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</si>
  <si>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</si>
  <si>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</si>
  <si>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</si>
  <si>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</si>
  <si>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</si>
  <si>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</si>
  <si>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</si>
  <si>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</si>
  <si>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</si>
  <si>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</si>
  <si>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</si>
  <si>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</si>
  <si>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</si>
  <si>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</si>
  <si>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</si>
  <si>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</si>
  <si>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</si>
  <si>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</si>
  <si>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</si>
  <si>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</si>
  <si>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</si>
  <si>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</si>
  <si>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</si>
  <si>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</si>
  <si>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</si>
  <si>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</si>
  <si>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</si>
  <si>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</si>
  <si>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</si>
  <si>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</si>
  <si>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</si>
  <si>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</si>
  <si>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</si>
  <si>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</si>
  <si>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</si>
  <si>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</si>
  <si>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</si>
  <si>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</si>
  <si>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</si>
  <si>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</si>
  <si>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</si>
  <si>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</si>
  <si>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</si>
  <si>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</si>
  <si>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</si>
  <si>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</si>
  <si>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</si>
  <si>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</si>
  <si>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</si>
  <si>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</si>
  <si>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</si>
  <si>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</si>
  <si>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</si>
  <si>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</si>
  <si>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</si>
  <si>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</si>
  <si>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</si>
  <si>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</si>
  <si>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</si>
  <si>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</si>
  <si>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</si>
  <si>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</si>
  <si>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</si>
  <si>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</si>
  <si>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</si>
  <si>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</si>
  <si>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</si>
  <si>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</si>
  <si>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</si>
  <si>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</si>
  <si>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</si>
  <si>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</si>
  <si>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</si>
  <si>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</si>
  <si>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</si>
  <si>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</si>
  <si>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</si>
  <si>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</si>
  <si>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</si>
  <si>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</si>
  <si>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</si>
  <si>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</si>
  <si>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</si>
  <si>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</si>
  <si>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</si>
  <si>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</si>
  <si>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</si>
  <si>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</si>
  <si>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</si>
  <si>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</si>
  <si>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</si>
  <si>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</si>
  <si>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</si>
  <si>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</si>
  <si>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</si>
  <si>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</si>
  <si>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</si>
  <si>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</si>
  <si>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</si>
  <si>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</si>
  <si>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</si>
  <si>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</si>
  <si>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</si>
  <si>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</si>
  <si>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</si>
  <si>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</si>
  <si>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</si>
  <si>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</si>
  <si>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</si>
  <si>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</si>
  <si>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</si>
  <si>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</si>
  <si>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</si>
  <si>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</si>
  <si>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</si>
  <si>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</si>
  <si>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</si>
  <si>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</si>
  <si>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</si>
  <si>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</si>
  <si>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</si>
  <si>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</si>
  <si>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</si>
  <si>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</si>
  <si>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</si>
  <si>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</si>
  <si>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</si>
  <si>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</si>
  <si>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</si>
  <si>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</si>
  <si>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</si>
  <si>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</si>
  <si>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</si>
  <si>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</si>
  <si>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</si>
  <si>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</si>
  <si>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</si>
  <si>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</si>
  <si>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</si>
  <si>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</si>
  <si>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</si>
  <si>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</si>
  <si>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</si>
  <si>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</si>
  <si>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</si>
  <si>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</si>
  <si>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</si>
  <si>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</si>
  <si>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</si>
  <si>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</si>
  <si>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</si>
  <si>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</si>
  <si>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</si>
  <si>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</si>
  <si>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</si>
  <si>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</si>
  <si>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</si>
  <si>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</si>
  <si>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</si>
  <si>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</si>
  <si>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</si>
  <si>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</si>
  <si>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</si>
  <si>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</si>
  <si>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</si>
  <si>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</si>
  <si>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</si>
  <si>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</si>
  <si>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</si>
  <si>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</si>
  <si>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</si>
  <si>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</si>
  <si>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</si>
  <si>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</si>
  <si>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</si>
  <si>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</si>
  <si>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</si>
  <si>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</si>
  <si>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</si>
  <si>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</si>
  <si>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</si>
  <si>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</si>
  <si>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</si>
  <si>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</si>
  <si>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</si>
  <si>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</si>
  <si>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</si>
  <si>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</si>
  <si>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</si>
  <si>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</si>
  <si>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</si>
  <si>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</si>
  <si>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</si>
  <si>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</si>
  <si>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</si>
  <si>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</si>
  <si>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</si>
  <si>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</si>
  <si>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</si>
  <si>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</si>
  <si>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</si>
  <si>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</si>
  <si>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</si>
  <si>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</si>
  <si>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</si>
  <si>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</si>
  <si>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</si>
  <si>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</si>
  <si>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</si>
  <si>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</si>
  <si>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</si>
  <si>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</si>
  <si>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</si>
  <si>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</si>
  <si>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</si>
  <si>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</si>
  <si>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</si>
  <si>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</si>
  <si>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</si>
  <si>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</si>
  <si>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</si>
  <si>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</si>
  <si>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</si>
  <si>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</si>
  <si>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</si>
  <si>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</si>
  <si>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</si>
  <si>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</si>
  <si>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</si>
  <si>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</si>
  <si>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</si>
  <si>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</si>
  <si>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</si>
  <si>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</si>
  <si>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</si>
  <si>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</si>
  <si>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</si>
  <si>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</si>
  <si>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</si>
  <si>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</si>
  <si>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</si>
  <si>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</si>
  <si>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</si>
  <si>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</si>
  <si>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</si>
  <si>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</si>
  <si>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</si>
  <si>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</si>
  <si>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</si>
  <si>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</si>
  <si>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</si>
  <si>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</si>
  <si>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</si>
  <si>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</si>
  <si>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</si>
  <si>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</si>
  <si>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</si>
  <si>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</si>
  <si>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</si>
  <si>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</si>
  <si>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</si>
  <si>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</si>
  <si>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</si>
  <si>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</si>
  <si>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</si>
  <si>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</si>
  <si>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</si>
  <si>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</si>
  <si>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</si>
  <si>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</si>
  <si>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</si>
  <si>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</si>
  <si>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</si>
  <si>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</si>
  <si>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</si>
  <si>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</si>
  <si>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</si>
  <si>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</si>
  <si>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</si>
  <si>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</si>
  <si>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</si>
  <si>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</si>
  <si>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</si>
  <si>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</si>
  <si>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</si>
  <si>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</si>
  <si>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</si>
  <si>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</si>
  <si>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</si>
  <si>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</si>
  <si>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</si>
  <si>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</si>
  <si>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</si>
  <si>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</si>
  <si>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</si>
  <si>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</si>
  <si>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</si>
  <si>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</si>
  <si>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</si>
  <si>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</si>
  <si>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</si>
  <si>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</si>
  <si>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</si>
  <si>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</si>
  <si>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</si>
  <si>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</si>
  <si>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</si>
  <si>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</si>
  <si>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</si>
  <si>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</si>
  <si>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</si>
  <si>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</si>
  <si>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</si>
  <si>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</si>
  <si>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</si>
  <si>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</si>
  <si>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</si>
  <si>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</si>
  <si>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</si>
  <si>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</si>
  <si>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</si>
  <si>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</si>
  <si>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</si>
  <si>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</si>
  <si>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</si>
  <si>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</si>
  <si>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</si>
  <si>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</si>
  <si>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</si>
  <si>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</si>
  <si>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</si>
  <si>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</si>
  <si>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</si>
  <si>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</si>
  <si>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</si>
  <si>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</si>
  <si>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</si>
  <si>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</si>
  <si>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</si>
  <si>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</si>
  <si>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</si>
  <si>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</si>
  <si>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</si>
  <si>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</si>
  <si>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</si>
  <si>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</si>
  <si>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</si>
  <si>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</si>
  <si>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</si>
  <si>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</si>
  <si>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</si>
  <si>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</si>
  <si>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</si>
  <si>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</si>
  <si>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</si>
  <si>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</si>
  <si>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</si>
  <si>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</si>
  <si>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</si>
  <si>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</si>
  <si>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</si>
  <si>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</si>
  <si>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</si>
  <si>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</si>
  <si>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</si>
  <si>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</si>
  <si>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</si>
  <si>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</si>
  <si>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</si>
  <si>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</si>
  <si>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</si>
  <si>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</si>
  <si>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</si>
  <si>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</si>
  <si>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</si>
  <si>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</si>
  <si>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</si>
  <si>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</si>
  <si>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</si>
  <si>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</si>
  <si>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</si>
  <si>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</si>
  <si>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</si>
  <si>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</si>
  <si>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</si>
  <si>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</si>
  <si>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</si>
  <si>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</si>
  <si>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</si>
  <si>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</si>
  <si>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</si>
  <si>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</si>
  <si>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</si>
  <si>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</si>
  <si>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</si>
  <si>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</si>
  <si>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</si>
  <si>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</si>
  <si>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</si>
  <si>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</si>
  <si>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</si>
  <si>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</si>
  <si>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</si>
  <si>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</si>
  <si>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</si>
  <si>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</si>
  <si>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</si>
  <si>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</si>
  <si>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</si>
  <si>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</si>
  <si>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</si>
  <si>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</si>
  <si>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</si>
  <si>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</si>
  <si>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</si>
  <si>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</si>
  <si>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</si>
  <si>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</si>
  <si>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</si>
  <si>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</si>
  <si>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</si>
  <si>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</si>
  <si>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</si>
  <si>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</si>
  <si>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</si>
  <si>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</si>
  <si>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</si>
  <si>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</si>
  <si>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</si>
  <si>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</si>
  <si>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</si>
  <si>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</si>
  <si>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</si>
  <si>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</si>
  <si>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</si>
  <si>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</si>
  <si>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</si>
  <si>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</si>
  <si>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</si>
  <si>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</si>
  <si>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</si>
  <si>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</si>
  <si>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</si>
  <si>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</si>
  <si>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</si>
  <si>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</si>
  <si>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</si>
  <si>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</si>
  <si>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</si>
  <si>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</si>
  <si>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</si>
  <si>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</si>
  <si>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</si>
  <si>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</si>
  <si>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</si>
  <si>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</si>
  <si>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</si>
  <si>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</si>
  <si>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</si>
  <si>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</si>
  <si>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</si>
  <si>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</si>
  <si>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</si>
  <si>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</si>
  <si>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</si>
  <si>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</si>
  <si>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</si>
  <si>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</si>
  <si>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</si>
  <si>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</si>
  <si>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</si>
  <si>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</si>
  <si>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</si>
  <si>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</si>
  <si>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</si>
  <si>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</si>
  <si>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</si>
  <si>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</si>
  <si>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</si>
  <si>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</si>
  <si>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</si>
  <si>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</si>
  <si>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</si>
  <si>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</si>
  <si>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</si>
  <si>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</si>
  <si>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</si>
  <si>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</si>
  <si>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</si>
  <si>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</si>
  <si>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</si>
  <si>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</si>
  <si>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</si>
  <si>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</si>
  <si>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</si>
  <si>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</si>
  <si>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</si>
  <si>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</si>
  <si>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</si>
  <si>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</si>
  <si>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</si>
  <si>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</si>
  <si>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</si>
  <si>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</si>
  <si>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</si>
  <si>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</si>
  <si>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</si>
  <si>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</si>
  <si>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</si>
  <si>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</si>
  <si>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</si>
  <si>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</si>
  <si>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</si>
  <si>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</si>
  <si>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</si>
  <si>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</si>
  <si>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</si>
  <si>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</si>
  <si>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</si>
  <si>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</si>
  <si>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</si>
  <si>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</si>
  <si>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</si>
  <si>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</si>
  <si>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</si>
  <si>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</si>
  <si>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</si>
  <si>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</si>
  <si>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</si>
  <si>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</si>
  <si>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</si>
  <si>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</si>
  <si>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</si>
  <si>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</si>
  <si>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</si>
  <si>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</si>
  <si>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</si>
  <si>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</si>
  <si>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</si>
  <si>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</si>
  <si>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</si>
  <si>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</si>
  <si>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</si>
  <si>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</si>
  <si>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</si>
  <si>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</si>
  <si>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</si>
  <si>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</si>
  <si>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</si>
  <si>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</si>
  <si>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</si>
  <si>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</si>
  <si>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</si>
  <si>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</si>
  <si>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</si>
  <si>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</si>
  <si>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</si>
  <si>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</si>
  <si>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</si>
  <si>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</si>
  <si>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</si>
  <si>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</si>
  <si>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</si>
  <si>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</si>
  <si>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</si>
  <si>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</si>
  <si>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</si>
  <si>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</si>
  <si>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</si>
  <si>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</si>
  <si>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</si>
  <si>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</si>
  <si>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</si>
  <si>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</si>
  <si>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</si>
  <si>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</si>
  <si>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</si>
  <si>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</si>
  <si>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</si>
  <si>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</si>
  <si>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</si>
  <si>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</si>
  <si>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</si>
  <si>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</si>
  <si>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</si>
  <si>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</si>
  <si>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</si>
  <si>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</si>
  <si>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</si>
  <si>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</si>
  <si>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</si>
  <si>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</si>
  <si>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</si>
  <si>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</si>
  <si>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</si>
  <si>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</si>
  <si>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</si>
  <si>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</si>
  <si>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</si>
  <si>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</si>
  <si>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</si>
  <si>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</si>
  <si>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</si>
  <si>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</si>
  <si>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</si>
  <si>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</si>
  <si>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</si>
  <si>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</si>
  <si>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</si>
  <si>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</si>
  <si>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</si>
  <si>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</si>
  <si>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</si>
  <si>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</si>
  <si>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</si>
  <si>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</si>
  <si>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</si>
  <si>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</si>
  <si>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</si>
  <si>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</si>
  <si>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</si>
  <si>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</si>
  <si>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</si>
  <si>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</si>
  <si>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</si>
  <si>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</si>
  <si>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</si>
  <si>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</si>
  <si>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</si>
  <si>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</si>
  <si>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</si>
  <si>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</si>
  <si>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</si>
  <si>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</si>
  <si>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</si>
  <si>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</si>
  <si>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</si>
  <si>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</si>
  <si>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</si>
  <si>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</si>
  <si>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</si>
  <si>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</si>
  <si>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</si>
  <si>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</si>
  <si>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</si>
  <si>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</si>
  <si>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</si>
  <si>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</si>
  <si>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</si>
  <si>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</si>
  <si>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</si>
  <si>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</si>
  <si>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</si>
  <si>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</si>
  <si>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</si>
  <si>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</si>
  <si>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</si>
  <si>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</si>
  <si>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</si>
  <si>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</si>
  <si>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</si>
  <si>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</si>
  <si>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</si>
  <si>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</si>
  <si>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</si>
  <si>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</si>
  <si>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</si>
  <si>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</si>
  <si>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</si>
  <si>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</si>
  <si>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</si>
  <si>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</si>
  <si>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</si>
  <si>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</si>
  <si>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</si>
  <si>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</si>
  <si>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</si>
  <si>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</si>
  <si>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</si>
  <si>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</si>
  <si>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</si>
  <si>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</si>
  <si>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</si>
  <si>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</si>
  <si>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</si>
  <si>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</si>
  <si>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</si>
  <si>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</si>
  <si>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</si>
  <si>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</si>
  <si>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</si>
  <si>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</si>
  <si>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</si>
  <si>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</si>
  <si>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</si>
  <si>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</si>
  <si>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</si>
  <si>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</si>
  <si>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</si>
  <si>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</si>
  <si>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</si>
  <si>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</si>
  <si>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</si>
  <si>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</si>
  <si>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</si>
  <si>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</si>
  <si>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</si>
  <si>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</si>
  <si>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</si>
  <si>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</si>
  <si>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</si>
  <si>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</si>
  <si>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</si>
  <si>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</si>
  <si>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</si>
  <si>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</si>
  <si>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</si>
  <si>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</si>
  <si>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</si>
  <si>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</si>
  <si>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</si>
  <si>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</si>
  <si>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</si>
  <si>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</si>
  <si>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</si>
  <si>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</si>
  <si>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</si>
  <si>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</si>
  <si>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</si>
  <si>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</si>
  <si>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</si>
  <si>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</si>
  <si>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</si>
  <si>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</si>
  <si>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</si>
  <si>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</si>
  <si>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</si>
  <si>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</si>
  <si>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</si>
  <si>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</si>
  <si>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</si>
  <si>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</si>
  <si>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</si>
  <si>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</si>
  <si>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</si>
  <si>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</si>
  <si>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</si>
  <si>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</si>
  <si>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</si>
  <si>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</si>
  <si>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</si>
  <si>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</si>
  <si>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</si>
  <si>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</si>
  <si>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</si>
  <si>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</si>
  <si>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</si>
  <si>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</si>
  <si>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</si>
  <si>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</si>
  <si>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</si>
  <si>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</si>
  <si>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</si>
  <si>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</si>
  <si>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</si>
  <si>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</si>
  <si>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</si>
  <si>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</si>
  <si>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</si>
  <si>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</si>
  <si>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</si>
  <si>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</si>
  <si>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</si>
  <si>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</si>
  <si>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</si>
  <si>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</si>
  <si>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</si>
  <si>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</si>
  <si>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</si>
  <si>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</si>
  <si>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</si>
  <si>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</si>
  <si>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</si>
  <si>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</si>
  <si>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</si>
  <si>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</si>
  <si>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</si>
  <si>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</si>
  <si>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</si>
  <si>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</si>
  <si>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</si>
  <si>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</si>
  <si>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</si>
  <si>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</si>
  <si>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</si>
  <si>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</si>
  <si>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</si>
  <si>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</si>
  <si>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</si>
  <si>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</si>
  <si>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</si>
  <si>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</si>
  <si>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</si>
  <si>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</si>
  <si>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</si>
  <si>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</si>
  <si>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</si>
  <si>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</si>
  <si>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</si>
  <si>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</si>
  <si>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</si>
  <si>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</si>
  <si>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</si>
  <si>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</si>
  <si>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</si>
  <si>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</si>
  <si>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</si>
  <si>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</si>
  <si>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</si>
  <si>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</si>
  <si>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</si>
  <si>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</si>
  <si>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</si>
  <si>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</si>
  <si>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</si>
  <si>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</si>
  <si>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</si>
  <si>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</si>
  <si>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</si>
  <si>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</si>
  <si>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</si>
  <si>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</si>
  <si>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</si>
  <si>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</si>
  <si>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</si>
  <si>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</si>
  <si>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</si>
  <si>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</si>
  <si>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</si>
  <si>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</si>
  <si>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</si>
  <si>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</si>
  <si>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</si>
  <si>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</si>
  <si>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</si>
  <si>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</si>
  <si>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</si>
  <si>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</si>
  <si>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</si>
  <si>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</si>
  <si>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</si>
  <si>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</si>
  <si>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</si>
  <si>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</si>
  <si>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</si>
  <si>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</si>
  <si>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</si>
  <si>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</si>
  <si>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</si>
  <si>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</si>
  <si>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</si>
  <si>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</si>
  <si>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</si>
  <si>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</si>
  <si>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</si>
  <si>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</si>
  <si>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</si>
  <si>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</si>
  <si>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</si>
  <si>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</si>
  <si>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</si>
  <si>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</si>
  <si>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</si>
  <si>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</si>
  <si>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</si>
  <si>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</si>
  <si>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</si>
  <si>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</si>
  <si>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</si>
  <si>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</si>
  <si>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</si>
  <si>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</si>
  <si>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</si>
  <si>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</si>
  <si>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</si>
  <si>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</si>
  <si>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</si>
  <si>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</si>
  <si>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</si>
  <si>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</si>
  <si>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</si>
  <si>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</si>
  <si>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</si>
  <si>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</si>
  <si>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</si>
  <si>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</si>
  <si>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</si>
  <si>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</si>
  <si>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</si>
  <si>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</si>
  <si>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</si>
  <si>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</si>
  <si>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</si>
  <si>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</si>
  <si>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</si>
  <si>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</si>
  <si>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</si>
  <si>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</si>
  <si>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</si>
  <si>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</si>
  <si>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</si>
  <si>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</si>
  <si>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</si>
  <si>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</si>
  <si>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</si>
  <si>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</si>
  <si>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</si>
  <si>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</si>
  <si>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</si>
  <si>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</si>
  <si>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</si>
  <si>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</si>
  <si>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</si>
  <si>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</si>
  <si>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</si>
  <si>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</si>
  <si>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</si>
  <si>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</si>
  <si>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</si>
  <si>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</si>
  <si>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</si>
  <si>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</si>
  <si>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</si>
  <si>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</si>
  <si>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</si>
  <si>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</si>
  <si>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</si>
  <si>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</si>
  <si>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</si>
  <si>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</si>
  <si>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</si>
  <si>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</si>
  <si>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</si>
  <si>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</si>
  <si>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</si>
  <si>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</si>
  <si>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</si>
  <si>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</si>
  <si>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</si>
  <si>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</si>
  <si>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</si>
  <si>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</si>
  <si>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</si>
  <si>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</si>
  <si>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</si>
  <si>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</si>
  <si>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</si>
  <si>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</si>
  <si>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</si>
  <si>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</si>
  <si>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</si>
  <si>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</si>
  <si>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</si>
  <si>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</si>
  <si>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</si>
  <si>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</si>
  <si>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</si>
  <si>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</si>
  <si>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</si>
  <si>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</si>
  <si>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</si>
  <si>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</si>
  <si>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</si>
  <si>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</si>
  <si>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</si>
  <si>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</si>
  <si>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</si>
  <si>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</si>
  <si>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</si>
  <si>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</si>
  <si>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</si>
  <si>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</si>
  <si>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</si>
  <si>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</si>
  <si>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</si>
  <si>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</si>
  <si>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</si>
  <si>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</si>
  <si>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</si>
  <si>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</si>
  <si>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</si>
  <si>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</si>
  <si>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</si>
  <si>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</si>
  <si>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</si>
  <si>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</si>
  <si>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</si>
  <si>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</si>
  <si>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</si>
  <si>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</si>
  <si>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</si>
  <si>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</si>
  <si>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</si>
  <si>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</si>
  <si>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</si>
  <si>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</si>
  <si>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</si>
  <si>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</si>
  <si>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</si>
  <si>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</si>
  <si>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</si>
  <si>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</si>
  <si>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</si>
  <si>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</si>
  <si>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</si>
  <si>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</si>
  <si>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</si>
  <si>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</si>
  <si>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</si>
  <si>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</si>
  <si>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</si>
  <si>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</si>
  <si>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</si>
  <si>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</si>
  <si>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</si>
  <si>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</si>
  <si>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</si>
  <si>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</si>
  <si>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</si>
  <si>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</si>
  <si>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</si>
  <si>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</si>
  <si>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</si>
  <si>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</si>
  <si>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</si>
  <si>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</si>
  <si>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</si>
  <si>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</si>
  <si>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</si>
  <si>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</si>
  <si>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</si>
  <si>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</si>
  <si>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</si>
  <si>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</si>
  <si>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</si>
  <si>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</si>
  <si>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</si>
  <si>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</si>
  <si>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</si>
  <si>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</si>
  <si>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</si>
  <si>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</si>
  <si>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</si>
  <si>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</si>
  <si>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</si>
  <si>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</si>
  <si>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</si>
  <si>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</si>
  <si>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</si>
  <si>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</si>
  <si>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</si>
  <si>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</si>
  <si>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</si>
  <si>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</si>
  <si>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</si>
  <si>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</si>
  <si>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</si>
  <si>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</si>
  <si>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</si>
  <si>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</si>
  <si>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</si>
  <si>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</si>
  <si>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</si>
  <si>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</si>
  <si>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</si>
  <si>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</si>
  <si>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</si>
  <si>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</si>
  <si>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</si>
  <si>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</si>
  <si>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</si>
  <si>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</si>
  <si>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</si>
  <si>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</si>
  <si>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</si>
  <si>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</si>
  <si>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</si>
  <si>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</si>
  <si>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</si>
  <si>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</si>
  <si>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</si>
  <si>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</si>
  <si>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</si>
  <si>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</si>
  <si>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</si>
  <si>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</si>
  <si>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</si>
  <si>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</si>
  <si>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</si>
  <si>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</si>
  <si>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</si>
  <si>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</si>
  <si>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</si>
  <si>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</si>
  <si>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</si>
  <si>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</si>
  <si>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</si>
  <si>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</si>
  <si>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</si>
  <si>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</si>
  <si>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</si>
  <si>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</si>
  <si>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</si>
  <si>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</si>
  <si>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</si>
  <si>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</si>
  <si>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</si>
  <si>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</si>
  <si>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</si>
  <si>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</si>
  <si>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</si>
  <si>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</si>
  <si>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</si>
  <si>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</si>
  <si>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</si>
  <si>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</si>
  <si>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</si>
  <si>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</si>
  <si>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</si>
  <si>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</si>
  <si>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</si>
  <si>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</si>
  <si>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</si>
  <si>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</si>
  <si>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</si>
  <si>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</si>
  <si>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</si>
  <si>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</si>
  <si>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</si>
  <si>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</si>
  <si>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</si>
  <si>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</si>
  <si>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</si>
  <si>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</si>
  <si>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</si>
  <si>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</si>
  <si>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</si>
  <si>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</si>
  <si>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</si>
  <si>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</si>
  <si>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</si>
  <si>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</si>
  <si>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</si>
  <si>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</si>
  <si>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</si>
  <si>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</si>
  <si>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</si>
  <si>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</si>
  <si>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</si>
  <si>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</si>
  <si>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</si>
  <si>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</si>
  <si>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</si>
  <si>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</si>
  <si>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</si>
  <si>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</si>
  <si>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</si>
  <si>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</si>
  <si>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</si>
  <si>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</si>
  <si>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</si>
  <si>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</si>
  <si>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</si>
  <si>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</si>
  <si>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</si>
  <si>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</si>
  <si>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</si>
  <si>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</si>
  <si>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</si>
  <si>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</si>
  <si>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</si>
  <si>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</si>
  <si>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</si>
  <si>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</si>
  <si>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</si>
  <si>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</si>
  <si>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</si>
  <si>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</si>
  <si>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</si>
  <si>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</si>
  <si>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</si>
  <si>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</si>
  <si>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</si>
  <si>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</si>
  <si>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</si>
  <si>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</si>
  <si>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</si>
  <si>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</si>
  <si>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</si>
  <si>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</si>
  <si>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</si>
  <si>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</si>
  <si>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</si>
  <si>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</si>
  <si>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</si>
  <si>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</si>
  <si>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</si>
  <si>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</si>
  <si>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</si>
  <si>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</si>
  <si>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</si>
  <si>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</si>
  <si>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</si>
  <si>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</si>
  <si>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</si>
  <si>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</si>
  <si>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</si>
  <si>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</si>
  <si>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</si>
  <si>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</si>
  <si>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</si>
  <si>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</si>
  <si>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</si>
  <si>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</si>
  <si>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</si>
  <si>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</si>
  <si>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</si>
  <si>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</si>
  <si>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</si>
  <si>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</si>
  <si>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</si>
  <si>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</si>
  <si>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</si>
  <si>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</si>
  <si>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</si>
  <si>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</si>
  <si>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</si>
  <si>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</si>
  <si>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</si>
  <si>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</si>
  <si>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</si>
  <si>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</si>
  <si>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</si>
  <si>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</si>
  <si>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</si>
  <si>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</si>
  <si>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</si>
  <si>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</si>
  <si>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</si>
  <si>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</si>
  <si>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</si>
  <si>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</si>
  <si>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</si>
  <si>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</si>
  <si>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</si>
  <si>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</si>
  <si>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</si>
  <si>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</si>
  <si>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</si>
  <si>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</si>
  <si>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</si>
  <si>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</si>
  <si>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</si>
  <si>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</si>
  <si>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</si>
  <si>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</si>
  <si>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</si>
  <si>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</si>
  <si>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</si>
  <si>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</si>
  <si>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</si>
  <si>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</si>
  <si>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</si>
  <si>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</si>
  <si>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</si>
  <si>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</si>
  <si>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</si>
  <si>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</si>
  <si>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</si>
  <si>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</si>
  <si>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</si>
  <si>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</si>
  <si>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</si>
  <si>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</si>
  <si>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</si>
  <si>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</si>
  <si>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</si>
  <si>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</si>
  <si>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</si>
  <si>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</si>
  <si>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</si>
  <si>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</si>
  <si>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</si>
  <si>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</si>
  <si>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</si>
  <si>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</si>
  <si>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</si>
  <si>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</si>
  <si>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</si>
  <si>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</si>
  <si>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</si>
  <si>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</si>
  <si>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</si>
  <si>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</si>
  <si>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</si>
  <si>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</si>
  <si>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</si>
  <si>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</si>
  <si>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</si>
  <si>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</si>
  <si>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</si>
  <si>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</si>
  <si>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</si>
  <si>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</si>
  <si>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</si>
  <si>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</si>
  <si>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</si>
  <si>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</si>
  <si>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</si>
  <si>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</si>
  <si>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</si>
  <si>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</si>
  <si>
    <t>Data for 2016, 2017, 2018: GARPR; for 2018-2022: NSP 2018-2022, USD;</t>
  </si>
  <si>
    <t>Data for 2016, 2017, 2018: GARPR; for 2018-2022: MTF 2019-2022, USD; 2018 data is planned</t>
  </si>
  <si>
    <t>Data for 2016, 2017, 2018: : GARPR - All other International saurces</t>
  </si>
  <si>
    <t>To provide universal access to early and quality diagnosis of all forms of TB including M/XDR-TB</t>
  </si>
  <si>
    <t>To provide universal access to quality treatment of all forms of TB including M/XDR-TB with appropriate patient support</t>
  </si>
  <si>
    <t>To enable supportive environment and systems for effective TB control</t>
  </si>
  <si>
    <t>Source: National TB Strategic Plan 2019-2022</t>
  </si>
  <si>
    <t>Source: Data for 2017-2019 TB State Budget; for 2020-2022 National TB Strategic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</si>
</sst>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1">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3" fontId="6" fillId="0" borderId="1" xfId="1" applyNumberFormat="1" applyFont="1" applyFill="1" applyBorder="1" applyAlignment="1" applyProtection="1">
      <alignment horizontal="center" vertical="center"/>
    </xf>
    <xf numFmtId="0" fontId="6" fillId="0" borderId="1" xfId="1"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104" t="s">
        <v>1506</v>
      </c>
      <c r="B1" s="105"/>
      <c r="C1" s="78" t="str">
        <f ca="1">Translations!$A$3</f>
        <v>Funding landscape table</v>
      </c>
      <c r="D1" s="57"/>
    </row>
    <row r="2" spans="1:4" ht="20.100000000000001" customHeight="1" x14ac:dyDescent="0.2">
      <c r="A2" s="104" t="s">
        <v>1507</v>
      </c>
      <c r="B2" s="105"/>
      <c r="C2" s="85" t="str">
        <f ca="1">Translations!$A$4</f>
        <v>Latest update: June 2017</v>
      </c>
      <c r="D2" s="58"/>
    </row>
    <row r="3" spans="1:4" ht="20.100000000000001" customHeight="1" x14ac:dyDescent="0.2">
      <c r="A3" s="104" t="s">
        <v>1508</v>
      </c>
      <c r="B3" s="105"/>
      <c r="C3" s="79"/>
    </row>
    <row r="4" spans="1:4" ht="20.100000000000001" customHeight="1" thickBot="1" x14ac:dyDescent="0.25">
      <c r="A4" s="102" t="s">
        <v>1509</v>
      </c>
      <c r="B4" s="103"/>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106" t="str">
        <f ca="1">Translations!$A$9</f>
        <v>General Guidance</v>
      </c>
      <c r="B8" s="109" t="str">
        <f ca="1">Translations!$A$47</f>
        <v>A. All applicants are required to complete:</v>
      </c>
      <c r="C8" s="110"/>
    </row>
    <row r="9" spans="1:4" ht="105" customHeight="1" x14ac:dyDescent="0.2">
      <c r="A9" s="107"/>
      <c r="B9" s="111"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112"/>
    </row>
    <row r="10" spans="1:4" ht="45" customHeight="1" x14ac:dyDescent="0.2">
      <c r="A10" s="107"/>
      <c r="B10" s="111" t="str">
        <f ca="1">Translations!$A$49</f>
        <v>(2) The 'Government Health Spending' worksheet. Specific government commitments for strengthening health systems provided to access the co-financing incentive (if applicable) should be captured in relevant cells within this worksheet.</v>
      </c>
      <c r="C10" s="112"/>
    </row>
    <row r="11" spans="1:4" ht="105" customHeight="1" x14ac:dyDescent="0.2">
      <c r="A11" s="107"/>
      <c r="B11" s="111"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112"/>
    </row>
    <row r="12" spans="1:4" ht="45" customHeight="1" x14ac:dyDescent="0.2">
      <c r="A12" s="108"/>
      <c r="B12" s="113" t="str">
        <f ca="1">Translations!$A$51</f>
        <v>C. Data Sources: Indicate source(s) of data along with comments on basis of estimates (if relevant) in the corresponding cell of the last column. The relevant source documents for data and should be submitted along with the funding request.</v>
      </c>
      <c r="C12" s="114"/>
    </row>
    <row r="13" spans="1:4" ht="15" customHeight="1" x14ac:dyDescent="0.2">
      <c r="A13" s="94" t="str">
        <f ca="1">Translations!$A$5</f>
        <v>Cover Sheet</v>
      </c>
      <c r="B13" s="95"/>
      <c r="C13" s="95"/>
    </row>
    <row r="14" spans="1:4" ht="15" customHeight="1" x14ac:dyDescent="0.2">
      <c r="A14" s="80" t="str">
        <f ca="1">Translations!$A$10</f>
        <v>Country</v>
      </c>
      <c r="B14" s="98" t="str">
        <f ca="1">Translations!$A$52</f>
        <v>Select name of applicant country from drop-down menu</v>
      </c>
      <c r="C14" s="98"/>
    </row>
    <row r="15" spans="1:4" ht="15" customHeight="1" x14ac:dyDescent="0.2">
      <c r="A15" s="80" t="str">
        <f ca="1">Translations!$A$11</f>
        <v>Fiscal Cycle</v>
      </c>
      <c r="B15" s="98" t="str">
        <f ca="1">Translations!$A$53</f>
        <v>Select the country's fiscal cycle from drop-down menu</v>
      </c>
      <c r="C15" s="98"/>
    </row>
    <row r="16" spans="1:4" ht="45" customHeight="1" x14ac:dyDescent="0.2">
      <c r="A16" s="80" t="str">
        <f ca="1">Translations!$A$12</f>
        <v>Currency</v>
      </c>
      <c r="B16" s="98" t="str">
        <f ca="1">Translations!$A$54</f>
        <v>Select currency (either US Dollar or Euro) in which data is provided. Currency used should be the same as the one used for the funding request to the Global Fund</v>
      </c>
      <c r="C16" s="98"/>
    </row>
    <row r="17" spans="1:3" ht="30" customHeight="1" x14ac:dyDescent="0.2">
      <c r="A17" s="80" t="str">
        <f ca="1">Translations!$A$13</f>
        <v>Fiscal Year in which implementation period starts</v>
      </c>
      <c r="B17" s="98" t="str">
        <f ca="1">Translations!$A$55</f>
        <v>For each component, select the fiscal year corresponding to the start of implementation period of the funding request</v>
      </c>
      <c r="C17" s="98"/>
    </row>
    <row r="18" spans="1:3" ht="30" customHeight="1" x14ac:dyDescent="0.2">
      <c r="A18" s="80" t="str">
        <f ca="1">Translations!$A$14</f>
        <v>Fiscal Year in which implementation period ends</v>
      </c>
      <c r="B18" s="98" t="str">
        <f ca="1">Translations!$A$56</f>
        <v>For each component, select the fiscal year corresponding to the end of implementation period of the funding request</v>
      </c>
      <c r="C18" s="98"/>
    </row>
    <row r="19" spans="1:3" ht="30" customHeight="1" x14ac:dyDescent="0.2">
      <c r="A19" s="80" t="str">
        <f ca="1">Translations!$A$15</f>
        <v>Current funding request pertains to a program</v>
      </c>
      <c r="B19" s="98" t="str">
        <f ca="1">Translations!$A$57</f>
        <v>For each component, select 'Yes' if funding is requested from the Global Fund through the current submission. Otherwise, select 'No'</v>
      </c>
      <c r="C19" s="98"/>
    </row>
    <row r="20" spans="1:3" ht="60" customHeight="1" x14ac:dyDescent="0.2">
      <c r="A20" s="80" t="str">
        <f ca="1">Translations!$A$16</f>
        <v>Detailed Financial Gap based on:</v>
      </c>
      <c r="B20" s="98"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98"/>
    </row>
    <row r="21" spans="1:3" ht="15" customHeight="1" x14ac:dyDescent="0.2">
      <c r="A21" s="96" t="str">
        <f ca="1">Translations!$A$6</f>
        <v>Financial Gap Overview for Disease Programs</v>
      </c>
      <c r="B21" s="97"/>
      <c r="C21" s="97"/>
    </row>
    <row r="22" spans="1:3" ht="30" customHeight="1" x14ac:dyDescent="0.2">
      <c r="A22" s="81" t="str">
        <f ca="1">Translations!$A$37</f>
        <v>Header: Exchange Rate</v>
      </c>
      <c r="B22" s="90" t="str">
        <f ca="1">Translations!$A$59</f>
        <v>Enter annual exchange rate used to convert local currency to reporting currency (local currency units per US Dollar/Euro)</v>
      </c>
      <c r="C22" s="90"/>
    </row>
    <row r="23" spans="1:3" ht="15" customHeight="1" x14ac:dyDescent="0.2">
      <c r="A23" s="99" t="str">
        <f ca="1">Translations!$A$18</f>
        <v>SECTION A: Total Funding needs for the National Strategic Plan</v>
      </c>
      <c r="B23" s="100"/>
      <c r="C23" s="101"/>
    </row>
    <row r="24" spans="1:3" ht="45" customHeight="1" x14ac:dyDescent="0.2">
      <c r="A24" s="82" t="str">
        <f ca="1">Translations!$A$19</f>
        <v>LINE A: Total Funding needs for the National Strategic Plan</v>
      </c>
      <c r="B24" s="90" t="str">
        <f ca="1">Translations!$A$60</f>
        <v>Provide the annual amounts needed to fund the National Strategic Plan. The annual amounts should be based on national plans to address the overall disease response.</v>
      </c>
      <c r="C24" s="90"/>
    </row>
    <row r="25" spans="1:3" s="59" customFormat="1" ht="30" customHeight="1" x14ac:dyDescent="0.2">
      <c r="A25" s="99" t="str">
        <f ca="1">Translations!$A$20</f>
        <v>SECTIONS B, C and D: Previous, current and anticipated resources to meet the funding needs of the National Strategic Plan</v>
      </c>
      <c r="B25" s="100"/>
      <c r="C25" s="101"/>
    </row>
    <row r="26" spans="1:3" ht="15" customHeight="1" x14ac:dyDescent="0.2">
      <c r="A26" s="91" t="str">
        <f ca="1">Translations!$A$21</f>
        <v>Section B: Previous, Current and Anticipated Domestic Resources</v>
      </c>
      <c r="B26" s="92"/>
      <c r="C26" s="93"/>
    </row>
    <row r="27" spans="1:3" ht="42" customHeight="1" x14ac:dyDescent="0.2">
      <c r="A27" s="81" t="str">
        <f ca="1">Translations!$A$22</f>
        <v xml:space="preserve">Domestic source B1: Loans </v>
      </c>
      <c r="B27" s="90"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90"/>
    </row>
    <row r="28" spans="1:3" ht="45" customHeight="1" x14ac:dyDescent="0.2">
      <c r="A28" s="81" t="str">
        <f ca="1">Translations!$A$23</f>
        <v xml:space="preserve">Domestic source B2: Debt relief </v>
      </c>
      <c r="B28" s="90" t="str">
        <f ca="1">Translations!$A$62</f>
        <v xml:space="preserve">Enter the annual amounts raised by the government through debt relief proceeds which are earmarked for the national strategic plan in (a) implementation years of the funding request, and (b) previous three years </v>
      </c>
      <c r="C28" s="90"/>
    </row>
    <row r="29" spans="1:3" ht="30" customHeight="1" x14ac:dyDescent="0.2">
      <c r="A29" s="81" t="str">
        <f ca="1">Translations!$A$24</f>
        <v>Domestic source B3: Government funding resources</v>
      </c>
      <c r="B29" s="90" t="str">
        <f ca="1">Translations!$A$63</f>
        <v xml:space="preserve">Enter the annual amounts provided from government revenues for implementing the national strategic plan in (a) implementation years of the funding request, and (b) previous three years </v>
      </c>
      <c r="C29" s="90"/>
    </row>
    <row r="30" spans="1:3" ht="45" customHeight="1" x14ac:dyDescent="0.2">
      <c r="A30" s="81" t="str">
        <f ca="1">Translations!$A$25</f>
        <v>Domestic source B4: Social Health Insurance</v>
      </c>
      <c r="B30" s="90" t="str">
        <f ca="1">Translations!$A$64</f>
        <v>Enter the annual amounts provided from social health insurance mechanisms for implementing the national strategic plan in (a) implementation years of the funding request, and (b) previous three years</v>
      </c>
      <c r="C30" s="90"/>
    </row>
    <row r="31" spans="1:3" ht="33" customHeight="1" x14ac:dyDescent="0.2">
      <c r="A31" s="81" t="str">
        <f ca="1">Translations!$A$26</f>
        <v>Domestic source B5: Private sector contributions (national)</v>
      </c>
      <c r="B31" s="90" t="str">
        <f ca="1">Translations!$A$65</f>
        <v>Enter the annual amounts raised from private sector in the country for implementing the national strategic plan in (a) implementation years of the funding request, and (b) previous three years</v>
      </c>
      <c r="C31" s="90"/>
    </row>
    <row r="32" spans="1:3" s="16" customFormat="1" ht="30" customHeight="1" x14ac:dyDescent="0.25">
      <c r="A32" s="81" t="str">
        <f ca="1">Translations!$A$27</f>
        <v>LINE B: Total DOMESTIC resources</v>
      </c>
      <c r="B32" s="90" t="str">
        <f ca="1">Translations!$A$66</f>
        <v>Each cell automatically calculates the total annual amounts of domestic resources (Lines B1-B5).</v>
      </c>
      <c r="C32" s="90"/>
    </row>
    <row r="33" spans="1:3" ht="15" customHeight="1" x14ac:dyDescent="0.2">
      <c r="A33" s="91" t="str">
        <f ca="1">Translations!$A$28</f>
        <v>Section C: Previous, Current and Anticipated External Resources (non-Global Fund)</v>
      </c>
      <c r="B33" s="92"/>
      <c r="C33" s="93"/>
    </row>
    <row r="34" spans="1:3" ht="60" customHeight="1" x14ac:dyDescent="0.2">
      <c r="A34" s="83" t="str">
        <f ca="1">Translations!$A$29</f>
        <v>LINE C: Total EXTERNAL (non-Global Fund)</v>
      </c>
      <c r="B34" s="90"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90"/>
    </row>
    <row r="35" spans="1:3" ht="15" customHeight="1" x14ac:dyDescent="0.2">
      <c r="A35" s="91" t="str">
        <f ca="1">Translations!$A$30</f>
        <v xml:space="preserve">Section D: Previous, Current and Anticipated External Resources (Global Fund)  </v>
      </c>
      <c r="B35" s="92"/>
      <c r="C35" s="93"/>
    </row>
    <row r="36" spans="1:3" ht="75" customHeight="1" x14ac:dyDescent="0.2">
      <c r="A36" s="83" t="str">
        <f ca="1">Translations!$A$31</f>
        <v>LINE D: Total EXTERNAL (Global Fund)</v>
      </c>
      <c r="B36" s="89"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89"/>
    </row>
    <row r="37" spans="1:3" ht="30" customHeight="1" x14ac:dyDescent="0.2">
      <c r="A37" s="83" t="str">
        <f ca="1">Translations!$A$32</f>
        <v xml:space="preserve">LINE E: Total Anticipated Resources </v>
      </c>
      <c r="B37" s="89" t="str">
        <f ca="1">Translations!$A$69</f>
        <v>Line E calculates automatically the total annual amounts of planned resources for the national strategic plan (Line B+C+D) for the implementation years of the funding request.</v>
      </c>
      <c r="C37" s="89"/>
    </row>
    <row r="38" spans="1:3" ht="45" customHeight="1" x14ac:dyDescent="0.2">
      <c r="A38" s="83" t="str">
        <f ca="1">Translations!$A$33</f>
        <v>LINE F: Total Anticipated Funding Gap</v>
      </c>
      <c r="B38" s="89" t="str">
        <f ca="1">Translations!$A$70</f>
        <v xml:space="preserve">Line F automatically calculates the total annual funding gap by deducting annual anticipated resources (Line E) from annual funding need (Line A) for the implementation years of the funding request. </v>
      </c>
      <c r="C38" s="89"/>
    </row>
    <row r="39" spans="1:3" s="16" customFormat="1" ht="30" customHeight="1" x14ac:dyDescent="0.25">
      <c r="A39" s="83" t="str">
        <f ca="1">Translations!$A$34</f>
        <v>LINE G: Total Funding Request</v>
      </c>
      <c r="B39" s="89" t="str">
        <f ca="1">Translations!$A$71</f>
        <v>Enter annual funding requested from the Global Fund, the total of which should be within the country allocation communicated to the country.</v>
      </c>
      <c r="C39" s="89"/>
    </row>
    <row r="40" spans="1:3" ht="45" customHeight="1" x14ac:dyDescent="0.2">
      <c r="A40" s="83" t="str">
        <f ca="1">Translations!$A$35</f>
        <v xml:space="preserve">LINE H: Total Remaining Funding Gap </v>
      </c>
      <c r="B40" s="89" t="str">
        <f ca="1">Translations!$A$72</f>
        <v xml:space="preserve">Line H automatically calculates the total remaining funding gap by deducting the annual Global Fund request (Line G) from the anticipated funding gap (Line F) for the implementation years of the funding request. </v>
      </c>
      <c r="C40" s="89"/>
    </row>
    <row r="41" spans="1:3" ht="15" customHeight="1" x14ac:dyDescent="0.2">
      <c r="A41" s="94" t="str">
        <f ca="1">Translations!$A$7</f>
        <v>Overall Health Sector: Government Health Spending</v>
      </c>
      <c r="B41" s="94"/>
      <c r="C41" s="94"/>
    </row>
    <row r="42" spans="1:3" ht="45" customHeight="1" x14ac:dyDescent="0.2">
      <c r="A42" s="83" t="str">
        <f ca="1">Translations!$A$36</f>
        <v>Header: Level of Government</v>
      </c>
      <c r="B42" s="89" t="str">
        <f ca="1">Translations!$A$73</f>
        <v>Using drop down menu indicate whether the reported data on government health spending pertains only to central government entities or includes health spending by sub-national governments as well</v>
      </c>
      <c r="C42" s="89"/>
    </row>
    <row r="43" spans="1:3" ht="30" customHeight="1" x14ac:dyDescent="0.2">
      <c r="A43" s="83" t="str">
        <f ca="1">Translations!$A$37</f>
        <v>Header: Exchange Rate</v>
      </c>
      <c r="B43" s="89" t="str">
        <f ca="1">Translations!$A$74</f>
        <v>Enter annual exchange rate used to convert local currency to reporting currency (local currency units per US Dollar/Euro)</v>
      </c>
      <c r="C43" s="89"/>
    </row>
    <row r="44" spans="1:3" ht="45" customHeight="1" x14ac:dyDescent="0.2">
      <c r="A44" s="83" t="str">
        <f ca="1">Translations!$A$38</f>
        <v>Domestic source I1: Loans</v>
      </c>
      <c r="B44" s="89" t="str">
        <f ca="1">Translations!$A$75</f>
        <v xml:space="preserve">Enter the annual amounts raised by the government through loans from external sources or private creditors for health spending in (a) implementation years of the funding request, and (b) previous four years </v>
      </c>
      <c r="C44" s="89"/>
    </row>
    <row r="45" spans="1:3" ht="45" customHeight="1" x14ac:dyDescent="0.2">
      <c r="A45" s="83" t="str">
        <f ca="1">Translations!$A$39</f>
        <v>Domestic source I2: Debt Relief</v>
      </c>
      <c r="B45" s="89" t="str">
        <f ca="1">Translations!$A$76</f>
        <v xml:space="preserve">Enter the annual amounts raised by the government through debt relief proceeds for health spending in (a) implementation years of the funding request, and (b) previous three years </v>
      </c>
      <c r="C45" s="89"/>
    </row>
    <row r="46" spans="1:3" ht="30" customHeight="1" x14ac:dyDescent="0.2">
      <c r="A46" s="83" t="str">
        <f ca="1">Translations!$A$40</f>
        <v>Domestic source I3: Government Funding Resources</v>
      </c>
      <c r="B46" s="89" t="str">
        <f ca="1">Translations!$A$77</f>
        <v xml:space="preserve">Enter the annual amounts provided from government revenues for health spending in (a) implementation years of the funding request, and (b) previous three years </v>
      </c>
      <c r="C46" s="89"/>
    </row>
    <row r="47" spans="1:3" ht="30" customHeight="1" x14ac:dyDescent="0.2">
      <c r="A47" s="83" t="str">
        <f ca="1">Translations!$A$41</f>
        <v>Domestic source I4: Social Health Insurance</v>
      </c>
      <c r="B47" s="89" t="str">
        <f ca="1">Translations!$A$78</f>
        <v xml:space="preserve">Enter the annual amounts provided from social health insurance for health spending in (a) implementation years of the funding request, and (b) previous three years </v>
      </c>
      <c r="C47" s="89"/>
    </row>
    <row r="48" spans="1:3" ht="30" customHeight="1" x14ac:dyDescent="0.2">
      <c r="A48" s="83" t="str">
        <f ca="1">Translations!$A$42</f>
        <v>LINE I: Total Government Health Spending</v>
      </c>
      <c r="B48" s="89" t="str">
        <f ca="1">Translations!$A$79</f>
        <v>Each cell automatically calculates the total annual amounts of annual government health spending</v>
      </c>
      <c r="C48" s="89"/>
    </row>
    <row r="49" spans="1:3" ht="30" customHeight="1" x14ac:dyDescent="0.2">
      <c r="A49" s="83" t="str">
        <f ca="1">Translations!$A$43</f>
        <v>LINE J: Share of Health in Government Expenditure (in %)</v>
      </c>
      <c r="B49" s="89" t="str">
        <f ca="1">Translations!$A$80</f>
        <v>Enter the annual share of health in government expenditure</v>
      </c>
      <c r="C49" s="89"/>
    </row>
    <row r="50" spans="1:3" ht="45" customHeight="1" x14ac:dyDescent="0.2">
      <c r="A50" s="83" t="str">
        <f ca="1">Translations!$A$44</f>
        <v>LINE K: Total Government Commitments for Health Systems Strengthening</v>
      </c>
      <c r="B50" s="89"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89"/>
    </row>
    <row r="51" spans="1:3" ht="15" customHeight="1" x14ac:dyDescent="0.2">
      <c r="A51" s="94" t="str">
        <f ca="1">Translations!$A$8</f>
        <v>Detailed Financial Gap</v>
      </c>
      <c r="B51" s="94"/>
      <c r="C51" s="94"/>
    </row>
    <row r="52" spans="1:3" ht="75" customHeight="1" x14ac:dyDescent="0.2">
      <c r="A52" s="83" t="str">
        <f ca="1">Translations!$A$45</f>
        <v>Detailed financial gap analysis based on Global Fund modules</v>
      </c>
      <c r="B52" s="89"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89"/>
    </row>
    <row r="53" spans="1:3" ht="60" customHeight="1" x14ac:dyDescent="0.2">
      <c r="A53" s="84" t="str">
        <f ca="1">Translations!$A$46</f>
        <v>Detailed financial gap analysis based on NSP cost categories</v>
      </c>
      <c r="B53" s="90" t="str">
        <f ca="1">Translations!$A$83</f>
        <v xml:space="preserve">Enter cost categories used for costing of the National Strategic Plan. Against each cost category, enter the funding need and estimated funding available from domestic and non-Global Fund resources </v>
      </c>
      <c r="C53" s="90"/>
    </row>
  </sheetData>
  <sheetProtection algorithmName="SHA-512" hashValue="As2mk5pmsRL+hNWvouCX5rnpqXw/QVd3qU3is/1O/j3POKir45D1BBDPuMQFFexMeambNSSdKfP+WkJwCa2J6A==" saltValue="Fxq8uba5TBw4vBhCUMgjcg==" spinCount="100000" sheet="1" objects="1" scenarios="1" formatColumns="0" formatRows="0"/>
  <mergeCells count="51">
    <mergeCell ref="A4:B4"/>
    <mergeCell ref="A3:B3"/>
    <mergeCell ref="A2:B2"/>
    <mergeCell ref="A1:B1"/>
    <mergeCell ref="A8:A12"/>
    <mergeCell ref="B8:C8"/>
    <mergeCell ref="B9:C9"/>
    <mergeCell ref="B10:C10"/>
    <mergeCell ref="B11:C11"/>
    <mergeCell ref="B12:C12"/>
    <mergeCell ref="B28:C28"/>
    <mergeCell ref="B19:C19"/>
    <mergeCell ref="B20:C20"/>
    <mergeCell ref="B24:C24"/>
    <mergeCell ref="A25:C25"/>
    <mergeCell ref="A26:C26"/>
    <mergeCell ref="B27:C27"/>
    <mergeCell ref="A13:C13"/>
    <mergeCell ref="A21:C21"/>
    <mergeCell ref="B22:C22"/>
    <mergeCell ref="B18:C18"/>
    <mergeCell ref="A23:C23"/>
    <mergeCell ref="B14:C14"/>
    <mergeCell ref="B15:C15"/>
    <mergeCell ref="B16:C16"/>
    <mergeCell ref="B17:C17"/>
    <mergeCell ref="B39:C39"/>
    <mergeCell ref="B40:C40"/>
    <mergeCell ref="B42:C42"/>
    <mergeCell ref="B29:C29"/>
    <mergeCell ref="B30:C30"/>
    <mergeCell ref="B31:C31"/>
    <mergeCell ref="B32:C32"/>
    <mergeCell ref="A33:C33"/>
    <mergeCell ref="B34:C34"/>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3"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48" t="str">
        <f ca="1">Translations!$A$124</f>
        <v xml:space="preserve">Detailed Financial Gap </v>
      </c>
      <c r="B1" s="149"/>
      <c r="C1" s="150"/>
      <c r="D1" s="15" t="str">
        <f ca="1">Translations!$A$10</f>
        <v>Country</v>
      </c>
      <c r="E1" s="154" t="str">
        <f>VLOOKUP('Cover Sheet'!$D$8,Dropdowns!$I$3:$L$243,Translations!$C$1+1,0)</f>
        <v>Georgia</v>
      </c>
      <c r="F1" s="155"/>
      <c r="G1" s="156" t="str">
        <f ca="1">Translations!$A$85</f>
        <v>Component</v>
      </c>
      <c r="H1" s="158" t="str">
        <f ca="1">Translations!$A$90</f>
        <v>HIV/AIDS</v>
      </c>
      <c r="I1" s="177" t="str">
        <f ca="1">Translations!$A$86</f>
        <v>Fiscal Year in which implementation period starts</v>
      </c>
      <c r="J1" s="177"/>
      <c r="K1" s="177"/>
      <c r="L1" s="177"/>
      <c r="M1" s="178">
        <f>IF(ISNUMBER('Cover Sheet'!B13),'Cover Sheet'!B13,VLOOKUP("Select year",Dropdowns!$O$17:$R$17,LangOffset+1,0))</f>
        <v>2019</v>
      </c>
      <c r="N1" s="178"/>
    </row>
    <row r="2" spans="1:17" ht="15" customHeight="1" x14ac:dyDescent="0.2">
      <c r="A2" s="151"/>
      <c r="B2" s="152"/>
      <c r="C2" s="153"/>
      <c r="D2" s="15" t="str">
        <f ca="1">Translations!$A$12</f>
        <v>Currency</v>
      </c>
      <c r="E2" s="154" t="str">
        <f>VLOOKUP('Cover Sheet'!$D$10,Dropdowns!$O$13:$R$15,Translations!$C$1+1,0)</f>
        <v>USD</v>
      </c>
      <c r="F2" s="155"/>
      <c r="G2" s="157"/>
      <c r="H2" s="159"/>
      <c r="I2" s="177" t="str">
        <f ca="1">Translations!$A$87</f>
        <v>Fiscal Year in which implementation period ends</v>
      </c>
      <c r="J2" s="177"/>
      <c r="K2" s="177"/>
      <c r="L2" s="177"/>
      <c r="M2" s="178">
        <f>IF(ISNUMBER('Cover Sheet'!B14),'Cover Sheet'!B14,VLOOKUP("Select year",Dropdowns!$O$17:$R$17,LangOffset+1,0))</f>
        <v>2022</v>
      </c>
      <c r="N2" s="178"/>
    </row>
    <row r="3" spans="1:17" ht="30" customHeight="1" x14ac:dyDescent="0.2">
      <c r="A3" s="179" t="str">
        <f ca="1">Translations!$A$145</f>
        <v>NSP cost categories</v>
      </c>
      <c r="B3" s="139" t="str">
        <f ca="1">Translations!$A$126</f>
        <v>Funding Need</v>
      </c>
      <c r="C3" s="140"/>
      <c r="D3" s="140"/>
      <c r="E3" s="141"/>
      <c r="F3" s="139" t="str">
        <f ca="1">Translations!$A$127</f>
        <v>Domestic</v>
      </c>
      <c r="G3" s="140"/>
      <c r="H3" s="140"/>
      <c r="I3" s="141"/>
      <c r="J3" s="176" t="str">
        <f ca="1">Translations!$A$128</f>
        <v>Non Global Fund External</v>
      </c>
      <c r="K3" s="176"/>
      <c r="L3" s="176"/>
      <c r="M3" s="176"/>
      <c r="N3" s="176" t="str">
        <f ca="1">Translations!$A$129</f>
        <v>Funding Gap</v>
      </c>
      <c r="O3" s="176"/>
      <c r="P3" s="176"/>
      <c r="Q3" s="176"/>
    </row>
    <row r="4" spans="1:17" ht="15" customHeight="1" x14ac:dyDescent="0.2">
      <c r="A4" s="180"/>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8" t="str">
        <f ca="1">Translations!$A$124</f>
        <v xml:space="preserve">Detailed Financial Gap </v>
      </c>
      <c r="B1" s="149"/>
      <c r="C1" s="150"/>
      <c r="D1" s="15" t="str">
        <f ca="1">Translations!$A$10</f>
        <v>Country</v>
      </c>
      <c r="E1" s="154" t="str">
        <f>VLOOKUP('Cover Sheet'!$D$8,Dropdowns!$I$3:$L$243,Translations!$C$1+1,0)</f>
        <v>Georgia</v>
      </c>
      <c r="F1" s="155"/>
      <c r="G1" s="156" t="str">
        <f ca="1">Translations!$A$85</f>
        <v>Component</v>
      </c>
      <c r="H1" s="158" t="str">
        <f ca="1">Translations!$A$91</f>
        <v>TB</v>
      </c>
      <c r="I1" s="177" t="str">
        <f ca="1">Translations!$A$86</f>
        <v>Fiscal Year in which implementation period starts</v>
      </c>
      <c r="J1" s="177"/>
      <c r="K1" s="177"/>
      <c r="L1" s="177"/>
      <c r="M1" s="178">
        <f>IF(ISNUMBER('Cover Sheet'!C13),'Cover Sheet'!C13,VLOOKUP("Select year",Dropdowns!$O$17:$R$17,LangOffset+1,0))</f>
        <v>2020</v>
      </c>
      <c r="N1" s="178"/>
      <c r="O1" s="13"/>
      <c r="P1" s="13"/>
      <c r="Q1" s="13"/>
    </row>
    <row r="2" spans="1:17" s="6" customFormat="1" ht="15" customHeight="1" x14ac:dyDescent="0.2">
      <c r="A2" s="151"/>
      <c r="B2" s="152"/>
      <c r="C2" s="153"/>
      <c r="D2" s="15" t="str">
        <f ca="1">Translations!$A$12</f>
        <v>Currency</v>
      </c>
      <c r="E2" s="154" t="str">
        <f>VLOOKUP('Cover Sheet'!$D$10,Dropdowns!$O$13:$R$15,Translations!$C$1+1,0)</f>
        <v>USD</v>
      </c>
      <c r="F2" s="155"/>
      <c r="G2" s="157"/>
      <c r="H2" s="159"/>
      <c r="I2" s="177" t="str">
        <f ca="1">Translations!$A$87</f>
        <v>Fiscal Year in which implementation period ends</v>
      </c>
      <c r="J2" s="177"/>
      <c r="K2" s="177"/>
      <c r="L2" s="177"/>
      <c r="M2" s="178">
        <f>IF(ISNUMBER('Cover Sheet'!C14),'Cover Sheet'!C14,VLOOKUP("Select year",Dropdowns!$O$17:$R$17,LangOffset+1,0))</f>
        <v>2022</v>
      </c>
      <c r="N2" s="178"/>
      <c r="O2" s="13"/>
      <c r="P2" s="13"/>
      <c r="Q2" s="13"/>
    </row>
    <row r="3" spans="1:17" s="6" customFormat="1" ht="30" customHeight="1" x14ac:dyDescent="0.2">
      <c r="A3" s="179" t="str">
        <f ca="1">Translations!$A$125</f>
        <v>Module</v>
      </c>
      <c r="B3" s="139" t="str">
        <f ca="1">Translations!$A$126</f>
        <v>Funding Need</v>
      </c>
      <c r="C3" s="140"/>
      <c r="D3" s="140"/>
      <c r="E3" s="141"/>
      <c r="F3" s="139" t="str">
        <f ca="1">Translations!$A$127</f>
        <v>Domestic</v>
      </c>
      <c r="G3" s="140"/>
      <c r="H3" s="140"/>
      <c r="I3" s="141"/>
      <c r="J3" s="176" t="str">
        <f ca="1">Translations!$A$128</f>
        <v>Non Global Fund External</v>
      </c>
      <c r="K3" s="176"/>
      <c r="L3" s="176"/>
      <c r="M3" s="176"/>
      <c r="N3" s="176" t="str">
        <f ca="1">Translations!$A$129</f>
        <v>Funding Gap</v>
      </c>
      <c r="O3" s="176"/>
      <c r="P3" s="176"/>
      <c r="Q3" s="176"/>
    </row>
    <row r="4" spans="1:17" s="6" customFormat="1" ht="15" customHeight="1" x14ac:dyDescent="0.2">
      <c r="A4" s="180"/>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C12" sqref="C1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8" t="str">
        <f ca="1">Translations!$A$124</f>
        <v xml:space="preserve">Detailed Financial Gap </v>
      </c>
      <c r="B1" s="149"/>
      <c r="C1" s="150"/>
      <c r="D1" s="15" t="str">
        <f ca="1">Translations!$A$10</f>
        <v>Country</v>
      </c>
      <c r="E1" s="154" t="str">
        <f>VLOOKUP('Cover Sheet'!$D$8,Dropdowns!$I$3:$L$243,Translations!$C$1+1,0)</f>
        <v>Georgia</v>
      </c>
      <c r="F1" s="155"/>
      <c r="G1" s="156" t="str">
        <f ca="1">Translations!$A$85</f>
        <v>Component</v>
      </c>
      <c r="H1" s="158" t="str">
        <f ca="1">Translations!$A$91</f>
        <v>TB</v>
      </c>
      <c r="I1" s="177" t="str">
        <f ca="1">Translations!$A$86</f>
        <v>Fiscal Year in which implementation period starts</v>
      </c>
      <c r="J1" s="177"/>
      <c r="K1" s="177"/>
      <c r="L1" s="177"/>
      <c r="M1" s="178">
        <f>IF(ISNUMBER('Cover Sheet'!C13),'Cover Sheet'!C13,VLOOKUP("Select year",Dropdowns!$O$17:$R$17,LangOffset+1,0))</f>
        <v>2020</v>
      </c>
      <c r="N1" s="178"/>
    </row>
    <row r="2" spans="1:17" ht="15" customHeight="1" x14ac:dyDescent="0.2">
      <c r="A2" s="151"/>
      <c r="B2" s="152"/>
      <c r="C2" s="153"/>
      <c r="D2" s="15" t="str">
        <f ca="1">Translations!$A$12</f>
        <v>Currency</v>
      </c>
      <c r="E2" s="154" t="str">
        <f>VLOOKUP('Cover Sheet'!$D$10,Dropdowns!$O$13:$R$15,Translations!$C$1+1,0)</f>
        <v>USD</v>
      </c>
      <c r="F2" s="155"/>
      <c r="G2" s="157"/>
      <c r="H2" s="159"/>
      <c r="I2" s="177" t="str">
        <f ca="1">Translations!$A$87</f>
        <v>Fiscal Year in which implementation period ends</v>
      </c>
      <c r="J2" s="177"/>
      <c r="K2" s="177"/>
      <c r="L2" s="177"/>
      <c r="M2" s="178">
        <f>IF(ISNUMBER('Cover Sheet'!C14),'Cover Sheet'!C14,VLOOKUP("Select year",Dropdowns!$O$17:$R$17,LangOffset+1,0))</f>
        <v>2022</v>
      </c>
      <c r="N2" s="178"/>
    </row>
    <row r="3" spans="1:17" ht="30" customHeight="1" x14ac:dyDescent="0.2">
      <c r="A3" s="179" t="str">
        <f ca="1">Translations!$A$145</f>
        <v>NSP cost categories</v>
      </c>
      <c r="B3" s="139" t="str">
        <f ca="1">Translations!$A$126</f>
        <v>Funding Need</v>
      </c>
      <c r="C3" s="140"/>
      <c r="D3" s="140"/>
      <c r="E3" s="141"/>
      <c r="F3" s="139" t="str">
        <f ca="1">Translations!$A$127</f>
        <v>Domestic</v>
      </c>
      <c r="G3" s="140"/>
      <c r="H3" s="140"/>
      <c r="I3" s="141"/>
      <c r="J3" s="176" t="str">
        <f ca="1">Translations!$A$128</f>
        <v>Non Global Fund External</v>
      </c>
      <c r="K3" s="176"/>
      <c r="L3" s="176"/>
      <c r="M3" s="176"/>
      <c r="N3" s="176" t="str">
        <f ca="1">Translations!$A$129</f>
        <v>Funding Gap</v>
      </c>
      <c r="O3" s="176"/>
      <c r="P3" s="176"/>
      <c r="Q3" s="176"/>
    </row>
    <row r="4" spans="1:17" ht="15" customHeight="1" x14ac:dyDescent="0.2">
      <c r="A4" s="180"/>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x14ac:dyDescent="0.2">
      <c r="A5" s="10"/>
      <c r="B5" s="9"/>
      <c r="C5" s="9"/>
      <c r="D5" s="9"/>
      <c r="E5" s="8"/>
      <c r="F5" s="8"/>
      <c r="G5" s="8"/>
      <c r="H5" s="8"/>
      <c r="I5" s="8"/>
      <c r="J5" s="8"/>
      <c r="K5" s="7"/>
      <c r="L5" s="7"/>
      <c r="M5" s="7"/>
      <c r="N5" s="7"/>
      <c r="O5" s="7"/>
      <c r="P5" s="7"/>
      <c r="Q5" s="7"/>
    </row>
    <row r="6" spans="1:17" ht="33.75" customHeight="1" x14ac:dyDescent="0.2">
      <c r="A6" s="76" t="s">
        <v>1559</v>
      </c>
      <c r="B6" s="88">
        <v>2768000.5555581297</v>
      </c>
      <c r="C6" s="88">
        <v>2823652.6501366063</v>
      </c>
      <c r="D6" s="88">
        <v>2852384.8576971288</v>
      </c>
      <c r="E6" s="70"/>
      <c r="F6" s="70">
        <v>1667967</v>
      </c>
      <c r="G6" s="70">
        <v>1830223.5</v>
      </c>
      <c r="H6" s="70">
        <v>2045694</v>
      </c>
      <c r="I6" s="70"/>
      <c r="J6" s="70"/>
      <c r="K6" s="70"/>
      <c r="L6" s="70"/>
      <c r="M6" s="70"/>
      <c r="N6" s="11">
        <f t="shared" ref="N6:N20" si="0">B6-F6-J6</f>
        <v>1100033.5555581297</v>
      </c>
      <c r="O6" s="11">
        <f t="shared" ref="O6:O20" si="1">C6-G6-K6</f>
        <v>993429.1501366063</v>
      </c>
      <c r="P6" s="11">
        <f t="shared" ref="P6:P20" si="2">D6-H6-L6</f>
        <v>806690.85769712878</v>
      </c>
      <c r="Q6" s="11">
        <f t="shared" ref="Q6:Q20" si="3">E6-I6-M6</f>
        <v>0</v>
      </c>
    </row>
    <row r="7" spans="1:17" ht="36" customHeight="1" x14ac:dyDescent="0.2">
      <c r="A7" s="76" t="s">
        <v>1560</v>
      </c>
      <c r="B7" s="88">
        <v>7002757.6640614979</v>
      </c>
      <c r="C7" s="88">
        <v>6985057.8003379321</v>
      </c>
      <c r="D7" s="88">
        <v>6916457.1186639825</v>
      </c>
      <c r="E7" s="70"/>
      <c r="F7" s="70">
        <v>5686243.5</v>
      </c>
      <c r="G7" s="70">
        <v>5729409</v>
      </c>
      <c r="H7" s="70">
        <v>5727949.5</v>
      </c>
      <c r="I7" s="70"/>
      <c r="J7" s="70"/>
      <c r="K7" s="70"/>
      <c r="L7" s="70"/>
      <c r="M7" s="70"/>
      <c r="N7" s="11">
        <f t="shared" si="0"/>
        <v>1316514.1640614979</v>
      </c>
      <c r="O7" s="11">
        <f t="shared" si="1"/>
        <v>1255648.8003379321</v>
      </c>
      <c r="P7" s="11">
        <f t="shared" si="2"/>
        <v>1188507.6186639825</v>
      </c>
      <c r="Q7" s="11">
        <f t="shared" si="3"/>
        <v>0</v>
      </c>
    </row>
    <row r="8" spans="1:17" ht="27.75" customHeight="1" x14ac:dyDescent="0.2">
      <c r="A8" s="76" t="s">
        <v>1561</v>
      </c>
      <c r="B8" s="88">
        <v>1848654.1537120871</v>
      </c>
      <c r="C8" s="88">
        <v>1928769.1500933124</v>
      </c>
      <c r="D8" s="88">
        <v>1654810.5044654876</v>
      </c>
      <c r="E8" s="70"/>
      <c r="F8" s="70">
        <v>151630.5</v>
      </c>
      <c r="G8" s="70">
        <v>318297</v>
      </c>
      <c r="H8" s="70">
        <v>327316.5</v>
      </c>
      <c r="I8" s="70"/>
      <c r="J8" s="70"/>
      <c r="K8" s="70"/>
      <c r="L8" s="70"/>
      <c r="M8" s="70"/>
      <c r="N8" s="11">
        <f t="shared" si="0"/>
        <v>1697023.6537120871</v>
      </c>
      <c r="O8" s="11">
        <f t="shared" si="1"/>
        <v>1610472.1500933124</v>
      </c>
      <c r="P8" s="11">
        <f t="shared" si="2"/>
        <v>1327494.0044654876</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11619412.373331714</v>
      </c>
      <c r="C22" s="4">
        <f t="shared" si="4"/>
        <v>11737479.600567851</v>
      </c>
      <c r="D22" s="4">
        <f t="shared" si="4"/>
        <v>11423652.480826598</v>
      </c>
      <c r="E22" s="4">
        <f t="shared" si="4"/>
        <v>0</v>
      </c>
      <c r="F22" s="4">
        <f t="shared" si="4"/>
        <v>7505841</v>
      </c>
      <c r="G22" s="4">
        <f t="shared" si="4"/>
        <v>7877929.5</v>
      </c>
      <c r="H22" s="4">
        <f t="shared" si="4"/>
        <v>8100960</v>
      </c>
      <c r="I22" s="4">
        <f t="shared" si="4"/>
        <v>0</v>
      </c>
      <c r="J22" s="4">
        <f t="shared" si="4"/>
        <v>0</v>
      </c>
      <c r="K22" s="4">
        <f t="shared" si="4"/>
        <v>0</v>
      </c>
      <c r="L22" s="4">
        <f t="shared" si="4"/>
        <v>0</v>
      </c>
      <c r="M22" s="4">
        <f t="shared" si="4"/>
        <v>0</v>
      </c>
      <c r="N22" s="4">
        <f t="shared" si="4"/>
        <v>4113571.3733317144</v>
      </c>
      <c r="O22" s="4">
        <f t="shared" si="4"/>
        <v>3859550.1005678507</v>
      </c>
      <c r="P22" s="4">
        <f t="shared" si="4"/>
        <v>3322692.4808265986</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9:B20 C9:C20 E6:M20 D9:D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8" t="str">
        <f ca="1">Translations!$A$124</f>
        <v xml:space="preserve">Detailed Financial Gap </v>
      </c>
      <c r="B1" s="149"/>
      <c r="C1" s="150"/>
      <c r="D1" s="15" t="str">
        <f ca="1">Translations!$A$10</f>
        <v>Country</v>
      </c>
      <c r="E1" s="154" t="str">
        <f>VLOOKUP('Cover Sheet'!$D$8,Dropdowns!$I$3:$L$243,Translations!$C$1+1,0)</f>
        <v>Georgia</v>
      </c>
      <c r="F1" s="155"/>
      <c r="G1" s="156" t="str">
        <f ca="1">Translations!$A$85</f>
        <v>Component</v>
      </c>
      <c r="H1" s="158" t="str">
        <f ca="1">Translations!$A$92</f>
        <v>Malaria</v>
      </c>
      <c r="I1" s="177" t="str">
        <f ca="1">Translations!$A$86</f>
        <v>Fiscal Year in which implementation period starts</v>
      </c>
      <c r="J1" s="177"/>
      <c r="K1" s="177"/>
      <c r="L1" s="177"/>
      <c r="M1" s="178" t="str">
        <f>IF(ISNUMBER('Cover Sheet'!D13),'Cover Sheet'!D13,VLOOKUP("Select year",Dropdowns!$O$17:$R$17,LangOffset+1,0))</f>
        <v>Select year</v>
      </c>
      <c r="N1" s="178"/>
    </row>
    <row r="2" spans="1:17" ht="15" customHeight="1" x14ac:dyDescent="0.2">
      <c r="A2" s="151"/>
      <c r="B2" s="152"/>
      <c r="C2" s="153"/>
      <c r="D2" s="15" t="str">
        <f ca="1">Translations!$A$12</f>
        <v>Currency</v>
      </c>
      <c r="E2" s="154" t="str">
        <f>VLOOKUP('Cover Sheet'!$D$10,Dropdowns!$O$13:$R$15,Translations!$C$1+1,0)</f>
        <v>USD</v>
      </c>
      <c r="F2" s="155"/>
      <c r="G2" s="157"/>
      <c r="H2" s="159"/>
      <c r="I2" s="177" t="str">
        <f ca="1">Translations!$A$87</f>
        <v>Fiscal Year in which implementation period ends</v>
      </c>
      <c r="J2" s="177"/>
      <c r="K2" s="177"/>
      <c r="L2" s="177"/>
      <c r="M2" s="178" t="str">
        <f>IF(ISNUMBER('Cover Sheet'!D14),'Cover Sheet'!D14,VLOOKUP("Select year",Dropdowns!$O$17:$R$17,LangOffset+1,0))</f>
        <v>Select year</v>
      </c>
      <c r="N2" s="178"/>
    </row>
    <row r="3" spans="1:17" ht="30" customHeight="1" x14ac:dyDescent="0.2">
      <c r="A3" s="179" t="str">
        <f ca="1">Translations!$A$125</f>
        <v>Module</v>
      </c>
      <c r="B3" s="139" t="str">
        <f ca="1">Translations!$A$126</f>
        <v>Funding Need</v>
      </c>
      <c r="C3" s="140"/>
      <c r="D3" s="140"/>
      <c r="E3" s="141"/>
      <c r="F3" s="139" t="str">
        <f ca="1">Translations!$A$127</f>
        <v>Domestic</v>
      </c>
      <c r="G3" s="140"/>
      <c r="H3" s="140"/>
      <c r="I3" s="141"/>
      <c r="J3" s="176" t="str">
        <f ca="1">Translations!$A$128</f>
        <v>Non Global Fund External</v>
      </c>
      <c r="K3" s="176"/>
      <c r="L3" s="176"/>
      <c r="M3" s="176"/>
      <c r="N3" s="176" t="str">
        <f ca="1">Translations!$A$129</f>
        <v>Funding Gap</v>
      </c>
      <c r="O3" s="176"/>
      <c r="P3" s="176"/>
      <c r="Q3" s="176"/>
    </row>
    <row r="4" spans="1:17" ht="15" customHeight="1" x14ac:dyDescent="0.2">
      <c r="A4" s="180"/>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8" t="str">
        <f ca="1">Translations!$A$124</f>
        <v xml:space="preserve">Detailed Financial Gap </v>
      </c>
      <c r="B1" s="149"/>
      <c r="C1" s="150"/>
      <c r="D1" s="15" t="str">
        <f ca="1">Translations!$A$10</f>
        <v>Country</v>
      </c>
      <c r="E1" s="154" t="str">
        <f>VLOOKUP('Cover Sheet'!$D$8,Dropdowns!$I$3:$L$243,Translations!$C$1+1,0)</f>
        <v>Georgia</v>
      </c>
      <c r="F1" s="155"/>
      <c r="G1" s="156" t="str">
        <f ca="1">Translations!$A$85</f>
        <v>Component</v>
      </c>
      <c r="H1" s="158" t="str">
        <f ca="1">Translations!$A$92</f>
        <v>Malaria</v>
      </c>
      <c r="I1" s="177" t="str">
        <f ca="1">Translations!$A$86</f>
        <v>Fiscal Year in which implementation period starts</v>
      </c>
      <c r="J1" s="177"/>
      <c r="K1" s="177"/>
      <c r="L1" s="177"/>
      <c r="M1" s="178" t="str">
        <f>IF(ISNUMBER('Cover Sheet'!D13),'Cover Sheet'!D13,VLOOKUP("Select year",Dropdowns!$O$17:$R$17,LangOffset+1,0))</f>
        <v>Select year</v>
      </c>
      <c r="N1" s="178"/>
    </row>
    <row r="2" spans="1:17" ht="15" customHeight="1" x14ac:dyDescent="0.2">
      <c r="A2" s="151"/>
      <c r="B2" s="152"/>
      <c r="C2" s="153"/>
      <c r="D2" s="15" t="str">
        <f ca="1">Translations!$A$12</f>
        <v>Currency</v>
      </c>
      <c r="E2" s="154" t="str">
        <f>VLOOKUP('Cover Sheet'!$D$10,Dropdowns!$O$13:$R$15,Translations!$C$1+1,0)</f>
        <v>USD</v>
      </c>
      <c r="F2" s="155"/>
      <c r="G2" s="157"/>
      <c r="H2" s="159"/>
      <c r="I2" s="177" t="str">
        <f ca="1">Translations!$A$87</f>
        <v>Fiscal Year in which implementation period ends</v>
      </c>
      <c r="J2" s="177"/>
      <c r="K2" s="177"/>
      <c r="L2" s="177"/>
      <c r="M2" s="178" t="str">
        <f>IF(ISNUMBER('Cover Sheet'!D14),'Cover Sheet'!D14,VLOOKUP("Select year",Dropdowns!$O$17:$R$17,LangOffset+1,0))</f>
        <v>Select year</v>
      </c>
      <c r="N2" s="178"/>
    </row>
    <row r="3" spans="1:17" ht="30" customHeight="1" x14ac:dyDescent="0.2">
      <c r="A3" s="179" t="str">
        <f ca="1">Translations!$A$145</f>
        <v>NSP cost categories</v>
      </c>
      <c r="B3" s="139" t="str">
        <f ca="1">Translations!$A$126</f>
        <v>Funding Need</v>
      </c>
      <c r="C3" s="140"/>
      <c r="D3" s="140"/>
      <c r="E3" s="141"/>
      <c r="F3" s="139" t="str">
        <f ca="1">Translations!$A$127</f>
        <v>Domestic</v>
      </c>
      <c r="G3" s="140"/>
      <c r="H3" s="140"/>
      <c r="I3" s="141"/>
      <c r="J3" s="176" t="str">
        <f ca="1">Translations!$A$128</f>
        <v>Non Global Fund External</v>
      </c>
      <c r="K3" s="176"/>
      <c r="L3" s="176"/>
      <c r="M3" s="176"/>
      <c r="N3" s="176" t="str">
        <f ca="1">Translations!$A$129</f>
        <v>Funding Gap</v>
      </c>
      <c r="O3" s="176"/>
      <c r="P3" s="176"/>
      <c r="Q3" s="176"/>
    </row>
    <row r="4" spans="1:17" ht="15" customHeight="1" x14ac:dyDescent="0.2">
      <c r="A4" s="180"/>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B24" sqref="B24"/>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5"/>
      <c r="B1" s="115"/>
      <c r="C1" s="60"/>
      <c r="D1" s="18"/>
    </row>
    <row r="2" spans="1:4" s="20" customFormat="1" ht="20.100000000000001" customHeight="1" x14ac:dyDescent="0.25">
      <c r="A2" s="120" t="s">
        <v>1506</v>
      </c>
      <c r="B2" s="121"/>
      <c r="D2" s="19"/>
    </row>
    <row r="3" spans="1:4" ht="20.100000000000001" customHeight="1" x14ac:dyDescent="0.25">
      <c r="A3" s="104" t="s">
        <v>1507</v>
      </c>
      <c r="B3" s="105"/>
      <c r="D3" s="21"/>
    </row>
    <row r="4" spans="1:4" ht="20.100000000000001" customHeight="1" x14ac:dyDescent="0.2">
      <c r="A4" s="104" t="s">
        <v>1508</v>
      </c>
      <c r="B4" s="105"/>
      <c r="D4" s="22"/>
    </row>
    <row r="5" spans="1:4" ht="20.100000000000001" customHeight="1" x14ac:dyDescent="0.2">
      <c r="A5" s="104" t="s">
        <v>1509</v>
      </c>
      <c r="B5" s="105"/>
      <c r="D5" s="23"/>
    </row>
    <row r="6" spans="1:4" ht="20.100000000000001" customHeight="1" x14ac:dyDescent="0.2">
      <c r="A6" s="122" t="str">
        <f ca="1">Translations!$A$84</f>
        <v>Please read the Instructions sheet carefully before completing this form</v>
      </c>
      <c r="B6" s="123"/>
      <c r="C6" s="123"/>
      <c r="D6" s="124"/>
    </row>
    <row r="7" spans="1:4" ht="15" customHeight="1" x14ac:dyDescent="0.2">
      <c r="A7" s="6"/>
      <c r="B7" s="6"/>
      <c r="C7" s="6"/>
    </row>
    <row r="8" spans="1:4" ht="15" customHeight="1" x14ac:dyDescent="0.2">
      <c r="A8" s="34" t="str">
        <f ca="1">Translations!$A$10</f>
        <v>Country</v>
      </c>
      <c r="B8" s="116" t="s">
        <v>874</v>
      </c>
      <c r="C8" s="116"/>
      <c r="D8" s="86" t="str">
        <f>VLOOKUP(B8,Dropdowns!$E$3:$F$966,2,0)</f>
        <v>Georgia</v>
      </c>
    </row>
    <row r="9" spans="1:4" ht="15" customHeight="1" x14ac:dyDescent="0.2">
      <c r="A9" s="34" t="str">
        <f ca="1">Translations!$A$11</f>
        <v>Fiscal Cycle</v>
      </c>
      <c r="B9" s="117" t="s">
        <v>1338</v>
      </c>
      <c r="C9" s="117"/>
      <c r="D9" s="86" t="str">
        <f>VLOOKUP(B9,Dropdowns!$C$3:$D$22,2,0)</f>
        <v>January - December</v>
      </c>
    </row>
    <row r="10" spans="1:4" ht="15" customHeight="1" x14ac:dyDescent="0.2">
      <c r="A10" s="34" t="str">
        <f ca="1">Translations!$A$12</f>
        <v>Currency</v>
      </c>
      <c r="B10" s="118" t="s">
        <v>1489</v>
      </c>
      <c r="C10" s="119"/>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v>2020</v>
      </c>
      <c r="D13" s="73" t="str">
        <f>VLOOKUP("Select year",Dropdowns!$O$17:$R$17,LangOffset+1,0)</f>
        <v>Select year</v>
      </c>
    </row>
    <row r="14" spans="1:4" ht="27.6" customHeight="1" x14ac:dyDescent="0.2">
      <c r="A14" s="34" t="str">
        <f ca="1">Translations!$A$87</f>
        <v>Fiscal Year in which implementation period ends</v>
      </c>
      <c r="B14" s="73">
        <v>2022</v>
      </c>
      <c r="C14" s="73">
        <v>2022</v>
      </c>
      <c r="D14" s="73" t="str">
        <f>VLOOKUP("Select year",Dropdowns!$O$17:$R$17,LangOffset+1,0)</f>
        <v>Select year</v>
      </c>
    </row>
    <row r="15" spans="1:4" ht="27.6" customHeight="1" x14ac:dyDescent="0.2">
      <c r="A15" s="34" t="str">
        <f ca="1">Translations!$A$88</f>
        <v>Current funding request pertains to a program:</v>
      </c>
      <c r="B15" s="73" t="s">
        <v>1499</v>
      </c>
      <c r="C15" s="73" t="s">
        <v>1499</v>
      </c>
      <c r="D15" s="73" t="str">
        <f>VLOOKUP("Select",Dropdowns!$V$13:$Y$13,LangOffset+1,0)</f>
        <v>Select</v>
      </c>
    </row>
    <row r="16" spans="1:4" ht="27.6" customHeight="1" x14ac:dyDescent="0.2">
      <c r="A16" s="34" t="str">
        <f ca="1">Translations!$A$89</f>
        <v>Detailed Financial Gap based on:</v>
      </c>
      <c r="B16" s="75" t="s">
        <v>1471</v>
      </c>
      <c r="C16" s="75" t="s">
        <v>1471</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D16 D13 C10 C8 C9 D14 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SheetLayoutView="100" workbookViewId="0">
      <selection activeCell="E12" sqref="E1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8" t="str">
        <f ca="1">Translations!$A$93</f>
        <v>Financial Gap Overview Table</v>
      </c>
      <c r="B1" s="149"/>
      <c r="C1" s="150"/>
      <c r="D1" s="15" t="str">
        <f ca="1">Translations!$A$10</f>
        <v>Country</v>
      </c>
      <c r="E1" s="154" t="str">
        <f>VLOOKUP('Cover Sheet'!$D$8,Dropdowns!$I$3:$L$243,Translations!$C$1+1,0)</f>
        <v>Georgia</v>
      </c>
      <c r="F1" s="155"/>
      <c r="G1" s="156" t="str">
        <f ca="1">Translations!$A$85</f>
        <v>Component</v>
      </c>
      <c r="H1" s="158" t="str">
        <f ca="1">Translations!$A$90</f>
        <v>HIV/AIDS</v>
      </c>
      <c r="I1" s="160" t="str">
        <f ca="1">Translations!$A$86</f>
        <v>Fiscal Year in which implementation period starts</v>
      </c>
      <c r="J1" s="161"/>
      <c r="K1" s="162"/>
      <c r="L1" s="14">
        <f>IF(ISNUMBER('Cover Sheet'!B13),'Cover Sheet'!B13,VLOOKUP("Select year",Dropdowns!$O$17:$R$17,LangOffset+1,0))</f>
        <v>2019</v>
      </c>
      <c r="M1" s="25"/>
      <c r="N1" s="25"/>
    </row>
    <row r="2" spans="1:14" ht="15" customHeight="1" x14ac:dyDescent="0.2">
      <c r="A2" s="151"/>
      <c r="B2" s="152"/>
      <c r="C2" s="153"/>
      <c r="D2" s="15" t="str">
        <f ca="1">Translations!$A$12</f>
        <v>Currency</v>
      </c>
      <c r="E2" s="154" t="str">
        <f>VLOOKUP('Cover Sheet'!$D$10,Dropdowns!$O$13:$R$15,Translations!$C$1+1,0)</f>
        <v>USD</v>
      </c>
      <c r="F2" s="155"/>
      <c r="G2" s="157"/>
      <c r="H2" s="159"/>
      <c r="I2" s="160" t="str">
        <f ca="1">Translations!$A$87</f>
        <v>Fiscal Year in which implementation period ends</v>
      </c>
      <c r="J2" s="161"/>
      <c r="K2" s="162"/>
      <c r="L2" s="14">
        <f>IF(ISNUMBER('Cover Sheet'!B14),'Cover Sheet'!B14,VLOOKUP("Select year",Dropdowns!$O$17:$R$17,LangOffset+1,0))</f>
        <v>2022</v>
      </c>
      <c r="M2" s="25"/>
      <c r="N2" s="25"/>
    </row>
    <row r="3" spans="1:14" ht="15" customHeight="1" x14ac:dyDescent="0.2">
      <c r="A3" s="61"/>
      <c r="B3" s="139" t="str">
        <f ca="1">Translations!$A$111</f>
        <v>Current and previous</v>
      </c>
      <c r="C3" s="140"/>
      <c r="D3" s="140"/>
      <c r="E3" s="139" t="str">
        <f ca="1">Translations!$A$112</f>
        <v>Estimated</v>
      </c>
      <c r="F3" s="140"/>
      <c r="G3" s="140"/>
      <c r="H3" s="140"/>
      <c r="I3" s="141"/>
      <c r="J3" s="142" t="str">
        <f ca="1">Translations!$A$113</f>
        <v>Data Source / Comments</v>
      </c>
      <c r="K3" s="143"/>
      <c r="L3" s="144"/>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5"/>
      <c r="K4" s="146"/>
      <c r="L4" s="147"/>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1"/>
      <c r="K5" s="132"/>
      <c r="L5" s="133"/>
      <c r="M5" s="27"/>
      <c r="N5" s="27"/>
    </row>
    <row r="6" spans="1:14" ht="15" customHeight="1" x14ac:dyDescent="0.2">
      <c r="A6" s="28" t="str">
        <f ca="1">Translations!$A$96</f>
        <v>Exchange Rate (Local currency units per USD or EUR)</v>
      </c>
      <c r="B6" s="65"/>
      <c r="C6" s="65"/>
      <c r="D6" s="65"/>
      <c r="E6" s="65">
        <f>'Government Health Spending'!E6</f>
        <v>2.66</v>
      </c>
      <c r="F6" s="65">
        <f>'Government Health Spending'!F6</f>
        <v>2.66</v>
      </c>
      <c r="G6" s="65">
        <f>'Government Health Spending'!G6</f>
        <v>2.66</v>
      </c>
      <c r="H6" s="65">
        <f>'Government Health Spending'!H6</f>
        <v>2.66</v>
      </c>
      <c r="I6" s="65"/>
      <c r="J6" s="131"/>
      <c r="K6" s="132"/>
      <c r="L6" s="133"/>
      <c r="M6" s="27"/>
      <c r="N6" s="27"/>
    </row>
    <row r="7" spans="1:14" ht="3" customHeight="1" x14ac:dyDescent="0.2">
      <c r="A7" s="10"/>
      <c r="B7" s="9"/>
      <c r="C7" s="9"/>
      <c r="D7" s="9"/>
      <c r="E7" s="8"/>
      <c r="F7" s="8"/>
      <c r="G7" s="8"/>
      <c r="H7" s="8"/>
      <c r="I7" s="8"/>
      <c r="J7" s="30"/>
      <c r="K7" s="31"/>
      <c r="L7" s="31"/>
      <c r="M7" s="27"/>
      <c r="N7" s="27"/>
    </row>
    <row r="8" spans="1:14" ht="41.25" customHeight="1" x14ac:dyDescent="0.2">
      <c r="A8" s="125" t="str">
        <f ca="1">Translations!$A$97</f>
        <v>LINE A: Total Funding needs for the National Strategic Plan (provide annual amounts)</v>
      </c>
      <c r="B8" s="126"/>
      <c r="C8" s="126"/>
      <c r="D8" s="127"/>
      <c r="E8" s="66">
        <v>18679678.670995988</v>
      </c>
      <c r="F8" s="66">
        <v>21519068.98042123</v>
      </c>
      <c r="G8" s="66">
        <v>24950055.021797419</v>
      </c>
      <c r="H8" s="66">
        <v>25621750.338543791</v>
      </c>
      <c r="I8" s="66"/>
      <c r="J8" s="131" t="s">
        <v>1553</v>
      </c>
      <c r="K8" s="132"/>
      <c r="L8" s="133"/>
      <c r="M8" s="27"/>
      <c r="N8" s="32"/>
    </row>
    <row r="9" spans="1:14" ht="15" customHeight="1" x14ac:dyDescent="0.2">
      <c r="A9" s="125" t="str">
        <f ca="1">Translations!$A$98</f>
        <v>LINES B, C and D: Previous, current and anticipated resources to meet the funding needs of the National Strategic Plan</v>
      </c>
      <c r="B9" s="126"/>
      <c r="C9" s="126"/>
      <c r="D9" s="126"/>
      <c r="E9" s="126"/>
      <c r="F9" s="126"/>
      <c r="G9" s="126"/>
      <c r="H9" s="126"/>
      <c r="I9" s="126"/>
      <c r="J9" s="126"/>
      <c r="K9" s="126"/>
      <c r="L9" s="127"/>
      <c r="M9" s="27"/>
      <c r="N9" s="27"/>
    </row>
    <row r="10" spans="1:14" ht="15" customHeight="1" x14ac:dyDescent="0.2">
      <c r="A10" s="33" t="str">
        <f ca="1">Translations!$A$99</f>
        <v>Domestic source B1: Loans</v>
      </c>
      <c r="B10" s="66"/>
      <c r="C10" s="66"/>
      <c r="D10" s="66"/>
      <c r="E10" s="66"/>
      <c r="F10" s="66"/>
      <c r="G10" s="66"/>
      <c r="H10" s="66"/>
      <c r="I10" s="66"/>
      <c r="J10" s="131"/>
      <c r="K10" s="132"/>
      <c r="L10" s="133"/>
      <c r="M10" s="27"/>
      <c r="N10" s="27"/>
    </row>
    <row r="11" spans="1:14" ht="15" customHeight="1" x14ac:dyDescent="0.2">
      <c r="A11" s="33" t="str">
        <f ca="1">Translations!$A$100</f>
        <v>Domestic source B2: Debt relief</v>
      </c>
      <c r="B11" s="66"/>
      <c r="C11" s="66"/>
      <c r="D11" s="66"/>
      <c r="E11" s="66"/>
      <c r="F11" s="66"/>
      <c r="G11" s="66"/>
      <c r="H11" s="66"/>
      <c r="I11" s="66"/>
      <c r="J11" s="131"/>
      <c r="K11" s="132"/>
      <c r="L11" s="133"/>
      <c r="M11" s="27"/>
      <c r="N11" s="27"/>
    </row>
    <row r="12" spans="1:14" ht="48.75" customHeight="1" x14ac:dyDescent="0.2">
      <c r="A12" s="33" t="str">
        <f ca="1">Translations!$A$101</f>
        <v>Domestic source B3: Government revenues</v>
      </c>
      <c r="B12" s="66">
        <v>12854447.542992353</v>
      </c>
      <c r="C12" s="66">
        <v>13579336.283185842</v>
      </c>
      <c r="D12" s="66">
        <v>13580999.60536701</v>
      </c>
      <c r="E12" s="66">
        <v>15918421.052631577</v>
      </c>
      <c r="F12" s="66">
        <v>16934210.52631579</v>
      </c>
      <c r="G12" s="66">
        <v>21343609.022556391</v>
      </c>
      <c r="H12" s="66">
        <v>22504135.338345863</v>
      </c>
      <c r="I12" s="66"/>
      <c r="J12" s="131" t="s">
        <v>1556</v>
      </c>
      <c r="K12" s="132"/>
      <c r="L12" s="133"/>
      <c r="M12" s="27"/>
      <c r="N12" s="27"/>
    </row>
    <row r="13" spans="1:14" ht="15" customHeight="1" x14ac:dyDescent="0.2">
      <c r="A13" s="33" t="str">
        <f ca="1">Translations!$A$102</f>
        <v>Domestic source B4: Social health insurance</v>
      </c>
      <c r="B13" s="66"/>
      <c r="C13" s="66"/>
      <c r="D13" s="66"/>
      <c r="E13" s="66"/>
      <c r="F13" s="66"/>
      <c r="G13" s="66"/>
      <c r="H13" s="66"/>
      <c r="I13" s="66"/>
      <c r="J13" s="131"/>
      <c r="K13" s="132"/>
      <c r="L13" s="133"/>
      <c r="M13" s="27"/>
      <c r="N13" s="27"/>
    </row>
    <row r="14" spans="1:14" ht="36" customHeight="1" x14ac:dyDescent="0.2">
      <c r="A14" s="33" t="str">
        <f ca="1">Translations!$A$103</f>
        <v>Domestic source B5: Private sector contributions (national)</v>
      </c>
      <c r="B14" s="66">
        <v>522391</v>
      </c>
      <c r="C14" s="66">
        <v>376292</v>
      </c>
      <c r="D14" s="66">
        <v>0</v>
      </c>
      <c r="E14" s="66">
        <v>96000</v>
      </c>
      <c r="F14" s="66">
        <v>96000</v>
      </c>
      <c r="G14" s="66">
        <v>96000</v>
      </c>
      <c r="H14" s="66">
        <v>96000</v>
      </c>
      <c r="I14" s="66"/>
      <c r="J14" s="131" t="s">
        <v>1557</v>
      </c>
      <c r="K14" s="132"/>
      <c r="L14" s="133"/>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13580999.60536701</v>
      </c>
      <c r="E15" s="35">
        <f t="shared" si="0"/>
        <v>16014421.052631577</v>
      </c>
      <c r="F15" s="35">
        <f t="shared" si="0"/>
        <v>17030210.52631579</v>
      </c>
      <c r="G15" s="35">
        <f t="shared" si="0"/>
        <v>21439609.022556391</v>
      </c>
      <c r="H15" s="35">
        <f t="shared" si="0"/>
        <v>22600135.338345863</v>
      </c>
      <c r="I15" s="35">
        <f t="shared" si="0"/>
        <v>0</v>
      </c>
      <c r="J15" s="128"/>
      <c r="K15" s="137"/>
      <c r="L15" s="138"/>
      <c r="M15" s="27"/>
      <c r="N15" s="27"/>
    </row>
    <row r="16" spans="1:14" ht="25.5" customHeight="1" x14ac:dyDescent="0.2">
      <c r="A16" s="64" t="s">
        <v>1443</v>
      </c>
      <c r="B16" s="67">
        <f>267042/2.5</f>
        <v>106816.8</v>
      </c>
      <c r="C16" s="67">
        <v>181256</v>
      </c>
      <c r="D16" s="67">
        <v>1165458</v>
      </c>
      <c r="E16" s="67">
        <v>25000</v>
      </c>
      <c r="F16" s="67">
        <v>25000</v>
      </c>
      <c r="G16" s="67">
        <v>25000</v>
      </c>
      <c r="H16" s="67">
        <v>25000</v>
      </c>
      <c r="I16" s="67"/>
      <c r="J16" s="131" t="s">
        <v>1558</v>
      </c>
      <c r="K16" s="132"/>
      <c r="L16" s="133"/>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31"/>
      <c r="K17" s="132"/>
      <c r="L17" s="133"/>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31"/>
      <c r="K18" s="132"/>
      <c r="L18" s="133"/>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31"/>
      <c r="K19" s="132"/>
      <c r="L19" s="133"/>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31"/>
      <c r="K20" s="132"/>
      <c r="L20" s="133"/>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31"/>
      <c r="K21" s="132"/>
      <c r="L21" s="133"/>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31"/>
      <c r="K22" s="132"/>
      <c r="L22" s="133"/>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31"/>
      <c r="K23" s="132"/>
      <c r="L23" s="133"/>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31"/>
      <c r="K24" s="132"/>
      <c r="L24" s="133"/>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31"/>
      <c r="K25" s="132"/>
      <c r="L25" s="133"/>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31"/>
      <c r="K26" s="132"/>
      <c r="L26" s="133"/>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31"/>
      <c r="K27" s="132"/>
      <c r="L27" s="133"/>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31"/>
      <c r="K28" s="132"/>
      <c r="L28" s="133"/>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1165458</v>
      </c>
      <c r="E29" s="4">
        <f t="shared" si="1"/>
        <v>25000</v>
      </c>
      <c r="F29" s="4">
        <f t="shared" si="1"/>
        <v>25000</v>
      </c>
      <c r="G29" s="4">
        <f t="shared" si="1"/>
        <v>25000</v>
      </c>
      <c r="H29" s="4">
        <f t="shared" si="1"/>
        <v>25000</v>
      </c>
      <c r="I29" s="4">
        <f t="shared" si="1"/>
        <v>0</v>
      </c>
      <c r="J29" s="128"/>
      <c r="K29" s="137"/>
      <c r="L29" s="138"/>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31" t="s">
        <v>1555</v>
      </c>
      <c r="K30" s="132">
        <v>0</v>
      </c>
      <c r="L30" s="133"/>
    </row>
    <row r="31" spans="1:14" ht="3" customHeight="1" x14ac:dyDescent="0.2">
      <c r="A31" s="10"/>
      <c r="B31" s="9"/>
      <c r="C31" s="9"/>
      <c r="D31" s="9"/>
      <c r="E31" s="8"/>
      <c r="F31" s="8"/>
      <c r="G31" s="8"/>
      <c r="H31" s="8"/>
      <c r="I31" s="8"/>
      <c r="J31" s="36"/>
      <c r="K31" s="37"/>
      <c r="L31" s="37"/>
      <c r="M31" s="27"/>
      <c r="N31" s="27"/>
    </row>
    <row r="32" spans="1:14" ht="15" customHeight="1" x14ac:dyDescent="0.2">
      <c r="A32" s="125" t="str">
        <f ca="1">Translations!$A$107</f>
        <v xml:space="preserve">LINE E: Total anticipated resources (annual amounts) </v>
      </c>
      <c r="B32" s="126"/>
      <c r="C32" s="126"/>
      <c r="D32" s="127"/>
      <c r="E32" s="4">
        <f>SUM(E30+E29+E15)</f>
        <v>18539421.052631579</v>
      </c>
      <c r="F32" s="4">
        <f>SUM(F30+F29+F15)</f>
        <v>17055210.52631579</v>
      </c>
      <c r="G32" s="4">
        <f>SUM(G30+G29+G15)</f>
        <v>21464609.022556391</v>
      </c>
      <c r="H32" s="4">
        <f>SUM(H30+H29+H15)</f>
        <v>22625135.338345863</v>
      </c>
      <c r="I32" s="4">
        <f>SUM(I30+I29+I15)</f>
        <v>0</v>
      </c>
      <c r="J32" s="128"/>
      <c r="K32" s="137"/>
      <c r="L32" s="138"/>
    </row>
    <row r="33" spans="1:14" ht="15" customHeight="1" x14ac:dyDescent="0.2">
      <c r="A33" s="125" t="str">
        <f ca="1">Translations!$A$108</f>
        <v>LINE F: Annual anticipated funding gap (Line A-E)</v>
      </c>
      <c r="B33" s="126"/>
      <c r="C33" s="126"/>
      <c r="D33" s="127"/>
      <c r="E33" s="4">
        <f>+E8-E32</f>
        <v>140257.61836440861</v>
      </c>
      <c r="F33" s="4">
        <f>+F8-F32</f>
        <v>4463858.4541054405</v>
      </c>
      <c r="G33" s="4">
        <f>+G8-G32</f>
        <v>3485445.999241028</v>
      </c>
      <c r="H33" s="4">
        <f>+H8-H32</f>
        <v>2996615.0001979284</v>
      </c>
      <c r="I33" s="4">
        <f>+I8-I32</f>
        <v>0</v>
      </c>
      <c r="J33" s="128"/>
      <c r="K33" s="129"/>
      <c r="L33" s="130"/>
      <c r="M33" s="27"/>
      <c r="N33" s="27"/>
    </row>
    <row r="34" spans="1:14" ht="15" customHeight="1" x14ac:dyDescent="0.2">
      <c r="A34" s="125" t="str">
        <f ca="1">Translations!$A$109</f>
        <v>LINE G: Funding request within the country allocation</v>
      </c>
      <c r="B34" s="126"/>
      <c r="C34" s="126"/>
      <c r="D34" s="127"/>
      <c r="E34" s="67">
        <v>1702547.4540092668</v>
      </c>
      <c r="F34" s="66">
        <v>3227484.85709946</v>
      </c>
      <c r="G34" s="66">
        <v>2983152.6384905563</v>
      </c>
      <c r="H34" s="66">
        <v>1435257.8311526626</v>
      </c>
      <c r="I34" s="67"/>
      <c r="J34" s="131"/>
      <c r="K34" s="132"/>
      <c r="L34" s="133"/>
      <c r="M34" s="27"/>
      <c r="N34" s="32"/>
    </row>
    <row r="35" spans="1:14" ht="15" customHeight="1" x14ac:dyDescent="0.2">
      <c r="A35" s="125" t="str">
        <f ca="1">Translations!$A$110</f>
        <v>LINE H: Total Remaining Funding Gap (annual amounts) (Line F-G)</v>
      </c>
      <c r="B35" s="126"/>
      <c r="C35" s="126"/>
      <c r="D35" s="127"/>
      <c r="E35" s="4">
        <f>E33-E34</f>
        <v>-1562289.8356448582</v>
      </c>
      <c r="F35" s="4">
        <f>F33-F34</f>
        <v>1236373.5970059806</v>
      </c>
      <c r="G35" s="4">
        <f>G33-G34</f>
        <v>502293.36075047171</v>
      </c>
      <c r="H35" s="4">
        <f>H33-H34</f>
        <v>1561357.1690452658</v>
      </c>
      <c r="I35" s="4">
        <f>I33-I34</f>
        <v>0</v>
      </c>
      <c r="J35" s="134"/>
      <c r="K35" s="135"/>
      <c r="L35" s="136"/>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zoomScaleNormal="100" zoomScaleSheetLayoutView="100" workbookViewId="0">
      <selection activeCell="D24" sqref="D24"/>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8" t="str">
        <f ca="1">Translations!$A$93</f>
        <v>Financial Gap Overview Table</v>
      </c>
      <c r="B1" s="149"/>
      <c r="C1" s="150"/>
      <c r="D1" s="15" t="str">
        <f ca="1">Translations!$A$10</f>
        <v>Country</v>
      </c>
      <c r="E1" s="154" t="str">
        <f>VLOOKUP('Cover Sheet'!$D$8,Dropdowns!$I$3:$L$243,Translations!$C$1+1,0)</f>
        <v>Georgia</v>
      </c>
      <c r="F1" s="155"/>
      <c r="G1" s="156" t="str">
        <f ca="1">Translations!$A$85</f>
        <v>Component</v>
      </c>
      <c r="H1" s="158" t="str">
        <f ca="1">Translations!$A$91</f>
        <v>TB</v>
      </c>
      <c r="I1" s="160" t="str">
        <f ca="1">Translations!$A$86</f>
        <v>Fiscal Year in which implementation period starts</v>
      </c>
      <c r="J1" s="161"/>
      <c r="K1" s="162"/>
      <c r="L1" s="14">
        <f>IF(ISNUMBER('Cover Sheet'!C13),'Cover Sheet'!C13,VLOOKUP("Select year",Dropdowns!$O$17:$R$17,LangOffset+1,0))</f>
        <v>2020</v>
      </c>
      <c r="M1" s="25"/>
      <c r="N1" s="25"/>
    </row>
    <row r="2" spans="1:14" ht="15" customHeight="1" x14ac:dyDescent="0.2">
      <c r="A2" s="151"/>
      <c r="B2" s="152"/>
      <c r="C2" s="153"/>
      <c r="D2" s="15" t="str">
        <f ca="1">Translations!$A$12</f>
        <v>Currency</v>
      </c>
      <c r="E2" s="154" t="str">
        <f>VLOOKUP('Cover Sheet'!$D$10,Dropdowns!$O$13:$R$15,Translations!$C$1+1,0)</f>
        <v>USD</v>
      </c>
      <c r="F2" s="155"/>
      <c r="G2" s="157"/>
      <c r="H2" s="159"/>
      <c r="I2" s="160" t="str">
        <f ca="1">Translations!$A$87</f>
        <v>Fiscal Year in which implementation period ends</v>
      </c>
      <c r="J2" s="161"/>
      <c r="K2" s="162"/>
      <c r="L2" s="14">
        <f>IF(ISNUMBER('Cover Sheet'!C14),'Cover Sheet'!C14,VLOOKUP("Select year",Dropdowns!$O$17:$R$17,LangOffset+1,0))</f>
        <v>2022</v>
      </c>
      <c r="M2" s="25"/>
      <c r="N2" s="25"/>
    </row>
    <row r="3" spans="1:14" ht="15" customHeight="1" x14ac:dyDescent="0.2">
      <c r="A3" s="61"/>
      <c r="B3" s="139" t="str">
        <f ca="1">Translations!$A$111</f>
        <v>Current and previous</v>
      </c>
      <c r="C3" s="140"/>
      <c r="D3" s="140"/>
      <c r="E3" s="139" t="str">
        <f ca="1">Translations!$A$112</f>
        <v>Estimated</v>
      </c>
      <c r="F3" s="140"/>
      <c r="G3" s="140"/>
      <c r="H3" s="140"/>
      <c r="I3" s="141"/>
      <c r="J3" s="142" t="str">
        <f ca="1">Translations!$A$113</f>
        <v>Data Source / Comments</v>
      </c>
      <c r="K3" s="143"/>
      <c r="L3" s="144"/>
      <c r="M3" s="27"/>
      <c r="N3" s="27"/>
    </row>
    <row r="4" spans="1:14" ht="15" customHeight="1" x14ac:dyDescent="0.2">
      <c r="A4" s="28" t="str">
        <f ca="1">Translations!$A$94</f>
        <v>Fiscal Year</v>
      </c>
      <c r="B4" s="12">
        <f>IFERROR(C4-1,"")</f>
        <v>2017</v>
      </c>
      <c r="C4" s="12">
        <f>IFERROR(D4-1,"")</f>
        <v>2018</v>
      </c>
      <c r="D4" s="12">
        <f>IFERROR(L1-1,"")</f>
        <v>2019</v>
      </c>
      <c r="E4" s="12">
        <f>IF(ISNUMBER(L1),L1,"")</f>
        <v>2020</v>
      </c>
      <c r="F4" s="12">
        <f>IFERROR(E4+1,"")</f>
        <v>2021</v>
      </c>
      <c r="G4" s="12">
        <f>IFERROR(F4+1,"")</f>
        <v>2022</v>
      </c>
      <c r="H4" s="12">
        <f>IFERROR(G4+1,"")</f>
        <v>2023</v>
      </c>
      <c r="I4" s="12">
        <f>IFERROR(H4+1,"")</f>
        <v>2024</v>
      </c>
      <c r="J4" s="145"/>
      <c r="K4" s="146"/>
      <c r="L4" s="147"/>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01/2017 - 12/2017</v>
      </c>
      <c r="C5" s="29" t="str">
        <f>IFERROR(IF('Cover Sheet'!$D$9="January - December","01/"&amp;C4&amp;" - "&amp;"12/"&amp;C4,IF('Cover Sheet'!$D$9="April - March","04/"&amp;C4&amp;" - "&amp;"03/"&amp;C4+1,IF('Cover Sheet'!$D$9="July - June","07/"&amp;C4-1&amp;" - "&amp;"06/"&amp;C4,IF('Cover Sheet'!$D$9="October - September","10/"&amp;C4-1&amp;" - "&amp;"09/"&amp;C4,"")))),"")</f>
        <v>01/2018 - 12/2018</v>
      </c>
      <c r="D5" s="29" t="str">
        <f>IFERROR(IF('Cover Sheet'!$D$9="January - December","01/"&amp;D4&amp;" - "&amp;"12/"&amp;D4,IF('Cover Sheet'!$D$9="April - March","04/"&amp;D4&amp;" - "&amp;"03/"&amp;D4+1,IF('Cover Sheet'!$D$9="July - June","07/"&amp;D4-1&amp;" - "&amp;"06/"&amp;D4,IF('Cover Sheet'!$D$9="October - September","10/"&amp;D4-1&amp;" - "&amp;"09/"&amp;D4,"")))),"")</f>
        <v>01/2019 - 12/2019</v>
      </c>
      <c r="E5" s="29" t="str">
        <f>IFERROR(IF('Cover Sheet'!$D$9="January - December","01/"&amp;E4&amp;" - "&amp;"12/"&amp;E4,IF('Cover Sheet'!$D$9="April - March","04/"&amp;E4&amp;" - "&amp;"03/"&amp;E4+1,IF('Cover Sheet'!$D$9="July - June","07/"&amp;E4-1&amp;" - "&amp;"06/"&amp;E4,IF('Cover Sheet'!$D$9="October - September","10/"&amp;E4-1&amp;" - "&amp;"09/"&amp;E4,"")))),"")</f>
        <v>01/2020 - 12/2020</v>
      </c>
      <c r="F5" s="29" t="str">
        <f>IFERROR(IF('Cover Sheet'!$D$9="January - December","01/"&amp;F4&amp;" - "&amp;"12/"&amp;F4,IF('Cover Sheet'!$D$9="April - March","04/"&amp;F4&amp;" - "&amp;"03/"&amp;F4+1,IF('Cover Sheet'!$D$9="July - June","07/"&amp;F4-1&amp;" - "&amp;"06/"&amp;F4,IF('Cover Sheet'!$D$9="October - September","10/"&amp;F4-1&amp;" - "&amp;"09/"&amp;F4,"")))),"")</f>
        <v>01/2021 - 12/2021</v>
      </c>
      <c r="G5" s="29" t="str">
        <f>IFERROR(IF('Cover Sheet'!$D$9="January - December","01/"&amp;G4&amp;" - "&amp;"12/"&amp;G4,IF('Cover Sheet'!$D$9="April - March","04/"&amp;G4&amp;" - "&amp;"03/"&amp;G4+1,IF('Cover Sheet'!$D$9="July - June","07/"&amp;G4-1&amp;" - "&amp;"06/"&amp;G4,IF('Cover Sheet'!$D$9="October - September","10/"&amp;G4-1&amp;" - "&amp;"09/"&amp;G4,"")))),"")</f>
        <v>01/2022 - 12/2022</v>
      </c>
      <c r="H5" s="29" t="str">
        <f>IFERROR(IF('Cover Sheet'!$D$9="January - December","01/"&amp;H4&amp;" - "&amp;"12/"&amp;H4,IF('Cover Sheet'!$D$9="April - March","04/"&amp;H4&amp;" - "&amp;"03/"&amp;H4+1,IF('Cover Sheet'!$D$9="July - June","07/"&amp;H4-1&amp;" - "&amp;"06/"&amp;H4,IF('Cover Sheet'!$D$9="October - September","10/"&amp;H4-1&amp;" - "&amp;"09/"&amp;H4,"")))),"")</f>
        <v>01/2023 - 12/2023</v>
      </c>
      <c r="I5" s="29" t="str">
        <f>IFERROR(IF('Cover Sheet'!$D$9="January - December","01/"&amp;I4&amp;" - "&amp;"12/"&amp;I4,IF('Cover Sheet'!$D$9="April - March","04/"&amp;I4&amp;" - "&amp;"03/"&amp;I4+1,IF('Cover Sheet'!$D$9="July - June","07/"&amp;I4-1&amp;" - "&amp;"06/"&amp;I4,IF('Cover Sheet'!$D$9="October - September","10/"&amp;I4-1&amp;" - "&amp;"09/"&amp;I4,"")))),"")</f>
        <v>01/2024 - 12/2024</v>
      </c>
      <c r="J5" s="131"/>
      <c r="K5" s="132"/>
      <c r="L5" s="133"/>
      <c r="M5" s="27"/>
      <c r="N5" s="27"/>
    </row>
    <row r="6" spans="1:14" ht="15" customHeight="1" x14ac:dyDescent="0.2">
      <c r="A6" s="28" t="str">
        <f ca="1">Translations!$A$96</f>
        <v>Exchange Rate (Local currency units per USD or EUR)</v>
      </c>
      <c r="B6" s="65"/>
      <c r="C6" s="65"/>
      <c r="D6" s="65">
        <f>'Government Health Spending'!E6</f>
        <v>2.66</v>
      </c>
      <c r="E6" s="65">
        <f>'Government Health Spending'!F6</f>
        <v>2.66</v>
      </c>
      <c r="F6" s="65">
        <f>'Government Health Spending'!G6</f>
        <v>2.66</v>
      </c>
      <c r="G6" s="65">
        <f>'Government Health Spending'!H6</f>
        <v>2.66</v>
      </c>
      <c r="H6" s="65"/>
      <c r="I6" s="65"/>
      <c r="J6" s="131"/>
      <c r="K6" s="132"/>
      <c r="L6" s="133"/>
      <c r="M6" s="27"/>
      <c r="N6" s="27"/>
    </row>
    <row r="7" spans="1:14" ht="3" customHeight="1" x14ac:dyDescent="0.2">
      <c r="A7" s="10"/>
      <c r="B7" s="9"/>
      <c r="C7" s="9"/>
      <c r="D7" s="9"/>
      <c r="E7" s="8"/>
      <c r="F7" s="8"/>
      <c r="G7" s="8"/>
      <c r="H7" s="8"/>
      <c r="I7" s="8"/>
      <c r="J7" s="30"/>
      <c r="K7" s="31"/>
      <c r="L7" s="31"/>
      <c r="M7" s="27"/>
      <c r="N7" s="27"/>
    </row>
    <row r="8" spans="1:14" ht="30" customHeight="1" x14ac:dyDescent="0.2">
      <c r="A8" s="125" t="str">
        <f ca="1">Translations!$A$97</f>
        <v>LINE A: Total Funding needs for the National Strategic Plan (provide annual amounts)</v>
      </c>
      <c r="B8" s="126"/>
      <c r="C8" s="126"/>
      <c r="D8" s="127"/>
      <c r="E8" s="66">
        <f>TB.Gap.Detail.NSP!B22</f>
        <v>11619412.373331714</v>
      </c>
      <c r="F8" s="66">
        <f>TB.Gap.Detail.NSP!C22</f>
        <v>11737479.600567851</v>
      </c>
      <c r="G8" s="66">
        <f>TB.Gap.Detail.NSP!D22</f>
        <v>11423652.480826598</v>
      </c>
      <c r="H8" s="66"/>
      <c r="I8" s="66"/>
      <c r="J8" s="131" t="s">
        <v>1562</v>
      </c>
      <c r="K8" s="132"/>
      <c r="L8" s="133"/>
      <c r="M8" s="27"/>
      <c r="N8" s="32"/>
    </row>
    <row r="9" spans="1:14" ht="15" customHeight="1" x14ac:dyDescent="0.2">
      <c r="A9" s="125" t="str">
        <f ca="1">Translations!$A$98</f>
        <v>LINES B, C and D: Previous, current and anticipated resources to meet the funding needs of the National Strategic Plan</v>
      </c>
      <c r="B9" s="126"/>
      <c r="C9" s="126"/>
      <c r="D9" s="126"/>
      <c r="E9" s="126"/>
      <c r="F9" s="126"/>
      <c r="G9" s="126"/>
      <c r="H9" s="126"/>
      <c r="I9" s="126"/>
      <c r="J9" s="126"/>
      <c r="K9" s="126"/>
      <c r="L9" s="127"/>
      <c r="M9" s="27"/>
      <c r="N9" s="27"/>
    </row>
    <row r="10" spans="1:14" ht="15" customHeight="1" x14ac:dyDescent="0.2">
      <c r="A10" s="33" t="str">
        <f ca="1">Translations!$A$99</f>
        <v>Domestic source B1: Loans</v>
      </c>
      <c r="B10" s="66"/>
      <c r="C10" s="66"/>
      <c r="D10" s="66"/>
      <c r="E10" s="66"/>
      <c r="F10" s="66"/>
      <c r="G10" s="66"/>
      <c r="H10" s="66"/>
      <c r="I10" s="66"/>
      <c r="J10" s="131"/>
      <c r="K10" s="132"/>
      <c r="L10" s="133"/>
      <c r="M10" s="27"/>
      <c r="N10" s="27"/>
    </row>
    <row r="11" spans="1:14" ht="15" customHeight="1" x14ac:dyDescent="0.2">
      <c r="A11" s="33" t="str">
        <f ca="1">Translations!$A$100</f>
        <v>Domestic source B2: Debt relief</v>
      </c>
      <c r="B11" s="66"/>
      <c r="C11" s="66"/>
      <c r="D11" s="66"/>
      <c r="E11" s="66"/>
      <c r="F11" s="66"/>
      <c r="G11" s="66"/>
      <c r="H11" s="66"/>
      <c r="I11" s="66"/>
      <c r="J11" s="131"/>
      <c r="K11" s="132"/>
      <c r="L11" s="133"/>
      <c r="M11" s="27"/>
      <c r="N11" s="27"/>
    </row>
    <row r="12" spans="1:14" ht="48" customHeight="1" x14ac:dyDescent="0.2">
      <c r="A12" s="33" t="str">
        <f ca="1">Translations!$A$101</f>
        <v>Domestic source B3: Government revenues</v>
      </c>
      <c r="B12" s="66">
        <v>5023937.2558399113</v>
      </c>
      <c r="C12" s="66">
        <f>5220860.5406472+186218</f>
        <v>5407078.5406472003</v>
      </c>
      <c r="D12" s="66">
        <f>15670000/D6+334451</f>
        <v>6225428.4436090225</v>
      </c>
      <c r="E12" s="66">
        <f>TB.Gap.Detail.NSP!F22</f>
        <v>7505841</v>
      </c>
      <c r="F12" s="66">
        <f>TB.Gap.Detail.NSP!G22</f>
        <v>7877929.5</v>
      </c>
      <c r="G12" s="66">
        <f>TB.Gap.Detail.NSP!H22</f>
        <v>8100960</v>
      </c>
      <c r="H12" s="66"/>
      <c r="I12" s="66"/>
      <c r="J12" s="131" t="s">
        <v>1563</v>
      </c>
      <c r="K12" s="132"/>
      <c r="L12" s="133"/>
      <c r="M12" s="27"/>
      <c r="N12" s="27"/>
    </row>
    <row r="13" spans="1:14" ht="15" customHeight="1" x14ac:dyDescent="0.2">
      <c r="A13" s="33" t="str">
        <f ca="1">Translations!$A$102</f>
        <v>Domestic source B4: Social health insurance</v>
      </c>
      <c r="B13" s="66"/>
      <c r="C13" s="66"/>
      <c r="D13" s="66"/>
      <c r="E13" s="66"/>
      <c r="F13" s="66"/>
      <c r="G13" s="66"/>
      <c r="H13" s="66"/>
      <c r="I13" s="66"/>
      <c r="J13" s="131"/>
      <c r="K13" s="132"/>
      <c r="L13" s="133"/>
      <c r="M13" s="27"/>
      <c r="N13" s="27"/>
    </row>
    <row r="14" spans="1:14" ht="15" customHeight="1" x14ac:dyDescent="0.2">
      <c r="A14" s="33" t="str">
        <f ca="1">Translations!$A$103</f>
        <v>Domestic source B5: Private sector contributions (national)</v>
      </c>
      <c r="B14" s="66"/>
      <c r="C14" s="66"/>
      <c r="D14" s="66"/>
      <c r="E14" s="66"/>
      <c r="F14" s="66"/>
      <c r="G14" s="66"/>
      <c r="H14" s="66"/>
      <c r="I14" s="66"/>
      <c r="J14" s="131"/>
      <c r="K14" s="132"/>
      <c r="L14" s="133"/>
      <c r="M14" s="27"/>
      <c r="N14" s="27"/>
    </row>
    <row r="15" spans="1:14" ht="30" customHeight="1" x14ac:dyDescent="0.2">
      <c r="A15" s="34" t="str">
        <f ca="1">Translations!$A$104</f>
        <v>LINE B: Total previous, current and anticipated DOMESTIC resources</v>
      </c>
      <c r="B15" s="35">
        <f t="shared" ref="B15:I15" si="0">SUM(B10:B14)</f>
        <v>5023937.2558399113</v>
      </c>
      <c r="C15" s="35">
        <f t="shared" si="0"/>
        <v>5407078.5406472003</v>
      </c>
      <c r="D15" s="35">
        <f t="shared" si="0"/>
        <v>6225428.4436090225</v>
      </c>
      <c r="E15" s="35">
        <f t="shared" si="0"/>
        <v>7505841</v>
      </c>
      <c r="F15" s="35">
        <f t="shared" si="0"/>
        <v>7877929.5</v>
      </c>
      <c r="G15" s="35">
        <f t="shared" si="0"/>
        <v>8100960</v>
      </c>
      <c r="H15" s="35">
        <f t="shared" si="0"/>
        <v>0</v>
      </c>
      <c r="I15" s="35">
        <f t="shared" si="0"/>
        <v>0</v>
      </c>
      <c r="J15" s="128"/>
      <c r="K15" s="137"/>
      <c r="L15" s="138"/>
      <c r="M15" s="27"/>
      <c r="N15" s="27"/>
    </row>
    <row r="16" spans="1:14" ht="15" customHeight="1" x14ac:dyDescent="0.2">
      <c r="A16" s="64" t="s">
        <v>1439</v>
      </c>
      <c r="B16" s="67">
        <v>69660</v>
      </c>
      <c r="C16" s="67">
        <v>120276</v>
      </c>
      <c r="D16" s="67">
        <v>198800</v>
      </c>
      <c r="E16" s="67">
        <v>0</v>
      </c>
      <c r="F16" s="67">
        <v>0</v>
      </c>
      <c r="G16" s="67">
        <v>0</v>
      </c>
      <c r="H16" s="67"/>
      <c r="I16" s="67"/>
      <c r="J16" s="131"/>
      <c r="K16" s="132"/>
      <c r="L16" s="133"/>
      <c r="M16" s="27"/>
      <c r="N16" s="27"/>
    </row>
    <row r="17" spans="1:14" ht="15" customHeight="1" x14ac:dyDescent="0.2">
      <c r="A17" s="64" t="s">
        <v>1443</v>
      </c>
      <c r="B17" s="67">
        <v>232885.02514000001</v>
      </c>
      <c r="C17" s="67">
        <v>141277</v>
      </c>
      <c r="D17" s="67">
        <v>200000</v>
      </c>
      <c r="E17" s="67">
        <v>228000</v>
      </c>
      <c r="F17" s="67">
        <v>0</v>
      </c>
      <c r="G17" s="67">
        <v>0</v>
      </c>
      <c r="H17" s="67"/>
      <c r="I17" s="67"/>
      <c r="J17" s="131"/>
      <c r="K17" s="132"/>
      <c r="L17" s="133"/>
      <c r="M17" s="27"/>
      <c r="N17" s="27"/>
    </row>
    <row r="18" spans="1:14" ht="38.25" customHeight="1" x14ac:dyDescent="0.2">
      <c r="A18" s="64" t="s">
        <v>1430</v>
      </c>
      <c r="B18" s="67">
        <v>3913668.421531416</v>
      </c>
      <c r="C18" s="67">
        <v>1662753</v>
      </c>
      <c r="D18" s="67">
        <v>886577</v>
      </c>
      <c r="E18" s="67">
        <v>0</v>
      </c>
      <c r="F18" s="67">
        <v>0</v>
      </c>
      <c r="G18" s="67">
        <v>0</v>
      </c>
      <c r="H18" s="67"/>
      <c r="I18" s="67"/>
      <c r="J18" s="131"/>
      <c r="K18" s="132"/>
      <c r="L18" s="133"/>
      <c r="M18" s="27"/>
      <c r="N18" s="27"/>
    </row>
    <row r="19" spans="1:14" ht="15" customHeight="1" x14ac:dyDescent="0.2">
      <c r="A19" s="64" t="s">
        <v>1441</v>
      </c>
      <c r="B19" s="67">
        <v>30000</v>
      </c>
      <c r="C19" s="67">
        <v>30000</v>
      </c>
      <c r="D19" s="67">
        <v>50000</v>
      </c>
      <c r="E19" s="67">
        <v>50000</v>
      </c>
      <c r="F19" s="67">
        <v>50000</v>
      </c>
      <c r="G19" s="67">
        <v>50000</v>
      </c>
      <c r="H19" s="67"/>
      <c r="I19" s="67"/>
      <c r="J19" s="131"/>
      <c r="K19" s="132"/>
      <c r="L19" s="133"/>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1"/>
      <c r="K20" s="132"/>
      <c r="L20" s="133"/>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1"/>
      <c r="K21" s="132"/>
      <c r="L21" s="133"/>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1"/>
      <c r="K22" s="132"/>
      <c r="L22" s="133"/>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1"/>
      <c r="K23" s="132"/>
      <c r="L23" s="133"/>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1"/>
      <c r="K24" s="132"/>
      <c r="L24" s="133"/>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1"/>
      <c r="K25" s="132"/>
      <c r="L25" s="133"/>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1"/>
      <c r="K26" s="132"/>
      <c r="L26" s="133"/>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1"/>
      <c r="K27" s="132"/>
      <c r="L27" s="133"/>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1"/>
      <c r="K28" s="132"/>
      <c r="L28" s="133"/>
      <c r="M28" s="27"/>
      <c r="N28" s="27"/>
    </row>
    <row r="29" spans="1:14" ht="45" customHeight="1" x14ac:dyDescent="0.2">
      <c r="A29" s="34" t="str">
        <f ca="1">Translations!$A$105</f>
        <v>LINE C: Total previous, current and anticipated EXTERNAL Resources (non-Global Fund)</v>
      </c>
      <c r="B29" s="4">
        <f t="shared" ref="B29:I29" si="1">SUM(B16:B28)</f>
        <v>4246213.4466714161</v>
      </c>
      <c r="C29" s="4">
        <f t="shared" si="1"/>
        <v>1954306</v>
      </c>
      <c r="D29" s="4">
        <f t="shared" si="1"/>
        <v>1335377</v>
      </c>
      <c r="E29" s="4">
        <f t="shared" si="1"/>
        <v>278000</v>
      </c>
      <c r="F29" s="4">
        <f t="shared" si="1"/>
        <v>50000</v>
      </c>
      <c r="G29" s="4">
        <f t="shared" si="1"/>
        <v>50000</v>
      </c>
      <c r="H29" s="4">
        <f t="shared" si="1"/>
        <v>0</v>
      </c>
      <c r="I29" s="4">
        <f t="shared" si="1"/>
        <v>0</v>
      </c>
      <c r="J29" s="128"/>
      <c r="K29" s="137"/>
      <c r="L29" s="138"/>
    </row>
    <row r="30" spans="1:14" ht="60" customHeight="1" x14ac:dyDescent="0.2">
      <c r="A30" s="34" t="str">
        <f ca="1">Translations!$A$106</f>
        <v>LINE D: Total previous, current and anticipated Global Fund resources from existing grants (excluding amounts included in the funding request)</v>
      </c>
      <c r="B30" s="66">
        <v>2772900</v>
      </c>
      <c r="C30" s="66">
        <v>2780194.9603218473</v>
      </c>
      <c r="D30" s="66">
        <v>6572395.4099999992</v>
      </c>
      <c r="E30" s="66"/>
      <c r="F30" s="66"/>
      <c r="G30" s="66"/>
      <c r="H30" s="66"/>
      <c r="I30" s="66"/>
      <c r="J30" s="131"/>
      <c r="K30" s="132">
        <v>0</v>
      </c>
      <c r="L30" s="133"/>
    </row>
    <row r="31" spans="1:14" ht="3" customHeight="1" x14ac:dyDescent="0.2">
      <c r="A31" s="10"/>
      <c r="B31" s="9"/>
      <c r="C31" s="9"/>
      <c r="D31" s="9"/>
      <c r="E31" s="8"/>
      <c r="F31" s="8"/>
      <c r="G31" s="8"/>
      <c r="H31" s="8"/>
      <c r="I31" s="8"/>
      <c r="J31" s="36"/>
      <c r="K31" s="37"/>
      <c r="L31" s="37"/>
      <c r="M31" s="27"/>
      <c r="N31" s="27"/>
    </row>
    <row r="32" spans="1:14" ht="15" customHeight="1" x14ac:dyDescent="0.2">
      <c r="A32" s="125" t="str">
        <f ca="1">Translations!$A$107</f>
        <v xml:space="preserve">LINE E: Total anticipated resources (annual amounts) </v>
      </c>
      <c r="B32" s="126"/>
      <c r="C32" s="126"/>
      <c r="D32" s="127"/>
      <c r="E32" s="4">
        <f>SUM(E30+E29+E15)</f>
        <v>7783841</v>
      </c>
      <c r="F32" s="4">
        <f>SUM(F30+F29+F15)</f>
        <v>7927929.5</v>
      </c>
      <c r="G32" s="4">
        <f>SUM(G30+G29+G15)</f>
        <v>8150960</v>
      </c>
      <c r="H32" s="4">
        <f>SUM(H30+H29+H15)</f>
        <v>0</v>
      </c>
      <c r="I32" s="4">
        <f>SUM(I30+I29+I15)</f>
        <v>0</v>
      </c>
      <c r="J32" s="128"/>
      <c r="K32" s="137"/>
      <c r="L32" s="138"/>
    </row>
    <row r="33" spans="1:14" ht="15" customHeight="1" x14ac:dyDescent="0.2">
      <c r="A33" s="125" t="str">
        <f ca="1">Translations!$A$108</f>
        <v>LINE F: Annual anticipated funding gap (Line A-E)</v>
      </c>
      <c r="B33" s="126"/>
      <c r="C33" s="126"/>
      <c r="D33" s="127"/>
      <c r="E33" s="4">
        <f>+E8-E32</f>
        <v>3835571.3733317144</v>
      </c>
      <c r="F33" s="4">
        <f>+F8-F32</f>
        <v>3809550.1005678512</v>
      </c>
      <c r="G33" s="4">
        <f>+G8-G32</f>
        <v>3272692.4808265977</v>
      </c>
      <c r="H33" s="4">
        <f>+H8-H32</f>
        <v>0</v>
      </c>
      <c r="I33" s="4">
        <f>+I8-I32</f>
        <v>0</v>
      </c>
      <c r="J33" s="128"/>
      <c r="K33" s="129"/>
      <c r="L33" s="130"/>
      <c r="M33" s="27"/>
      <c r="N33" s="27"/>
    </row>
    <row r="34" spans="1:14" ht="15" customHeight="1" x14ac:dyDescent="0.2">
      <c r="A34" s="125" t="str">
        <f ca="1">Translations!$A$109</f>
        <v>LINE G: Funding request within the country allocation</v>
      </c>
      <c r="B34" s="126"/>
      <c r="C34" s="126"/>
      <c r="D34" s="127"/>
      <c r="E34" s="67">
        <v>2290866.8592637125</v>
      </c>
      <c r="F34" s="67">
        <v>2139990.2802400393</v>
      </c>
      <c r="G34" s="67">
        <v>1808762.1428915036</v>
      </c>
      <c r="H34" s="67"/>
      <c r="I34" s="67"/>
      <c r="J34" s="131"/>
      <c r="K34" s="132"/>
      <c r="L34" s="133"/>
      <c r="M34" s="27"/>
      <c r="N34" s="32"/>
    </row>
    <row r="35" spans="1:14" ht="15" customHeight="1" x14ac:dyDescent="0.2">
      <c r="A35" s="125" t="str">
        <f ca="1">Translations!$A$110</f>
        <v>LINE H: Total Remaining Funding Gap (annual amounts) (Line F-G)</v>
      </c>
      <c r="B35" s="126"/>
      <c r="C35" s="126"/>
      <c r="D35" s="127"/>
      <c r="E35" s="4">
        <f>E33-E34</f>
        <v>1544704.5140680019</v>
      </c>
      <c r="F35" s="4">
        <f>F33-F34</f>
        <v>1669559.8203278119</v>
      </c>
      <c r="G35" s="4">
        <f>G33-G34</f>
        <v>1463930.337935094</v>
      </c>
      <c r="H35" s="4">
        <f>H33-H34</f>
        <v>0</v>
      </c>
      <c r="I35" s="4">
        <f>I33-I34</f>
        <v>0</v>
      </c>
      <c r="J35" s="134"/>
      <c r="K35" s="135"/>
      <c r="L35" s="136"/>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conditionalFormatting sqref="E8:G8">
    <cfRule type="expression" dxfId="5" priority="6">
      <formula>$E$6&gt;$L$2</formula>
    </cfRule>
  </conditionalFormatting>
  <conditionalFormatting sqref="E10">
    <cfRule type="expression" dxfId="4" priority="5">
      <formula>$E$6&gt;$L$2</formula>
    </cfRule>
  </conditionalFormatting>
  <conditionalFormatting sqref="F11:I11 H12: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H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activeCell="E12" sqref="E1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8" t="str">
        <f ca="1">Translations!$A$93</f>
        <v>Financial Gap Overview Table</v>
      </c>
      <c r="B1" s="149"/>
      <c r="C1" s="150"/>
      <c r="D1" s="15" t="str">
        <f ca="1">Translations!$A$10</f>
        <v>Country</v>
      </c>
      <c r="E1" s="154" t="str">
        <f>VLOOKUP('Cover Sheet'!$D$8,Dropdowns!$I$3:$L$243,Translations!$C$1+1,0)</f>
        <v>Georgia</v>
      </c>
      <c r="F1" s="155"/>
      <c r="G1" s="156" t="str">
        <f ca="1">Translations!$A$85</f>
        <v>Component</v>
      </c>
      <c r="H1" s="158" t="str">
        <f ca="1">Translations!$A$92</f>
        <v>Malaria</v>
      </c>
      <c r="I1" s="160" t="str">
        <f ca="1">Translations!$A$86</f>
        <v>Fiscal Year in which implementation period starts</v>
      </c>
      <c r="J1" s="161"/>
      <c r="K1" s="162"/>
      <c r="L1" s="14" t="str">
        <f>IF(ISNUMBER('Cover Sheet'!D13),'Cover Sheet'!D13,VLOOKUP("Select year",Dropdowns!$O$17:$R$17,LangOffset+1,0))</f>
        <v>Select year</v>
      </c>
      <c r="M1" s="25"/>
      <c r="N1" s="25"/>
    </row>
    <row r="2" spans="1:14" ht="15" customHeight="1" x14ac:dyDescent="0.2">
      <c r="A2" s="151"/>
      <c r="B2" s="152"/>
      <c r="C2" s="153"/>
      <c r="D2" s="15" t="str">
        <f ca="1">Translations!$A$12</f>
        <v>Currency</v>
      </c>
      <c r="E2" s="154" t="str">
        <f>VLOOKUP('Cover Sheet'!$D$10,Dropdowns!$O$13:$R$15,Translations!$C$1+1,0)</f>
        <v>USD</v>
      </c>
      <c r="F2" s="155"/>
      <c r="G2" s="157"/>
      <c r="H2" s="159"/>
      <c r="I2" s="160" t="str">
        <f ca="1">Translations!$A$87</f>
        <v>Fiscal Year in which implementation period ends</v>
      </c>
      <c r="J2" s="161"/>
      <c r="K2" s="162"/>
      <c r="L2" s="14" t="str">
        <f>IF(ISNUMBER('Cover Sheet'!D14),'Cover Sheet'!D14,VLOOKUP("Select year",Dropdowns!$O$17:$R$17,LangOffset+1,0))</f>
        <v>Select year</v>
      </c>
      <c r="M2" s="25"/>
      <c r="N2" s="25"/>
    </row>
    <row r="3" spans="1:14" ht="15" customHeight="1" x14ac:dyDescent="0.2">
      <c r="A3" s="61"/>
      <c r="B3" s="139" t="str">
        <f ca="1">Translations!$A$111</f>
        <v>Current and previous</v>
      </c>
      <c r="C3" s="140"/>
      <c r="D3" s="140"/>
      <c r="E3" s="139" t="str">
        <f ca="1">Translations!$A$112</f>
        <v>Estimated</v>
      </c>
      <c r="F3" s="140"/>
      <c r="G3" s="140"/>
      <c r="H3" s="140"/>
      <c r="I3" s="141"/>
      <c r="J3" s="142" t="str">
        <f ca="1">Translations!$A$113</f>
        <v>Data Source / Comments</v>
      </c>
      <c r="K3" s="143"/>
      <c r="L3" s="144"/>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5"/>
      <c r="K4" s="146"/>
      <c r="L4" s="147"/>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1"/>
      <c r="K5" s="132"/>
      <c r="L5" s="133"/>
      <c r="M5" s="27"/>
      <c r="N5" s="27"/>
    </row>
    <row r="6" spans="1:14" ht="15" customHeight="1" x14ac:dyDescent="0.2">
      <c r="A6" s="28" t="str">
        <f ca="1">Translations!$A$96</f>
        <v>Exchange Rate (Local currency units per USD or EUR)</v>
      </c>
      <c r="B6" s="65"/>
      <c r="C6" s="65"/>
      <c r="D6" s="65"/>
      <c r="E6" s="65"/>
      <c r="F6" s="65"/>
      <c r="G6" s="65"/>
      <c r="H6" s="65"/>
      <c r="I6" s="65"/>
      <c r="J6" s="131"/>
      <c r="K6" s="132"/>
      <c r="L6" s="133"/>
      <c r="M6" s="27"/>
      <c r="N6" s="27"/>
    </row>
    <row r="7" spans="1:14" ht="3" customHeight="1" x14ac:dyDescent="0.2">
      <c r="A7" s="10"/>
      <c r="B7" s="9"/>
      <c r="C7" s="9"/>
      <c r="D7" s="9"/>
      <c r="E7" s="8"/>
      <c r="F7" s="8"/>
      <c r="G7" s="8"/>
      <c r="H7" s="8"/>
      <c r="I7" s="8"/>
      <c r="J7" s="30"/>
      <c r="K7" s="31"/>
      <c r="L7" s="31"/>
      <c r="M7" s="27"/>
      <c r="N7" s="27"/>
    </row>
    <row r="8" spans="1:14" ht="30" customHeight="1" x14ac:dyDescent="0.2">
      <c r="A8" s="125" t="str">
        <f ca="1">Translations!$A$97</f>
        <v>LINE A: Total Funding needs for the National Strategic Plan (provide annual amounts)</v>
      </c>
      <c r="B8" s="126"/>
      <c r="C8" s="126"/>
      <c r="D8" s="127"/>
      <c r="E8" s="66"/>
      <c r="F8" s="66"/>
      <c r="G8" s="66"/>
      <c r="H8" s="66"/>
      <c r="I8" s="66"/>
      <c r="J8" s="131"/>
      <c r="K8" s="132"/>
      <c r="L8" s="133"/>
      <c r="M8" s="27"/>
      <c r="N8" s="32"/>
    </row>
    <row r="9" spans="1:14" ht="15" customHeight="1" x14ac:dyDescent="0.2">
      <c r="A9" s="125" t="str">
        <f ca="1">Translations!$A$98</f>
        <v>LINES B, C and D: Previous, current and anticipated resources to meet the funding needs of the National Strategic Plan</v>
      </c>
      <c r="B9" s="126"/>
      <c r="C9" s="126"/>
      <c r="D9" s="126"/>
      <c r="E9" s="126"/>
      <c r="F9" s="126"/>
      <c r="G9" s="126"/>
      <c r="H9" s="126"/>
      <c r="I9" s="126"/>
      <c r="J9" s="126"/>
      <c r="K9" s="126"/>
      <c r="L9" s="127"/>
      <c r="M9" s="27"/>
      <c r="N9" s="27"/>
    </row>
    <row r="10" spans="1:14" ht="15" customHeight="1" x14ac:dyDescent="0.2">
      <c r="A10" s="33" t="str">
        <f ca="1">Translations!$A$99</f>
        <v>Domestic source B1: Loans</v>
      </c>
      <c r="B10" s="66"/>
      <c r="C10" s="66"/>
      <c r="D10" s="66"/>
      <c r="E10" s="66"/>
      <c r="F10" s="66"/>
      <c r="G10" s="66"/>
      <c r="H10" s="66"/>
      <c r="I10" s="66"/>
      <c r="J10" s="131"/>
      <c r="K10" s="132"/>
      <c r="L10" s="133"/>
      <c r="M10" s="27"/>
      <c r="N10" s="27"/>
    </row>
    <row r="11" spans="1:14" ht="15" customHeight="1" x14ac:dyDescent="0.2">
      <c r="A11" s="33" t="str">
        <f ca="1">Translations!$A$100</f>
        <v>Domestic source B2: Debt relief</v>
      </c>
      <c r="B11" s="66"/>
      <c r="C11" s="66"/>
      <c r="D11" s="66"/>
      <c r="E11" s="66"/>
      <c r="F11" s="66"/>
      <c r="G11" s="66"/>
      <c r="H11" s="66"/>
      <c r="I11" s="66"/>
      <c r="J11" s="131"/>
      <c r="K11" s="132"/>
      <c r="L11" s="133"/>
      <c r="M11" s="27"/>
      <c r="N11" s="27"/>
    </row>
    <row r="12" spans="1:14" ht="15" customHeight="1" x14ac:dyDescent="0.2">
      <c r="A12" s="33" t="str">
        <f ca="1">Translations!$A$101</f>
        <v>Domestic source B3: Government revenues</v>
      </c>
      <c r="B12" s="66"/>
      <c r="C12" s="66"/>
      <c r="D12" s="66"/>
      <c r="E12" s="66"/>
      <c r="F12" s="66"/>
      <c r="G12" s="66"/>
      <c r="H12" s="66"/>
      <c r="I12" s="66"/>
      <c r="J12" s="131"/>
      <c r="K12" s="132"/>
      <c r="L12" s="133"/>
      <c r="M12" s="27"/>
      <c r="N12" s="27"/>
    </row>
    <row r="13" spans="1:14" ht="15" customHeight="1" x14ac:dyDescent="0.2">
      <c r="A13" s="33" t="str">
        <f ca="1">Translations!$A$102</f>
        <v>Domestic source B4: Social health insurance</v>
      </c>
      <c r="B13" s="66"/>
      <c r="C13" s="66"/>
      <c r="D13" s="66"/>
      <c r="E13" s="66"/>
      <c r="F13" s="66"/>
      <c r="G13" s="66"/>
      <c r="H13" s="66"/>
      <c r="I13" s="66"/>
      <c r="J13" s="131"/>
      <c r="K13" s="132"/>
      <c r="L13" s="133"/>
      <c r="M13" s="27"/>
      <c r="N13" s="27"/>
    </row>
    <row r="14" spans="1:14" ht="15" customHeight="1" x14ac:dyDescent="0.2">
      <c r="A14" s="33" t="str">
        <f ca="1">Translations!$A$103</f>
        <v>Domestic source B5: Private sector contributions (national)</v>
      </c>
      <c r="B14" s="66"/>
      <c r="C14" s="66"/>
      <c r="D14" s="66"/>
      <c r="E14" s="66"/>
      <c r="F14" s="66"/>
      <c r="G14" s="66"/>
      <c r="H14" s="66"/>
      <c r="I14" s="66"/>
      <c r="J14" s="131"/>
      <c r="K14" s="132"/>
      <c r="L14" s="133"/>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8"/>
      <c r="K15" s="137"/>
      <c r="L15" s="138"/>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1"/>
      <c r="K16" s="132"/>
      <c r="L16" s="133"/>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1"/>
      <c r="K17" s="132"/>
      <c r="L17" s="133"/>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1"/>
      <c r="K18" s="132"/>
      <c r="L18" s="133"/>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1"/>
      <c r="K19" s="132"/>
      <c r="L19" s="133"/>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1"/>
      <c r="K20" s="132"/>
      <c r="L20" s="133"/>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1"/>
      <c r="K21" s="132"/>
      <c r="L21" s="133"/>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1"/>
      <c r="K22" s="132"/>
      <c r="L22" s="133"/>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1"/>
      <c r="K23" s="132"/>
      <c r="L23" s="133"/>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1"/>
      <c r="K24" s="132"/>
      <c r="L24" s="133"/>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1"/>
      <c r="K25" s="132"/>
      <c r="L25" s="133"/>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1"/>
      <c r="K26" s="132"/>
      <c r="L26" s="133"/>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1"/>
      <c r="K27" s="132"/>
      <c r="L27" s="133"/>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1"/>
      <c r="K28" s="132"/>
      <c r="L28" s="133"/>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8"/>
      <c r="K29" s="137"/>
      <c r="L29" s="138"/>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1"/>
      <c r="K30" s="132">
        <v>0</v>
      </c>
      <c r="L30" s="133"/>
    </row>
    <row r="31" spans="1:14" ht="3" customHeight="1" x14ac:dyDescent="0.2">
      <c r="A31" s="10"/>
      <c r="B31" s="9"/>
      <c r="C31" s="9"/>
      <c r="D31" s="9"/>
      <c r="E31" s="8"/>
      <c r="F31" s="8"/>
      <c r="G31" s="8"/>
      <c r="H31" s="8"/>
      <c r="I31" s="8"/>
      <c r="J31" s="36"/>
      <c r="K31" s="37"/>
      <c r="L31" s="37"/>
      <c r="M31" s="27"/>
      <c r="N31" s="27"/>
    </row>
    <row r="32" spans="1:14" ht="15" customHeight="1" x14ac:dyDescent="0.2">
      <c r="A32" s="125" t="str">
        <f ca="1">Translations!$A$107</f>
        <v xml:space="preserve">LINE E: Total anticipated resources (annual amounts) </v>
      </c>
      <c r="B32" s="126"/>
      <c r="C32" s="126"/>
      <c r="D32" s="127"/>
      <c r="E32" s="4">
        <f>SUM(E30+E29+E15)</f>
        <v>0</v>
      </c>
      <c r="F32" s="4">
        <f>SUM(F30+F29+F15)</f>
        <v>0</v>
      </c>
      <c r="G32" s="4">
        <f>SUM(G30+G29+G15)</f>
        <v>0</v>
      </c>
      <c r="H32" s="4">
        <f>SUM(H30+H29+H15)</f>
        <v>0</v>
      </c>
      <c r="I32" s="4">
        <f>SUM(I30+I29+I15)</f>
        <v>0</v>
      </c>
      <c r="J32" s="128"/>
      <c r="K32" s="137"/>
      <c r="L32" s="138"/>
    </row>
    <row r="33" spans="1:14" ht="15" customHeight="1" x14ac:dyDescent="0.2">
      <c r="A33" s="125" t="str">
        <f ca="1">Translations!$A$108</f>
        <v>LINE F: Annual anticipated funding gap (Line A-E)</v>
      </c>
      <c r="B33" s="126"/>
      <c r="C33" s="126"/>
      <c r="D33" s="127"/>
      <c r="E33" s="4">
        <f>+E8-E32</f>
        <v>0</v>
      </c>
      <c r="F33" s="4">
        <f>+F8-F32</f>
        <v>0</v>
      </c>
      <c r="G33" s="4">
        <f>+G8-G32</f>
        <v>0</v>
      </c>
      <c r="H33" s="4">
        <f>+H8-H32</f>
        <v>0</v>
      </c>
      <c r="I33" s="4">
        <f>+I8-I32</f>
        <v>0</v>
      </c>
      <c r="J33" s="128"/>
      <c r="K33" s="129"/>
      <c r="L33" s="130"/>
      <c r="M33" s="27"/>
      <c r="N33" s="27"/>
    </row>
    <row r="34" spans="1:14" ht="15" customHeight="1" x14ac:dyDescent="0.2">
      <c r="A34" s="125" t="str">
        <f ca="1">Translations!$A$109</f>
        <v>LINE G: Funding request within the country allocation</v>
      </c>
      <c r="B34" s="126"/>
      <c r="C34" s="126"/>
      <c r="D34" s="127"/>
      <c r="E34" s="67"/>
      <c r="F34" s="67"/>
      <c r="G34" s="67"/>
      <c r="H34" s="67"/>
      <c r="I34" s="67"/>
      <c r="J34" s="131"/>
      <c r="K34" s="132"/>
      <c r="L34" s="133"/>
      <c r="M34" s="27"/>
      <c r="N34" s="32"/>
    </row>
    <row r="35" spans="1:14" ht="15" customHeight="1" x14ac:dyDescent="0.2">
      <c r="A35" s="125" t="str">
        <f ca="1">Translations!$A$110</f>
        <v>LINE H: Total Remaining Funding Gap (annual amounts) (Line F-G)</v>
      </c>
      <c r="B35" s="126"/>
      <c r="C35" s="126"/>
      <c r="D35" s="127"/>
      <c r="E35" s="4">
        <f>E33-E34</f>
        <v>0</v>
      </c>
      <c r="F35" s="4">
        <f>F33-F34</f>
        <v>0</v>
      </c>
      <c r="G35" s="4">
        <f>G33-G34</f>
        <v>0</v>
      </c>
      <c r="H35" s="4">
        <f>H33-H34</f>
        <v>0</v>
      </c>
      <c r="I35" s="4">
        <f>I33-I34</f>
        <v>0</v>
      </c>
      <c r="J35" s="134"/>
      <c r="K35" s="135"/>
      <c r="L35" s="136"/>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E10" sqref="E10"/>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48" t="str">
        <f ca="1">Translations!$A$114</f>
        <v>Health Sector: Government Health Spending</v>
      </c>
      <c r="B1" s="149" t="s">
        <v>25</v>
      </c>
      <c r="C1" s="150" t="str">
        <f>'Cover Sheet'!B8</f>
        <v>Georgia</v>
      </c>
      <c r="D1" s="15" t="str">
        <f ca="1">Translations!$A$10</f>
        <v>Country</v>
      </c>
      <c r="E1" s="154" t="str">
        <f>VLOOKUP('Cover Sheet'!$D$8,Dropdowns!$I$3:$L$243,Translations!$C$1+1,0)</f>
        <v>Georgia</v>
      </c>
      <c r="F1" s="155" t="s">
        <v>140</v>
      </c>
      <c r="G1" s="156" t="str">
        <f ca="1">Translations!$A$85</f>
        <v>Component</v>
      </c>
      <c r="H1" s="158" t="str">
        <f ca="1">Translations!$A$122</f>
        <v>Health sector</v>
      </c>
      <c r="I1" s="170" t="str">
        <f ca="1">Translations!$A$123</f>
        <v>The data on government health spending pertains to:</v>
      </c>
      <c r="J1" s="171"/>
      <c r="K1" s="172"/>
      <c r="L1" s="168" t="s">
        <v>1481</v>
      </c>
      <c r="M1" s="25"/>
      <c r="N1" s="25"/>
    </row>
    <row r="2" spans="1:14" s="6" customFormat="1" ht="15" customHeight="1" x14ac:dyDescent="0.2">
      <c r="A2" s="151"/>
      <c r="B2" s="152" t="s">
        <v>22</v>
      </c>
      <c r="C2" s="153" t="s">
        <v>114</v>
      </c>
      <c r="D2" s="15" t="str">
        <f ca="1">Translations!$A$12</f>
        <v>Currency</v>
      </c>
      <c r="E2" s="154" t="str">
        <f>VLOOKUP('Cover Sheet'!$D$10,Dropdowns!$O$13:$R$15,Translations!$C$1+1,0)</f>
        <v>USD</v>
      </c>
      <c r="F2" s="155"/>
      <c r="G2" s="157"/>
      <c r="H2" s="159"/>
      <c r="I2" s="173"/>
      <c r="J2" s="174"/>
      <c r="K2" s="175"/>
      <c r="L2" s="169"/>
      <c r="M2" s="25"/>
      <c r="N2" s="25"/>
    </row>
    <row r="3" spans="1:14" s="6" customFormat="1" ht="15" customHeight="1" x14ac:dyDescent="0.2">
      <c r="A3" s="26"/>
      <c r="B3" s="139" t="str">
        <f ca="1">Translations!$A$111</f>
        <v>Current and previous</v>
      </c>
      <c r="C3" s="140"/>
      <c r="D3" s="141"/>
      <c r="E3" s="139" t="str">
        <f ca="1">Translations!$A$112</f>
        <v>Estimated</v>
      </c>
      <c r="F3" s="140"/>
      <c r="G3" s="140"/>
      <c r="H3" s="140"/>
      <c r="I3" s="141"/>
      <c r="J3" s="142" t="str">
        <f ca="1">Translations!$A$113</f>
        <v>Data Source / Comments</v>
      </c>
      <c r="K3" s="143"/>
      <c r="L3" s="144"/>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5"/>
      <c r="K4" s="146"/>
      <c r="L4" s="147"/>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64"/>
      <c r="K5" s="165"/>
      <c r="L5" s="166"/>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2.66</v>
      </c>
      <c r="F6" s="68">
        <v>2.66</v>
      </c>
      <c r="G6" s="68">
        <v>2.66</v>
      </c>
      <c r="H6" s="68">
        <v>2.66</v>
      </c>
      <c r="I6" s="68"/>
      <c r="J6" s="164" t="s">
        <v>1552</v>
      </c>
      <c r="K6" s="165"/>
      <c r="L6" s="166"/>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31"/>
      <c r="K8" s="132"/>
      <c r="L8" s="133"/>
    </row>
    <row r="9" spans="1:14" ht="15" customHeight="1" x14ac:dyDescent="0.2">
      <c r="A9" s="33" t="str">
        <f ca="1">Translations!$A$116</f>
        <v>Domestic source I2: Debt Relief</v>
      </c>
      <c r="B9" s="66"/>
      <c r="C9" s="66"/>
      <c r="D9" s="66"/>
      <c r="E9" s="66"/>
      <c r="F9" s="66"/>
      <c r="G9" s="66"/>
      <c r="H9" s="66"/>
      <c r="I9" s="66"/>
      <c r="J9" s="131"/>
      <c r="K9" s="132"/>
      <c r="L9" s="133"/>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454639054.887218</v>
      </c>
      <c r="F10" s="66">
        <f>1243222919/F6</f>
        <v>467377037.21804512</v>
      </c>
      <c r="G10" s="66">
        <f>1517450947/G6</f>
        <v>570470280.82706761</v>
      </c>
      <c r="H10" s="66">
        <f>1312927288/H6</f>
        <v>493581687.21804512</v>
      </c>
      <c r="I10" s="66"/>
      <c r="J10" s="131" t="s">
        <v>1551</v>
      </c>
      <c r="K10" s="132"/>
      <c r="L10" s="133"/>
    </row>
    <row r="11" spans="1:14" ht="15" customHeight="1" x14ac:dyDescent="0.2">
      <c r="A11" s="33" t="str">
        <f ca="1">Translations!$A$118</f>
        <v>Domestic source I4: Social Health Insurance</v>
      </c>
      <c r="B11" s="66"/>
      <c r="C11" s="66"/>
      <c r="D11" s="66"/>
      <c r="E11" s="66"/>
      <c r="F11" s="66"/>
      <c r="G11" s="66"/>
      <c r="H11" s="66"/>
      <c r="I11" s="66"/>
      <c r="J11" s="131"/>
      <c r="K11" s="132"/>
      <c r="L11" s="133"/>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454639054.887218</v>
      </c>
      <c r="F12" s="39">
        <f t="shared" si="0"/>
        <v>467377037.21804512</v>
      </c>
      <c r="G12" s="39">
        <f t="shared" si="0"/>
        <v>570470280.82706761</v>
      </c>
      <c r="H12" s="39">
        <f t="shared" si="0"/>
        <v>493581687.21804512</v>
      </c>
      <c r="I12" s="39">
        <f t="shared" si="0"/>
        <v>0</v>
      </c>
      <c r="J12" s="167"/>
      <c r="K12" s="129"/>
      <c r="L12" s="130"/>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63" t="s">
        <v>1554</v>
      </c>
      <c r="K13" s="163"/>
      <c r="L13" s="163"/>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63"/>
      <c r="K15" s="163"/>
      <c r="L15" s="163"/>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L1:L2"/>
    <mergeCell ref="E2:F2"/>
    <mergeCell ref="A1:C2"/>
    <mergeCell ref="E1:F1"/>
    <mergeCell ref="G1:G2"/>
    <mergeCell ref="H1:H2"/>
    <mergeCell ref="I1:K2"/>
    <mergeCell ref="J15:L15"/>
    <mergeCell ref="B3:D3"/>
    <mergeCell ref="E3:I3"/>
    <mergeCell ref="J3:L4"/>
    <mergeCell ref="J5:L5"/>
    <mergeCell ref="J6:L6"/>
    <mergeCell ref="J8:L8"/>
    <mergeCell ref="J9:L9"/>
    <mergeCell ref="J10:L10"/>
    <mergeCell ref="J11:L11"/>
    <mergeCell ref="J12:L12"/>
    <mergeCell ref="J13:L13"/>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8" t="str">
        <f ca="1">Translations!$A$124</f>
        <v xml:space="preserve">Detailed Financial Gap </v>
      </c>
      <c r="B1" s="149"/>
      <c r="C1" s="150"/>
      <c r="D1" s="15" t="str">
        <f ca="1">Translations!$A$10</f>
        <v>Country</v>
      </c>
      <c r="E1" s="154" t="str">
        <f>VLOOKUP('Cover Sheet'!$D$8,Dropdowns!$I$3:$L$243,Translations!$C$1+1,0)</f>
        <v>Georgia</v>
      </c>
      <c r="F1" s="155"/>
      <c r="G1" s="156" t="str">
        <f ca="1">Translations!$A$85</f>
        <v>Component</v>
      </c>
      <c r="H1" s="158" t="str">
        <f ca="1">Translations!$A$90</f>
        <v>HIV/AIDS</v>
      </c>
      <c r="I1" s="177" t="str">
        <f ca="1">Translations!$A$86</f>
        <v>Fiscal Year in which implementation period starts</v>
      </c>
      <c r="J1" s="177"/>
      <c r="K1" s="177"/>
      <c r="L1" s="177"/>
      <c r="M1" s="178">
        <f>IF(ISNUMBER('Cover Sheet'!B13),'Cover Sheet'!B13,VLOOKUP("Select year",Dropdowns!$O$17:$R$17,LangOffset+1,0))</f>
        <v>2019</v>
      </c>
      <c r="N1" s="178"/>
      <c r="O1" s="13"/>
      <c r="P1" s="13"/>
      <c r="Q1" s="13"/>
    </row>
    <row r="2" spans="1:17" s="6" customFormat="1" ht="15" customHeight="1" x14ac:dyDescent="0.2">
      <c r="A2" s="151"/>
      <c r="B2" s="152"/>
      <c r="C2" s="153"/>
      <c r="D2" s="15" t="str">
        <f ca="1">Translations!$A$12</f>
        <v>Currency</v>
      </c>
      <c r="E2" s="154" t="str">
        <f>VLOOKUP('Cover Sheet'!$D$10,Dropdowns!$O$13:$R$15,Translations!$C$1+1,0)</f>
        <v>USD</v>
      </c>
      <c r="F2" s="155"/>
      <c r="G2" s="157"/>
      <c r="H2" s="159"/>
      <c r="I2" s="177" t="str">
        <f ca="1">Translations!$A$87</f>
        <v>Fiscal Year in which implementation period ends</v>
      </c>
      <c r="J2" s="177"/>
      <c r="K2" s="177"/>
      <c r="L2" s="177"/>
      <c r="M2" s="178">
        <f>IF(ISNUMBER('Cover Sheet'!B14),'Cover Sheet'!B14,VLOOKUP("Select year",Dropdowns!$O$17:$R$17,LangOffset+1,0))</f>
        <v>2022</v>
      </c>
      <c r="N2" s="178"/>
      <c r="O2" s="13"/>
      <c r="P2" s="13"/>
      <c r="Q2" s="13"/>
    </row>
    <row r="3" spans="1:17" s="6" customFormat="1" ht="30" customHeight="1" x14ac:dyDescent="0.2">
      <c r="A3" s="179" t="str">
        <f ca="1">Translations!$A$125</f>
        <v>Module</v>
      </c>
      <c r="B3" s="139" t="str">
        <f ca="1">Translations!$A$126</f>
        <v>Funding Need</v>
      </c>
      <c r="C3" s="140"/>
      <c r="D3" s="140"/>
      <c r="E3" s="141"/>
      <c r="F3" s="139" t="str">
        <f ca="1">Translations!$A$127</f>
        <v>Domestic</v>
      </c>
      <c r="G3" s="140"/>
      <c r="H3" s="140"/>
      <c r="I3" s="141"/>
      <c r="J3" s="176" t="str">
        <f ca="1">Translations!$A$128</f>
        <v>Non Global Fund External</v>
      </c>
      <c r="K3" s="176"/>
      <c r="L3" s="176"/>
      <c r="M3" s="176"/>
      <c r="N3" s="176" t="str">
        <f ca="1">Translations!$A$129</f>
        <v>Funding Gap</v>
      </c>
      <c r="O3" s="176"/>
      <c r="P3" s="176"/>
      <c r="Q3" s="176"/>
    </row>
    <row r="4" spans="1:17" s="6" customFormat="1" ht="15" customHeight="1" x14ac:dyDescent="0.2">
      <c r="A4" s="180"/>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A3:A4"/>
    <mergeCell ref="E1:F1"/>
    <mergeCell ref="G1:G2"/>
    <mergeCell ref="E2:F2"/>
    <mergeCell ref="A1:C2"/>
    <mergeCell ref="B3:E3"/>
    <mergeCell ref="F3:I3"/>
    <mergeCell ref="J3:M3"/>
    <mergeCell ref="I2:L2"/>
    <mergeCell ref="I1:L1"/>
    <mergeCell ref="N3:Q3"/>
    <mergeCell ref="H1:H2"/>
    <mergeCell ref="M1:N1"/>
    <mergeCell ref="M2:N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2.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38EF9D-0864-4B6A-A685-A92F677A1CAE}">
  <ds:schemaRefs>
    <ds:schemaRef ds:uri="http://schemas.microsoft.com/office/2006/documentManagement/types"/>
    <ds:schemaRef ds:uri="http://purl.org/dc/elements/1.1/"/>
    <ds:schemaRef ds:uri="http://www.w3.org/XML/1998/namespace"/>
    <ds:schemaRef ds:uri="http://purl.org/dc/terms/"/>
    <ds:schemaRef ds:uri="a03ac030-8fc0-429e-a59d-aec15056182b"/>
    <ds:schemaRef ds:uri="http://schemas.openxmlformats.org/package/2006/metadata/core-properties"/>
    <ds:schemaRef ds:uri="http://schemas.microsoft.com/sharepoint/v4"/>
    <ds:schemaRef ds:uri="http://schemas.microsoft.com/office/infopath/2007/PartnerControls"/>
    <ds:schemaRef ds:uri="2219519e-2df8-4e68-9bc8-47ece53c639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32313B7-C377-44DB-B9EB-80F6E6761E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Nino Vakhania</cp:lastModifiedBy>
  <dcterms:created xsi:type="dcterms:W3CDTF">2017-05-09T08:27:23Z</dcterms:created>
  <dcterms:modified xsi:type="dcterms:W3CDTF">2019-07-10T06:17:51Z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