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ipostolovska_worldbank_org/Documents/"/>
    </mc:Choice>
  </mc:AlternateContent>
  <bookViews>
    <workbookView xWindow="0" yWindow="0" windowWidth="14920" windowHeight="7530" activeTab="2"/>
  </bookViews>
  <sheets>
    <sheet name="Project Budget" sheetId="2" r:id="rId1"/>
    <sheet name="Assumptions" sheetId="10" r:id="rId2"/>
    <sheet name="Results" sheetId="9" r:id="rId3"/>
    <sheet name="Baseline Scenario" sheetId="4" r:id="rId4"/>
    <sheet name="Low Scenario" sheetId="6" r:id="rId5"/>
    <sheet name="High Scenario" sheetId="8" r:id="rId6"/>
    <sheet name="Spending from 2017 PER" sheetId="3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7" i="9"/>
  <c r="E6" i="9"/>
  <c r="D8" i="9"/>
  <c r="D7" i="9"/>
  <c r="D6" i="9"/>
  <c r="C8" i="9"/>
  <c r="C7" i="9"/>
  <c r="C6" i="9"/>
  <c r="D5" i="9"/>
  <c r="D4" i="9"/>
  <c r="E5" i="9"/>
  <c r="E4" i="9"/>
  <c r="E3" i="9"/>
  <c r="D3" i="9"/>
  <c r="C5" i="9"/>
  <c r="C4" i="9"/>
  <c r="C3" i="9"/>
  <c r="N23" i="6"/>
  <c r="O23" i="6"/>
  <c r="P23" i="6"/>
  <c r="R23" i="6" s="1"/>
  <c r="Q23" i="6"/>
  <c r="M24" i="6"/>
  <c r="M63" i="8"/>
  <c r="M62" i="8"/>
  <c r="M61" i="8"/>
  <c r="M60" i="8"/>
  <c r="M59" i="8"/>
  <c r="M58" i="8"/>
  <c r="M57" i="8"/>
  <c r="M56" i="8"/>
  <c r="M55" i="8"/>
  <c r="M54" i="8"/>
  <c r="J53" i="8"/>
  <c r="M53" i="8" s="1"/>
  <c r="J52" i="8"/>
  <c r="M52" i="8" s="1"/>
  <c r="J51" i="8"/>
  <c r="M51" i="8" s="1"/>
  <c r="I51" i="8"/>
  <c r="L51" i="8" s="1"/>
  <c r="J50" i="8"/>
  <c r="M50" i="8" s="1"/>
  <c r="F50" i="8"/>
  <c r="I50" i="8" s="1"/>
  <c r="M49" i="8"/>
  <c r="J49" i="8"/>
  <c r="I49" i="8"/>
  <c r="L49" i="8" s="1"/>
  <c r="N49" i="8" s="1"/>
  <c r="F49" i="8"/>
  <c r="C49" i="8"/>
  <c r="G49" i="8" s="1"/>
  <c r="G48" i="8"/>
  <c r="E48" i="8"/>
  <c r="C48" i="8"/>
  <c r="G47" i="8"/>
  <c r="E47" i="8"/>
  <c r="G46" i="8"/>
  <c r="E46" i="8"/>
  <c r="Q37" i="8"/>
  <c r="M37" i="8"/>
  <c r="K37" i="8"/>
  <c r="N37" i="8" s="1"/>
  <c r="Q36" i="8"/>
  <c r="M36" i="8"/>
  <c r="K36" i="8"/>
  <c r="N36" i="8" s="1"/>
  <c r="Q35" i="8"/>
  <c r="M35" i="8"/>
  <c r="K35" i="8"/>
  <c r="N35" i="8" s="1"/>
  <c r="Q34" i="8"/>
  <c r="M34" i="8"/>
  <c r="K34" i="8"/>
  <c r="Q33" i="8"/>
  <c r="M33" i="8"/>
  <c r="K33" i="8"/>
  <c r="N33" i="8" s="1"/>
  <c r="O33" i="8" s="1"/>
  <c r="P33" i="8" s="1"/>
  <c r="R33" i="8" s="1"/>
  <c r="Q32" i="8"/>
  <c r="M32" i="8"/>
  <c r="K32" i="8"/>
  <c r="N32" i="8" s="1"/>
  <c r="O32" i="8" s="1"/>
  <c r="P32" i="8" s="1"/>
  <c r="Q31" i="8"/>
  <c r="M31" i="8"/>
  <c r="K31" i="8"/>
  <c r="N31" i="8" s="1"/>
  <c r="O31" i="8" s="1"/>
  <c r="P31" i="8" s="1"/>
  <c r="Q30" i="8"/>
  <c r="M30" i="8"/>
  <c r="K30" i="8"/>
  <c r="Q29" i="8"/>
  <c r="M29" i="8"/>
  <c r="K29" i="8"/>
  <c r="N29" i="8" s="1"/>
  <c r="O29" i="8" s="1"/>
  <c r="P29" i="8" s="1"/>
  <c r="R29" i="8" s="1"/>
  <c r="Q28" i="8"/>
  <c r="M28" i="8"/>
  <c r="K28" i="8"/>
  <c r="N28" i="8" s="1"/>
  <c r="O28" i="8" s="1"/>
  <c r="P28" i="8" s="1"/>
  <c r="F28" i="8"/>
  <c r="F29" i="8" s="1"/>
  <c r="F30" i="8" s="1"/>
  <c r="F31" i="8" s="1"/>
  <c r="F32" i="8" s="1"/>
  <c r="F33" i="8" s="1"/>
  <c r="F34" i="8" s="1"/>
  <c r="F35" i="8" s="1"/>
  <c r="F36" i="8" s="1"/>
  <c r="F37" i="8" s="1"/>
  <c r="Q27" i="8"/>
  <c r="M27" i="8"/>
  <c r="K27" i="8"/>
  <c r="Q26" i="8"/>
  <c r="M26" i="8"/>
  <c r="K26" i="8"/>
  <c r="N26" i="8" s="1"/>
  <c r="O26" i="8" s="1"/>
  <c r="P26" i="8" s="1"/>
  <c r="Q25" i="8"/>
  <c r="M25" i="8"/>
  <c r="K25" i="8"/>
  <c r="Q24" i="8"/>
  <c r="M24" i="8"/>
  <c r="K24" i="8"/>
  <c r="N24" i="8" s="1"/>
  <c r="O24" i="8" s="1"/>
  <c r="P24" i="8" s="1"/>
  <c r="Q23" i="8"/>
  <c r="N23" i="8"/>
  <c r="O23" i="8" s="1"/>
  <c r="P23" i="8" s="1"/>
  <c r="M63" i="6"/>
  <c r="M62" i="6"/>
  <c r="M61" i="6"/>
  <c r="M60" i="6"/>
  <c r="M59" i="6"/>
  <c r="M58" i="6"/>
  <c r="M57" i="6"/>
  <c r="M56" i="6"/>
  <c r="M55" i="6"/>
  <c r="M54" i="6"/>
  <c r="J53" i="6"/>
  <c r="M53" i="6" s="1"/>
  <c r="J52" i="6"/>
  <c r="M52" i="6" s="1"/>
  <c r="M51" i="6"/>
  <c r="J51" i="6"/>
  <c r="I51" i="6"/>
  <c r="K51" i="6" s="1"/>
  <c r="M50" i="6"/>
  <c r="J50" i="6"/>
  <c r="F50" i="6"/>
  <c r="I50" i="6" s="1"/>
  <c r="L50" i="6" s="1"/>
  <c r="N50" i="6" s="1"/>
  <c r="J49" i="6"/>
  <c r="M49" i="6" s="1"/>
  <c r="F49" i="6"/>
  <c r="I49" i="6" s="1"/>
  <c r="C48" i="6"/>
  <c r="C49" i="6" s="1"/>
  <c r="G47" i="6"/>
  <c r="E47" i="6"/>
  <c r="G46" i="6"/>
  <c r="E46" i="6"/>
  <c r="Q37" i="6"/>
  <c r="M37" i="6"/>
  <c r="K37" i="6"/>
  <c r="Q36" i="6"/>
  <c r="M36" i="6"/>
  <c r="K36" i="6"/>
  <c r="Q35" i="6"/>
  <c r="M35" i="6"/>
  <c r="K35" i="6"/>
  <c r="Q34" i="6"/>
  <c r="M34" i="6"/>
  <c r="K34" i="6"/>
  <c r="Q33" i="6"/>
  <c r="M33" i="6"/>
  <c r="K33" i="6"/>
  <c r="Q32" i="6"/>
  <c r="M32" i="6"/>
  <c r="K32" i="6"/>
  <c r="Q31" i="6"/>
  <c r="M31" i="6"/>
  <c r="K31" i="6"/>
  <c r="Q30" i="6"/>
  <c r="M30" i="6"/>
  <c r="K30" i="6"/>
  <c r="Q29" i="6"/>
  <c r="M29" i="6"/>
  <c r="K29" i="6"/>
  <c r="Q28" i="6"/>
  <c r="M28" i="6"/>
  <c r="K28" i="6"/>
  <c r="F28" i="6"/>
  <c r="F29" i="6" s="1"/>
  <c r="F30" i="6" s="1"/>
  <c r="F31" i="6" s="1"/>
  <c r="F32" i="6" s="1"/>
  <c r="F33" i="6" s="1"/>
  <c r="F34" i="6" s="1"/>
  <c r="F35" i="6" s="1"/>
  <c r="F36" i="6" s="1"/>
  <c r="F37" i="6" s="1"/>
  <c r="Q27" i="6"/>
  <c r="M27" i="6"/>
  <c r="K27" i="6"/>
  <c r="Q26" i="6"/>
  <c r="M26" i="6"/>
  <c r="K26" i="6"/>
  <c r="Q25" i="6"/>
  <c r="M25" i="6"/>
  <c r="K25" i="6"/>
  <c r="Q24" i="6"/>
  <c r="K24" i="6"/>
  <c r="G46" i="4"/>
  <c r="E46" i="4"/>
  <c r="N50" i="4"/>
  <c r="N51" i="4"/>
  <c r="N49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L50" i="4"/>
  <c r="L51" i="4"/>
  <c r="L49" i="4"/>
  <c r="P24" i="4"/>
  <c r="D41" i="4"/>
  <c r="D40" i="4"/>
  <c r="F49" i="4"/>
  <c r="K50" i="4"/>
  <c r="K51" i="4"/>
  <c r="I50" i="4"/>
  <c r="I51" i="4"/>
  <c r="I49" i="4"/>
  <c r="K49" i="4" s="1"/>
  <c r="H53" i="4"/>
  <c r="H56" i="4"/>
  <c r="H57" i="4"/>
  <c r="H60" i="4"/>
  <c r="H61" i="4"/>
  <c r="H52" i="4"/>
  <c r="G47" i="4"/>
  <c r="G48" i="4"/>
  <c r="G49" i="4"/>
  <c r="G50" i="4"/>
  <c r="G51" i="4"/>
  <c r="G52" i="4"/>
  <c r="G53" i="4"/>
  <c r="G54" i="4"/>
  <c r="H54" i="4" s="1"/>
  <c r="G55" i="4"/>
  <c r="H55" i="4" s="1"/>
  <c r="G56" i="4"/>
  <c r="G57" i="4"/>
  <c r="G58" i="4"/>
  <c r="H58" i="4" s="1"/>
  <c r="G59" i="4"/>
  <c r="H59" i="4" s="1"/>
  <c r="G60" i="4"/>
  <c r="G61" i="4"/>
  <c r="G62" i="4"/>
  <c r="H62" i="4" s="1"/>
  <c r="G63" i="4"/>
  <c r="H63" i="4" s="1"/>
  <c r="J53" i="4"/>
  <c r="J50" i="4"/>
  <c r="J51" i="4"/>
  <c r="J52" i="4"/>
  <c r="J49" i="4"/>
  <c r="F50" i="4"/>
  <c r="C48" i="4"/>
  <c r="E48" i="4" s="1"/>
  <c r="E47" i="4"/>
  <c r="E15" i="3"/>
  <c r="D15" i="3"/>
  <c r="Q24" i="4"/>
  <c r="Q23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R23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24" i="4"/>
  <c r="K25" i="4"/>
  <c r="K26" i="4"/>
  <c r="N26" i="4" s="1"/>
  <c r="O26" i="4" s="1"/>
  <c r="P26" i="4" s="1"/>
  <c r="R26" i="4" s="1"/>
  <c r="K27" i="4"/>
  <c r="K28" i="4"/>
  <c r="K29" i="4"/>
  <c r="K30" i="4"/>
  <c r="K31" i="4"/>
  <c r="K32" i="4"/>
  <c r="K33" i="4"/>
  <c r="K34" i="4"/>
  <c r="K35" i="4"/>
  <c r="K36" i="4"/>
  <c r="K37" i="4"/>
  <c r="K24" i="4"/>
  <c r="N24" i="4" s="1"/>
  <c r="O24" i="4" s="1"/>
  <c r="R24" i="4" s="1"/>
  <c r="F28" i="4"/>
  <c r="N23" i="4"/>
  <c r="O23" i="4" s="1"/>
  <c r="P23" i="4" s="1"/>
  <c r="N27" i="8" l="1"/>
  <c r="O27" i="8" s="1"/>
  <c r="P27" i="8" s="1"/>
  <c r="N25" i="8"/>
  <c r="O25" i="8" s="1"/>
  <c r="P25" i="8" s="1"/>
  <c r="N30" i="8"/>
  <c r="O30" i="8" s="1"/>
  <c r="P30" i="8" s="1"/>
  <c r="N34" i="8"/>
  <c r="R25" i="8"/>
  <c r="R24" i="8"/>
  <c r="R27" i="8"/>
  <c r="E48" i="6"/>
  <c r="G48" i="6"/>
  <c r="L51" i="6"/>
  <c r="N51" i="6" s="1"/>
  <c r="N25" i="6"/>
  <c r="O25" i="6" s="1"/>
  <c r="P25" i="6" s="1"/>
  <c r="R25" i="6" s="1"/>
  <c r="N24" i="6"/>
  <c r="O24" i="6" s="1"/>
  <c r="P24" i="6" s="1"/>
  <c r="R24" i="6" s="1"/>
  <c r="N37" i="6"/>
  <c r="O37" i="6" s="1"/>
  <c r="P37" i="6" s="1"/>
  <c r="R37" i="6" s="1"/>
  <c r="N36" i="6"/>
  <c r="O36" i="6" s="1"/>
  <c r="P36" i="6" s="1"/>
  <c r="R36" i="6" s="1"/>
  <c r="N35" i="6"/>
  <c r="O35" i="6" s="1"/>
  <c r="P35" i="6" s="1"/>
  <c r="R35" i="6" s="1"/>
  <c r="N34" i="6"/>
  <c r="O34" i="6" s="1"/>
  <c r="P34" i="6" s="1"/>
  <c r="R34" i="6" s="1"/>
  <c r="N33" i="6"/>
  <c r="O33" i="6" s="1"/>
  <c r="P33" i="6" s="1"/>
  <c r="R33" i="6" s="1"/>
  <c r="N32" i="6"/>
  <c r="O32" i="6" s="1"/>
  <c r="P32" i="6" s="1"/>
  <c r="R32" i="6" s="1"/>
  <c r="N31" i="6"/>
  <c r="O31" i="6" s="1"/>
  <c r="P31" i="6" s="1"/>
  <c r="R31" i="6" s="1"/>
  <c r="N30" i="6"/>
  <c r="O30" i="6" s="1"/>
  <c r="P30" i="6" s="1"/>
  <c r="R30" i="6" s="1"/>
  <c r="N29" i="6"/>
  <c r="O29" i="6" s="1"/>
  <c r="P29" i="6" s="1"/>
  <c r="R29" i="6" s="1"/>
  <c r="N28" i="6"/>
  <c r="O28" i="6" s="1"/>
  <c r="P28" i="6" s="1"/>
  <c r="R28" i="6" s="1"/>
  <c r="N27" i="6"/>
  <c r="O27" i="6" s="1"/>
  <c r="P27" i="6" s="1"/>
  <c r="R27" i="6" s="1"/>
  <c r="N26" i="6"/>
  <c r="O26" i="6" s="1"/>
  <c r="P26" i="6" s="1"/>
  <c r="R26" i="6" s="1"/>
  <c r="R26" i="8"/>
  <c r="R31" i="8"/>
  <c r="R30" i="8"/>
  <c r="R28" i="8"/>
  <c r="R32" i="8"/>
  <c r="N51" i="8"/>
  <c r="R23" i="8"/>
  <c r="O34" i="8"/>
  <c r="P34" i="8" s="1"/>
  <c r="R34" i="8" s="1"/>
  <c r="O35" i="8"/>
  <c r="P35" i="8" s="1"/>
  <c r="R35" i="8" s="1"/>
  <c r="O36" i="8"/>
  <c r="P36" i="8" s="1"/>
  <c r="R36" i="8" s="1"/>
  <c r="O37" i="8"/>
  <c r="P37" i="8" s="1"/>
  <c r="R37" i="8" s="1"/>
  <c r="L50" i="8"/>
  <c r="N50" i="8" s="1"/>
  <c r="K50" i="8"/>
  <c r="E49" i="8"/>
  <c r="K51" i="8"/>
  <c r="K49" i="8"/>
  <c r="C50" i="8"/>
  <c r="K49" i="6"/>
  <c r="L49" i="6"/>
  <c r="N49" i="6" s="1"/>
  <c r="E49" i="6"/>
  <c r="G49" i="6"/>
  <c r="C50" i="6"/>
  <c r="K50" i="6"/>
  <c r="C49" i="4"/>
  <c r="N29" i="4"/>
  <c r="N31" i="4"/>
  <c r="N33" i="4"/>
  <c r="N35" i="4"/>
  <c r="N37" i="4"/>
  <c r="N30" i="4"/>
  <c r="N27" i="4"/>
  <c r="O27" i="4" s="1"/>
  <c r="P27" i="4" s="1"/>
  <c r="R27" i="4" s="1"/>
  <c r="N28" i="4"/>
  <c r="O28" i="4" s="1"/>
  <c r="P28" i="4" s="1"/>
  <c r="R28" i="4" s="1"/>
  <c r="N32" i="4"/>
  <c r="N34" i="4"/>
  <c r="N36" i="4"/>
  <c r="F29" i="4"/>
  <c r="N25" i="4"/>
  <c r="O25" i="4" s="1"/>
  <c r="P25" i="4" s="1"/>
  <c r="R25" i="4" s="1"/>
  <c r="D40" i="8" l="1"/>
  <c r="R38" i="8"/>
  <c r="D41" i="8" s="1"/>
  <c r="E50" i="8"/>
  <c r="C51" i="8"/>
  <c r="G50" i="8"/>
  <c r="D39" i="8"/>
  <c r="G50" i="6"/>
  <c r="C51" i="6"/>
  <c r="E50" i="6"/>
  <c r="D39" i="6"/>
  <c r="R38" i="6"/>
  <c r="D41" i="6" s="1"/>
  <c r="D40" i="6"/>
  <c r="E49" i="4"/>
  <c r="C50" i="4"/>
  <c r="O29" i="4"/>
  <c r="P29" i="4" s="1"/>
  <c r="R29" i="4" s="1"/>
  <c r="F30" i="4"/>
  <c r="O30" i="4" s="1"/>
  <c r="P30" i="4" s="1"/>
  <c r="R30" i="4" s="1"/>
  <c r="G51" i="8" l="1"/>
  <c r="C52" i="8"/>
  <c r="E51" i="8"/>
  <c r="C52" i="6"/>
  <c r="E51" i="6"/>
  <c r="G51" i="6"/>
  <c r="C51" i="4"/>
  <c r="E50" i="4"/>
  <c r="F31" i="4"/>
  <c r="O31" i="4" s="1"/>
  <c r="P31" i="4" s="1"/>
  <c r="R31" i="4" s="1"/>
  <c r="C53" i="8" l="1"/>
  <c r="G52" i="8"/>
  <c r="H52" i="8" s="1"/>
  <c r="I52" i="8" s="1"/>
  <c r="E52" i="8"/>
  <c r="E52" i="6"/>
  <c r="C53" i="6"/>
  <c r="G52" i="6"/>
  <c r="H52" i="6" s="1"/>
  <c r="I52" i="6" s="1"/>
  <c r="C52" i="4"/>
  <c r="E51" i="4"/>
  <c r="F32" i="4"/>
  <c r="O32" i="4" s="1"/>
  <c r="P32" i="4" s="1"/>
  <c r="R32" i="4" s="1"/>
  <c r="K52" i="8" l="1"/>
  <c r="L52" i="8"/>
  <c r="N52" i="8" s="1"/>
  <c r="E53" i="8"/>
  <c r="C54" i="8"/>
  <c r="G53" i="8"/>
  <c r="H53" i="8" s="1"/>
  <c r="I53" i="8" s="1"/>
  <c r="K52" i="6"/>
  <c r="L52" i="6"/>
  <c r="N52" i="6" s="1"/>
  <c r="C54" i="6"/>
  <c r="G53" i="6"/>
  <c r="H53" i="6" s="1"/>
  <c r="I53" i="6" s="1"/>
  <c r="E53" i="6"/>
  <c r="C53" i="4"/>
  <c r="E52" i="4"/>
  <c r="F33" i="4"/>
  <c r="O33" i="4" s="1"/>
  <c r="P33" i="4" s="1"/>
  <c r="R33" i="4" s="1"/>
  <c r="C55" i="8" l="1"/>
  <c r="E54" i="8"/>
  <c r="F54" i="8" s="1"/>
  <c r="G54" i="8"/>
  <c r="H54" i="8" s="1"/>
  <c r="L53" i="8"/>
  <c r="N53" i="8" s="1"/>
  <c r="K53" i="8"/>
  <c r="L53" i="6"/>
  <c r="N53" i="6" s="1"/>
  <c r="K53" i="6"/>
  <c r="E54" i="6"/>
  <c r="F54" i="6" s="1"/>
  <c r="G54" i="6"/>
  <c r="H54" i="6" s="1"/>
  <c r="C55" i="6"/>
  <c r="I52" i="4"/>
  <c r="L52" i="4" s="1"/>
  <c r="N52" i="4" s="1"/>
  <c r="C54" i="4"/>
  <c r="E53" i="4"/>
  <c r="I53" i="4" s="1"/>
  <c r="F34" i="4"/>
  <c r="O34" i="4" s="1"/>
  <c r="P34" i="4" s="1"/>
  <c r="R34" i="4" s="1"/>
  <c r="I54" i="8" l="1"/>
  <c r="G55" i="8"/>
  <c r="H55" i="8" s="1"/>
  <c r="E55" i="8"/>
  <c r="F55" i="8" s="1"/>
  <c r="C56" i="8"/>
  <c r="I54" i="6"/>
  <c r="G55" i="6"/>
  <c r="H55" i="6" s="1"/>
  <c r="C56" i="6"/>
  <c r="E55" i="6"/>
  <c r="F55" i="6" s="1"/>
  <c r="K53" i="4"/>
  <c r="L53" i="4"/>
  <c r="N53" i="4" s="1"/>
  <c r="K52" i="4"/>
  <c r="C55" i="4"/>
  <c r="E54" i="4"/>
  <c r="F54" i="4" s="1"/>
  <c r="I54" i="4" s="1"/>
  <c r="F35" i="4"/>
  <c r="O35" i="4" s="1"/>
  <c r="P35" i="4" s="1"/>
  <c r="R35" i="4" s="1"/>
  <c r="K54" i="4" l="1"/>
  <c r="L54" i="4"/>
  <c r="N54" i="4" s="1"/>
  <c r="I55" i="8"/>
  <c r="K55" i="8" s="1"/>
  <c r="I55" i="6"/>
  <c r="L55" i="6" s="1"/>
  <c r="N55" i="6" s="1"/>
  <c r="C57" i="8"/>
  <c r="G56" i="8"/>
  <c r="H56" i="8" s="1"/>
  <c r="E56" i="8"/>
  <c r="F56" i="8" s="1"/>
  <c r="L55" i="8"/>
  <c r="N55" i="8" s="1"/>
  <c r="K54" i="8"/>
  <c r="L54" i="8"/>
  <c r="N54" i="8" s="1"/>
  <c r="E56" i="6"/>
  <c r="F56" i="6" s="1"/>
  <c r="G56" i="6"/>
  <c r="H56" i="6" s="1"/>
  <c r="C57" i="6"/>
  <c r="L54" i="6"/>
  <c r="N54" i="6" s="1"/>
  <c r="K54" i="6"/>
  <c r="C56" i="4"/>
  <c r="E55" i="4"/>
  <c r="F55" i="4" s="1"/>
  <c r="I55" i="4" s="1"/>
  <c r="L55" i="4" s="1"/>
  <c r="N55" i="4" s="1"/>
  <c r="F36" i="4"/>
  <c r="O36" i="4" s="1"/>
  <c r="P36" i="4" s="1"/>
  <c r="R36" i="4" s="1"/>
  <c r="K55" i="6" l="1"/>
  <c r="I56" i="6"/>
  <c r="L56" i="6" s="1"/>
  <c r="N56" i="6" s="1"/>
  <c r="I56" i="8"/>
  <c r="E57" i="8"/>
  <c r="F57" i="8" s="1"/>
  <c r="G57" i="8"/>
  <c r="H57" i="8" s="1"/>
  <c r="C58" i="8"/>
  <c r="G57" i="6"/>
  <c r="H57" i="6" s="1"/>
  <c r="C58" i="6"/>
  <c r="E57" i="6"/>
  <c r="F57" i="6" s="1"/>
  <c r="K56" i="6"/>
  <c r="K55" i="4"/>
  <c r="C57" i="4"/>
  <c r="E56" i="4"/>
  <c r="F56" i="4" s="1"/>
  <c r="I56" i="4" s="1"/>
  <c r="L56" i="4" s="1"/>
  <c r="N56" i="4" s="1"/>
  <c r="F37" i="4"/>
  <c r="O37" i="4" s="1"/>
  <c r="P37" i="4" s="1"/>
  <c r="I57" i="6" l="1"/>
  <c r="L57" i="6" s="1"/>
  <c r="N57" i="6" s="1"/>
  <c r="I57" i="8"/>
  <c r="C59" i="8"/>
  <c r="E58" i="8"/>
  <c r="F58" i="8" s="1"/>
  <c r="G58" i="8"/>
  <c r="H58" i="8" s="1"/>
  <c r="K56" i="8"/>
  <c r="L56" i="8"/>
  <c r="N56" i="8" s="1"/>
  <c r="E58" i="6"/>
  <c r="F58" i="6" s="1"/>
  <c r="C59" i="6"/>
  <c r="G58" i="6"/>
  <c r="H58" i="6" s="1"/>
  <c r="K57" i="6"/>
  <c r="K56" i="4"/>
  <c r="R37" i="4"/>
  <c r="D39" i="4"/>
  <c r="C58" i="4"/>
  <c r="E57" i="4"/>
  <c r="F57" i="4" s="1"/>
  <c r="I57" i="4" s="1"/>
  <c r="K57" i="4" l="1"/>
  <c r="L57" i="4"/>
  <c r="N57" i="4" s="1"/>
  <c r="I58" i="8"/>
  <c r="G59" i="8"/>
  <c r="H59" i="8" s="1"/>
  <c r="E59" i="8"/>
  <c r="F59" i="8" s="1"/>
  <c r="C60" i="8"/>
  <c r="L57" i="8"/>
  <c r="N57" i="8" s="1"/>
  <c r="K57" i="8"/>
  <c r="G59" i="6"/>
  <c r="H59" i="6" s="1"/>
  <c r="C60" i="6"/>
  <c r="E59" i="6"/>
  <c r="F59" i="6" s="1"/>
  <c r="I58" i="6"/>
  <c r="C59" i="4"/>
  <c r="E58" i="4"/>
  <c r="F58" i="4" s="1"/>
  <c r="I58" i="4" s="1"/>
  <c r="L58" i="4" s="1"/>
  <c r="N58" i="4" s="1"/>
  <c r="R38" i="4"/>
  <c r="I59" i="6" l="1"/>
  <c r="L59" i="6" s="1"/>
  <c r="N59" i="6" s="1"/>
  <c r="I59" i="8"/>
  <c r="K59" i="8" s="1"/>
  <c r="C61" i="8"/>
  <c r="G60" i="8"/>
  <c r="H60" i="8" s="1"/>
  <c r="E60" i="8"/>
  <c r="F60" i="8" s="1"/>
  <c r="K58" i="8"/>
  <c r="L58" i="8"/>
  <c r="N58" i="8" s="1"/>
  <c r="E60" i="6"/>
  <c r="F60" i="6" s="1"/>
  <c r="G60" i="6"/>
  <c r="H60" i="6" s="1"/>
  <c r="C61" i="6"/>
  <c r="K58" i="6"/>
  <c r="L58" i="6"/>
  <c r="N58" i="6" s="1"/>
  <c r="K58" i="4"/>
  <c r="C60" i="4"/>
  <c r="E59" i="4"/>
  <c r="F59" i="4" s="1"/>
  <c r="I59" i="4" s="1"/>
  <c r="K59" i="4" l="1"/>
  <c r="L59" i="4"/>
  <c r="N59" i="4" s="1"/>
  <c r="K59" i="6"/>
  <c r="L59" i="8"/>
  <c r="N59" i="8" s="1"/>
  <c r="E61" i="8"/>
  <c r="F61" i="8" s="1"/>
  <c r="G61" i="8"/>
  <c r="H61" i="8" s="1"/>
  <c r="C62" i="8"/>
  <c r="I60" i="8"/>
  <c r="I60" i="6"/>
  <c r="G61" i="6"/>
  <c r="H61" i="6" s="1"/>
  <c r="C62" i="6"/>
  <c r="E61" i="6"/>
  <c r="F61" i="6" s="1"/>
  <c r="C61" i="4"/>
  <c r="E60" i="4"/>
  <c r="F60" i="4" s="1"/>
  <c r="I60" i="4" s="1"/>
  <c r="K60" i="4" l="1"/>
  <c r="L60" i="4"/>
  <c r="N60" i="4" s="1"/>
  <c r="I61" i="6"/>
  <c r="K61" i="6" s="1"/>
  <c r="I61" i="8"/>
  <c r="L61" i="8" s="1"/>
  <c r="N61" i="8" s="1"/>
  <c r="C63" i="8"/>
  <c r="E62" i="8"/>
  <c r="F62" i="8" s="1"/>
  <c r="G62" i="8"/>
  <c r="H62" i="8" s="1"/>
  <c r="K60" i="8"/>
  <c r="L60" i="8"/>
  <c r="N60" i="8" s="1"/>
  <c r="L61" i="6"/>
  <c r="N61" i="6" s="1"/>
  <c r="E62" i="6"/>
  <c r="F62" i="6" s="1"/>
  <c r="C63" i="6"/>
  <c r="G62" i="6"/>
  <c r="H62" i="6" s="1"/>
  <c r="L60" i="6"/>
  <c r="N60" i="6" s="1"/>
  <c r="K60" i="6"/>
  <c r="C62" i="4"/>
  <c r="E61" i="4"/>
  <c r="F61" i="4" s="1"/>
  <c r="I61" i="4" s="1"/>
  <c r="I62" i="6" l="1"/>
  <c r="K61" i="4"/>
  <c r="L61" i="4"/>
  <c r="N61" i="4" s="1"/>
  <c r="K61" i="8"/>
  <c r="I62" i="8"/>
  <c r="E63" i="8"/>
  <c r="F63" i="8" s="1"/>
  <c r="G63" i="8"/>
  <c r="H63" i="8" s="1"/>
  <c r="G63" i="6"/>
  <c r="H63" i="6" s="1"/>
  <c r="E63" i="6"/>
  <c r="F63" i="6" s="1"/>
  <c r="L62" i="6"/>
  <c r="N62" i="6" s="1"/>
  <c r="K62" i="6"/>
  <c r="C63" i="4"/>
  <c r="E63" i="4" s="1"/>
  <c r="F63" i="4" s="1"/>
  <c r="I63" i="4" s="1"/>
  <c r="L63" i="4" s="1"/>
  <c r="N63" i="4" s="1"/>
  <c r="E62" i="4"/>
  <c r="F62" i="4" s="1"/>
  <c r="I62" i="4" s="1"/>
  <c r="L62" i="4" s="1"/>
  <c r="N62" i="4" s="1"/>
  <c r="D67" i="4" l="1"/>
  <c r="I63" i="6"/>
  <c r="K63" i="6" s="1"/>
  <c r="D66" i="6" s="1"/>
  <c r="I63" i="8"/>
  <c r="K62" i="8"/>
  <c r="L62" i="8"/>
  <c r="N62" i="8" s="1"/>
  <c r="L63" i="6"/>
  <c r="N63" i="6" s="1"/>
  <c r="D67" i="6" s="1"/>
  <c r="D65" i="6"/>
  <c r="K62" i="4"/>
  <c r="D66" i="4" s="1"/>
  <c r="D65" i="4"/>
  <c r="K63" i="4"/>
  <c r="L63" i="8" l="1"/>
  <c r="N63" i="8" s="1"/>
  <c r="D67" i="8" s="1"/>
  <c r="K63" i="8"/>
  <c r="D66" i="8" s="1"/>
  <c r="D65" i="8"/>
  <c r="B39" i="3" l="1"/>
  <c r="C25" i="3"/>
  <c r="C24" i="3"/>
  <c r="G4" i="3"/>
  <c r="G5" i="3"/>
  <c r="G6" i="3"/>
  <c r="G7" i="3"/>
  <c r="G8" i="3"/>
  <c r="G9" i="3"/>
  <c r="G10" i="3"/>
  <c r="G11" i="3"/>
  <c r="G3" i="3"/>
  <c r="D4" i="3"/>
  <c r="D5" i="3"/>
  <c r="D6" i="3"/>
  <c r="D7" i="3"/>
  <c r="D8" i="3"/>
  <c r="D9" i="3"/>
  <c r="D10" i="3"/>
  <c r="D11" i="3"/>
  <c r="D3" i="3"/>
</calcChain>
</file>

<file path=xl/sharedStrings.xml><?xml version="1.0" encoding="utf-8"?>
<sst xmlns="http://schemas.openxmlformats.org/spreadsheetml/2006/main" count="319" uniqueCount="151">
  <si>
    <t>Year</t>
  </si>
  <si>
    <t>Notes</t>
  </si>
  <si>
    <t>Projections using an annual % change in DALYs of -1.126% (average change between 2006-2016)</t>
  </si>
  <si>
    <t>GDP per capita US current</t>
  </si>
  <si>
    <t>IMF WEO Projections</t>
  </si>
  <si>
    <t>Projections assuming a 4.6% annual increase (based on IMF WEO projections for 2017-2022)</t>
  </si>
  <si>
    <t xml:space="preserve">Components and subcomponents </t>
  </si>
  <si>
    <t>Procurement categories</t>
  </si>
  <si>
    <t>Estimated budget (USD)</t>
  </si>
  <si>
    <t xml:space="preserve">Percentage </t>
  </si>
  <si>
    <t>Component 1: Strengthening health financing under UHC</t>
  </si>
  <si>
    <r>
      <t>Sub-component 1.1:</t>
    </r>
    <r>
      <rPr>
        <sz val="11"/>
        <color rgb="FF000000"/>
        <rFont val="Calibri"/>
        <family val="2"/>
      </rPr>
      <t xml:space="preserve"> Develop and implement evidence-based long-term health financing strategy</t>
    </r>
  </si>
  <si>
    <r>
      <t>Sub-component 1.2:</t>
    </r>
    <r>
      <rPr>
        <sz val="11"/>
        <color rgb="FF000000"/>
        <rFont val="Calibri"/>
        <family val="2"/>
      </rPr>
      <t xml:space="preserve"> Implement holistic payment system reform that includes both hospitals and primary care providers</t>
    </r>
  </si>
  <si>
    <r>
      <t>Sub-component 1.3:</t>
    </r>
    <r>
      <rPr>
        <sz val="11"/>
        <color rgb="FF000000"/>
        <rFont val="Calibri"/>
        <family val="2"/>
      </rPr>
      <t xml:space="preserve"> Strengthen strategic purchasing capacity of the SSA</t>
    </r>
  </si>
  <si>
    <t>FTA and LTA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</si>
  <si>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DRG – 1 FTA and 3 LTA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</si>
  <si>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Pharma policy and pricing strategy – FTA and 1 LTA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</si>
  <si>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SSA – 1 FTA and 2 LTA</t>
    </r>
  </si>
  <si>
    <t>Trainings</t>
  </si>
  <si>
    <t>Investment in hardware and software to upgrade SSA IT infrastructure</t>
  </si>
  <si>
    <t>License for DRG (25,000 per year for 5 years)</t>
  </si>
  <si>
    <r>
      <t>Component 2: Strengthening structure and quality of the health service delivery system</t>
    </r>
    <r>
      <rPr>
        <b/>
        <sz val="11"/>
        <color theme="1"/>
        <rFont val="Sylfaen"/>
        <family val="1"/>
      </rPr>
      <t xml:space="preserve"> </t>
    </r>
  </si>
  <si>
    <r>
      <t xml:space="preserve">Sub-component 1.1: </t>
    </r>
    <r>
      <rPr>
        <sz val="11"/>
        <color rgb="FF000000"/>
        <rFont val="Calibri"/>
        <family val="2"/>
      </rPr>
      <t xml:space="preserve">Strengthen primary and secondary health care, public health </t>
    </r>
  </si>
  <si>
    <r>
      <t xml:space="preserve">Sub-component 1.2: </t>
    </r>
    <r>
      <rPr>
        <sz val="11"/>
        <color rgb="FF000000"/>
        <rFont val="Calibri"/>
        <family val="2"/>
      </rPr>
      <t>Improve quality of care</t>
    </r>
  </si>
  <si>
    <r>
      <t xml:space="preserve">Sub-component 1.3: </t>
    </r>
    <r>
      <rPr>
        <sz val="11"/>
        <color rgb="FF000000"/>
        <rFont val="Calibri"/>
        <family val="2"/>
      </rPr>
      <t xml:space="preserve">Improve medical education, including CME and life-long learning and provider recertification  </t>
    </r>
  </si>
  <si>
    <t>FTA (6) and LTA (15)</t>
  </si>
  <si>
    <t>Infrastructure (build and equip 130 PHC facilities)</t>
  </si>
  <si>
    <t>130 facilities per $60,000</t>
  </si>
  <si>
    <t>Trainings (PHC and quality, using telehealth solutions)</t>
  </si>
  <si>
    <t>Hardware and software (e.g. registry for the medical and nursing personnel, on quality indicator and ranking system, etc)</t>
  </si>
  <si>
    <r>
      <t>Component 3: Strengthening health financing under UHC</t>
    </r>
    <r>
      <rPr>
        <b/>
        <sz val="11"/>
        <color theme="1"/>
        <rFont val="Sylfaen"/>
        <family val="1"/>
      </rPr>
      <t xml:space="preserve"> </t>
    </r>
  </si>
  <si>
    <r>
      <t>Sub-component 1.1:</t>
    </r>
    <r>
      <rPr>
        <sz val="11"/>
        <color rgb="FF000000"/>
        <rFont val="Calibri"/>
        <family val="2"/>
      </rPr>
      <t xml:space="preserve"> Strengthen regulatory and analytic capacity of MOH, including development and institutionalization of the Health Technology Assessment </t>
    </r>
  </si>
  <si>
    <r>
      <t>Sub-component 1.2:</t>
    </r>
    <r>
      <rPr>
        <sz val="11"/>
        <color rgb="FF000000"/>
        <rFont val="Calibri"/>
        <family val="2"/>
      </rPr>
      <t xml:space="preserve"> Expanding and institutionalizing e-health solutions</t>
    </r>
  </si>
  <si>
    <r>
      <t>Sub-component 1.3:</t>
    </r>
    <r>
      <rPr>
        <sz val="11"/>
        <color rgb="FF000000"/>
        <rFont val="Calibri"/>
        <family val="2"/>
      </rPr>
      <t xml:space="preserve"> Rationalize laboratories of communicable diseases</t>
    </r>
    <r>
      <rPr>
        <sz val="11"/>
        <color theme="1"/>
        <rFont val="Sylfaen"/>
        <family val="1"/>
      </rPr>
      <t xml:space="preserve"> </t>
    </r>
  </si>
  <si>
    <t xml:space="preserve">3 FTA and 7 LTA </t>
  </si>
  <si>
    <t xml:space="preserve">Trainings </t>
  </si>
  <si>
    <t>Software and hardware</t>
  </si>
  <si>
    <t>Component 4: Project implementation</t>
  </si>
  <si>
    <t>TOTAL</t>
  </si>
  <si>
    <r>
      <t>Estimated Budget per Categories</t>
    </r>
    <r>
      <rPr>
        <sz val="11"/>
        <color rgb="FF000000"/>
        <rFont val="Calibri"/>
        <family val="2"/>
      </rPr>
      <t xml:space="preserve"> </t>
    </r>
  </si>
  <si>
    <t>Category</t>
  </si>
  <si>
    <t>Estimated budget</t>
  </si>
  <si>
    <t>Percentage</t>
  </si>
  <si>
    <t>TA</t>
  </si>
  <si>
    <t>License(s)</t>
  </si>
  <si>
    <t>Infrastructure</t>
  </si>
  <si>
    <t>Implementation</t>
  </si>
  <si>
    <t xml:space="preserve">TOTAL </t>
  </si>
  <si>
    <t>Cost savings</t>
  </si>
  <si>
    <t>UHC program subcomponent</t>
  </si>
  <si>
    <t>Cardiac surgery</t>
  </si>
  <si>
    <t>Emergency inpatient care</t>
  </si>
  <si>
    <t>Chemo- hormone and radiotherapy</t>
  </si>
  <si>
    <t>Elective surgery (except cardio surgery)</t>
  </si>
  <si>
    <t>Obstetrics and caesarean sections</t>
  </si>
  <si>
    <t>Emergency outpatient care</t>
  </si>
  <si>
    <t>Planned ambulatory care</t>
  </si>
  <si>
    <t>Basic drugs</t>
  </si>
  <si>
    <t>Total</t>
  </si>
  <si>
    <t>Number of cases</t>
  </si>
  <si>
    <t>Total cost (GEL)</t>
  </si>
  <si>
    <t>Average cost per case (GEL)</t>
  </si>
  <si>
    <t xml:space="preserve">Health </t>
  </si>
  <si>
    <t>2016 (estimated)</t>
  </si>
  <si>
    <t>UHC</t>
  </si>
  <si>
    <t>MIP</t>
  </si>
  <si>
    <t>Preventive programs</t>
  </si>
  <si>
    <t>Vertical programs</t>
  </si>
  <si>
    <t>Other</t>
  </si>
  <si>
    <t>MOLHSA budget (millions GEL)</t>
  </si>
  <si>
    <t>Hospitals</t>
  </si>
  <si>
    <t>Ambulatory care providers</t>
  </si>
  <si>
    <t>% allocation</t>
  </si>
  <si>
    <t>millions GEL</t>
  </si>
  <si>
    <t>Number of outpatient admissions per capita</t>
  </si>
  <si>
    <t>Number of hospital admissions per capita</t>
  </si>
  <si>
    <t>Caesarian section rate per 1000 live births</t>
  </si>
  <si>
    <t>Pharmaceutical expenditures</t>
  </si>
  <si>
    <t>40% of total health spending</t>
  </si>
  <si>
    <t>2/3 of OOP spending</t>
  </si>
  <si>
    <t>Based on shares above and 2016 budget</t>
  </si>
  <si>
    <t>= 2.7% of government health spending</t>
  </si>
  <si>
    <t>Pharmaceutical expenditures, government (million GEL))</t>
  </si>
  <si>
    <t xml:space="preserve">DALY reduction assumptions: PHC </t>
  </si>
  <si>
    <t>DALY reduction: quality</t>
  </si>
  <si>
    <t>Benefits (monetary value; 1x GDP per capita)</t>
  </si>
  <si>
    <t>Discounted Benefits</t>
  </si>
  <si>
    <t>DALYs (All causes)</t>
  </si>
  <si>
    <t>DALYs (NCDs only)</t>
  </si>
  <si>
    <t>DALYs (NCDs) averted</t>
  </si>
  <si>
    <t>DALYs averted (NCDs) due to quality</t>
  </si>
  <si>
    <t>Total DALYs averted (NCDs)</t>
  </si>
  <si>
    <t>Cost of project (+4% inflation)</t>
  </si>
  <si>
    <t>Inputs</t>
  </si>
  <si>
    <t>Discounting rate DALYs</t>
  </si>
  <si>
    <t>Discounting rate financial</t>
  </si>
  <si>
    <t>Share of NCD DALYs attributable to project</t>
  </si>
  <si>
    <t>Monetary valuation of DALYs (x GDP per capita)</t>
  </si>
  <si>
    <t>Discounted Costs</t>
  </si>
  <si>
    <t>Discounted Benefits - Discounted Costs</t>
  </si>
  <si>
    <t>IRR</t>
  </si>
  <si>
    <t>NPV</t>
  </si>
  <si>
    <t>BCR</t>
  </si>
  <si>
    <t>Exchange rate (LCU per US$)</t>
  </si>
  <si>
    <t>WDI</t>
  </si>
  <si>
    <t>DRG Cost Savings</t>
  </si>
  <si>
    <t>Component 1 Costs</t>
  </si>
  <si>
    <t>Exchange rate (LCU per $US)</t>
  </si>
  <si>
    <t>in US$ 2015</t>
  </si>
  <si>
    <t>in US$ 2016</t>
  </si>
  <si>
    <t>MOLHSA Budget (US$)\</t>
  </si>
  <si>
    <t>DRG cost containment</t>
  </si>
  <si>
    <t>% of budget allocated to hospitals</t>
  </si>
  <si>
    <t>Spending on Hospitals (US$)</t>
  </si>
  <si>
    <t>Government health spending annual growth rate (for projections)</t>
  </si>
  <si>
    <t>DRGs &amp; Pharmaceuticals (Component 1) Cost Savings</t>
  </si>
  <si>
    <t>Pharmaceutical Spending</t>
  </si>
  <si>
    <t>Pharmaceutical cost containment</t>
  </si>
  <si>
    <t>Pharmaceuticals as a % of government health spending</t>
  </si>
  <si>
    <t>Pharmaceutical Cost Savings</t>
  </si>
  <si>
    <t>Total Benefits</t>
  </si>
  <si>
    <t>Benefits  - Costs</t>
  </si>
  <si>
    <t>Overall Project</t>
  </si>
  <si>
    <t>Baseline Scenario</t>
  </si>
  <si>
    <t>Low Scenario</t>
  </si>
  <si>
    <t>Key Inputs</t>
  </si>
  <si>
    <t>Baseline Scenario Assumptions</t>
  </si>
  <si>
    <t xml:space="preserve">Sensitivity Analysis </t>
  </si>
  <si>
    <t>Low scenario</t>
  </si>
  <si>
    <t>High Scenario</t>
  </si>
  <si>
    <t>Monetary value of DALY</t>
  </si>
  <si>
    <t>1 x GDP per capita</t>
  </si>
  <si>
    <t>3 x GDP per capita</t>
  </si>
  <si>
    <t>Discount rate of the monetary value of future health benefits</t>
  </si>
  <si>
    <t>Basic discount rate</t>
  </si>
  <si>
    <t>4.5% (1.5% inflation; 3% time value of money)</t>
  </si>
  <si>
    <t>Benefits of interventions in terms of DALYs averted</t>
  </si>
  <si>
    <t>Pharmaceutical savings from Component 1</t>
  </si>
  <si>
    <t>5% reduction in government spending on pharmaceuticals starting in 2021</t>
  </si>
  <si>
    <t>2% reduction in government spending on pharmaceuticals starting in 2021</t>
  </si>
  <si>
    <t>7% reduction in government spending on pharmaceuticals starting in 2021</t>
  </si>
  <si>
    <t>Costs savings due to DRGs (Component 1)</t>
  </si>
  <si>
    <t>0.4% reduction in government spending on hospitals (beginning in 2022)</t>
  </si>
  <si>
    <t>0.2% reduction in government spending on hospitals (beginning in 2022)</t>
  </si>
  <si>
    <t>0.6% reduction in government spending on hospitals (beginning in 2022)</t>
  </si>
  <si>
    <r>
      <t>Improved access to PHC</t>
    </r>
    <r>
      <rPr>
        <sz val="10"/>
        <color theme="1"/>
        <rFont val="Times New Roman"/>
        <family val="1"/>
      </rPr>
      <t>: up to 0.1% reduction in in 50% of DALYs related to NCDs</t>
    </r>
  </si>
  <si>
    <r>
      <t>Improved quality of care</t>
    </r>
    <r>
      <rPr>
        <sz val="10"/>
        <color theme="1"/>
        <rFont val="Times New Roman"/>
        <family val="1"/>
      </rPr>
      <t>: up to 0.05% reduction in 50% of DALYs related to NCDs</t>
    </r>
  </si>
  <si>
    <t>Component 1</t>
  </si>
  <si>
    <t>Benefit cost ratio (BCR)</t>
  </si>
  <si>
    <t>Net present value (NPV)</t>
  </si>
  <si>
    <t>Internal rate of return (IRR)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</si>
</sst>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rgb="FF000000"/>
      <name val="Calibri"/>
      <family val="2"/>
    </font>
    <font>
      <i/>
      <sz val="11"/>
      <color theme="1"/>
      <name val="Sylfaen"/>
      <family val="1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FF000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/>
    <xf numFmtId="9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3" fontId="8" fillId="3" borderId="4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9" fontId="5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vertical="center"/>
    </xf>
    <xf numFmtId="9" fontId="8" fillId="0" borderId="5" xfId="0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11" fillId="0" borderId="4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vertical="center"/>
    </xf>
    <xf numFmtId="9" fontId="8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9" fontId="8" fillId="0" borderId="4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0" applyBorder="1" applyAlignment="1">
      <alignment vertical="top"/>
    </xf>
    <xf numFmtId="0" fontId="3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0" fillId="0" borderId="0" xfId="0" applyAlignment="1"/>
    <xf numFmtId="0" fontId="5" fillId="2" borderId="3" xfId="0" applyFont="1" applyFill="1" applyBorder="1" applyAlignment="1">
      <alignment vertical="center"/>
    </xf>
    <xf numFmtId="43" fontId="0" fillId="0" borderId="0" xfId="1" applyFon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indent="3"/>
    </xf>
    <xf numFmtId="9" fontId="0" fillId="0" borderId="0" xfId="3" applyFont="1"/>
    <xf numFmtId="10" fontId="0" fillId="0" borderId="0" xfId="0" applyNumberFormat="1"/>
    <xf numFmtId="44" fontId="0" fillId="0" borderId="0" xfId="2" applyFont="1"/>
    <xf numFmtId="44" fontId="0" fillId="0" borderId="0" xfId="0" applyNumberFormat="1"/>
    <xf numFmtId="43" fontId="2" fillId="0" borderId="0" xfId="1" applyFont="1"/>
    <xf numFmtId="0" fontId="0" fillId="5" borderId="0" xfId="0" applyFont="1" applyFill="1"/>
    <xf numFmtId="0" fontId="0" fillId="5" borderId="0" xfId="0" applyFill="1"/>
    <xf numFmtId="0" fontId="0" fillId="6" borderId="0" xfId="0" applyFont="1" applyFill="1"/>
    <xf numFmtId="0" fontId="0" fillId="6" borderId="0" xfId="0" applyFill="1"/>
    <xf numFmtId="0" fontId="0" fillId="7" borderId="0" xfId="0" applyFont="1" applyFill="1"/>
    <xf numFmtId="0" fontId="0" fillId="8" borderId="0" xfId="0" applyFont="1" applyFill="1"/>
    <xf numFmtId="2" fontId="0" fillId="8" borderId="0" xfId="0" applyNumberFormat="1" applyFill="1"/>
    <xf numFmtId="0" fontId="0" fillId="9" borderId="0" xfId="0" applyFont="1" applyFill="1"/>
    <xf numFmtId="0" fontId="0" fillId="9" borderId="0" xfId="0" applyFill="1"/>
    <xf numFmtId="0" fontId="0" fillId="7" borderId="0" xfId="0" applyFill="1"/>
    <xf numFmtId="0" fontId="2" fillId="5" borderId="8" xfId="0" applyFont="1" applyFill="1" applyBorder="1"/>
    <xf numFmtId="2" fontId="2" fillId="5" borderId="8" xfId="0" applyNumberFormat="1" applyFont="1" applyFill="1" applyBorder="1"/>
    <xf numFmtId="0" fontId="2" fillId="8" borderId="8" xfId="0" applyFont="1" applyFill="1" applyBorder="1"/>
    <xf numFmtId="0" fontId="2" fillId="4" borderId="8" xfId="0" applyFont="1" applyFill="1" applyBorder="1"/>
    <xf numFmtId="9" fontId="2" fillId="4" borderId="8" xfId="0" applyNumberFormat="1" applyFont="1" applyFill="1" applyBorder="1"/>
    <xf numFmtId="44" fontId="2" fillId="8" borderId="8" xfId="0" applyNumberFormat="1" applyFont="1" applyFill="1" applyBorder="1"/>
    <xf numFmtId="0" fontId="14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9" fontId="15" fillId="0" borderId="7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9" fontId="15" fillId="0" borderId="3" xfId="0" applyNumberFormat="1" applyFont="1" applyBorder="1" applyAlignment="1">
      <alignment vertical="center" wrapText="1"/>
    </xf>
    <xf numFmtId="10" fontId="15" fillId="0" borderId="4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0" fillId="0" borderId="11" xfId="0" applyBorder="1"/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0" fillId="0" borderId="0" xfId="0" applyBorder="1"/>
    <xf numFmtId="9" fontId="0" fillId="0" borderId="0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0" fillId="0" borderId="16" xfId="0" applyBorder="1"/>
    <xf numFmtId="0" fontId="2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0" fillId="0" borderId="14" xfId="0" applyBorder="1"/>
    <xf numFmtId="0" fontId="2" fillId="0" borderId="15" xfId="0" applyFont="1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0" fillId="0" borderId="16" xfId="2" applyFont="1" applyBorder="1" applyAlignment="1">
      <alignment horizontal="center"/>
    </xf>
    <xf numFmtId="44" fontId="0" fillId="0" borderId="17" xfId="2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0" fillId="0" borderId="13" xfId="0" applyBorder="1" applyAlignment="1">
      <alignment horizontal="left" indent="3"/>
    </xf>
    <xf numFmtId="0" fontId="0" fillId="0" borderId="15" xfId="0" applyBorder="1" applyAlignment="1">
      <alignment horizontal="left" indent="3"/>
    </xf>
    <xf numFmtId="0" fontId="0" fillId="0" borderId="1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quotePrefix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6" xfId="0" applyNumberForma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Disability Adjusted Life Years (DALYs) Averted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'Baseline Scenario'!$B$23:$B$37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'Baseline Scenario'!$N$23:$N$37</c:f>
              <c:numCache>
                <c:formatCode>General</c:formatCode>
                <c:ptCount val="15"/>
                <c:pt idx="0">
                  <c:v>0</c:v>
                </c:pt>
                <c:pt idx="1">
                  <c:v>55.439319687377562</c:v>
                </c:pt>
                <c:pt idx="2">
                  <c:v>380.53682455490855</c:v>
                </c:pt>
                <c:pt idx="3">
                  <c:v>635.30575348623438</c:v>
                </c:pt>
                <c:pt idx="4">
                  <c:v>799.82352080248734</c:v>
                </c:pt>
                <c:pt idx="5">
                  <c:v>792.12971065114357</c:v>
                </c:pt>
                <c:pt idx="6">
                  <c:v>784.50991021957611</c:v>
                </c:pt>
                <c:pt idx="7">
                  <c:v>751.06462732715681</c:v>
                </c:pt>
                <c:pt idx="8">
                  <c:v>692.54054788698841</c:v>
                </c:pt>
                <c:pt idx="9">
                  <c:v>635.07290178293852</c:v>
                </c:pt>
                <c:pt idx="10">
                  <c:v>578.64677992066106</c:v>
                </c:pt>
                <c:pt idx="11">
                  <c:v>523.2474622839552</c:v>
                </c:pt>
                <c:pt idx="12">
                  <c:v>468.86041567671094</c:v>
                </c:pt>
                <c:pt idx="13">
                  <c:v>415.47129149080138</c:v>
                </c:pt>
                <c:pt idx="14">
                  <c:v>387.27031839960625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6B7-A01C-369BBE0C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988752"/>
        <c:axId val="473702048"/>
      </c:lineChart>
      <c:catAx>
        <c:axId val="5669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02048"/>
        <c:crosses val="autoZero"/>
        <c:auto val="1"/>
        <c:lblAlgn val="ctr"/>
        <c:lblOffset val="100"/>
        <c:noMultiLvlLbl val="0"/>
      </c:catAx>
      <c:valAx>
        <c:axId val="47370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DALYs averted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8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Disability Adjusted Life Years (DALYs) Averted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'Low Scenario'!$B$23:$B$37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'Low Scenario'!$N$23:$N$37</c:f>
              <c:numCache>
                <c:formatCode>General</c:formatCode>
                <c:ptCount val="15"/>
                <c:pt idx="0">
                  <c:v>0</c:v>
                </c:pt>
                <c:pt idx="1">
                  <c:v>55.439319687377562</c:v>
                </c:pt>
                <c:pt idx="2">
                  <c:v>380.53682455490855</c:v>
                </c:pt>
                <c:pt idx="3">
                  <c:v>635.30575348623438</c:v>
                </c:pt>
                <c:pt idx="4">
                  <c:v>799.82352080248734</c:v>
                </c:pt>
                <c:pt idx="5">
                  <c:v>792.12971065114357</c:v>
                </c:pt>
                <c:pt idx="6">
                  <c:v>784.50991021957611</c:v>
                </c:pt>
                <c:pt idx="7">
                  <c:v>751.06462732715681</c:v>
                </c:pt>
                <c:pt idx="8">
                  <c:v>692.54054788698841</c:v>
                </c:pt>
                <c:pt idx="9">
                  <c:v>635.07290178293852</c:v>
                </c:pt>
                <c:pt idx="10">
                  <c:v>578.64677992066106</c:v>
                </c:pt>
                <c:pt idx="11">
                  <c:v>523.2474622839552</c:v>
                </c:pt>
                <c:pt idx="12">
                  <c:v>468.86041567671094</c:v>
                </c:pt>
                <c:pt idx="13">
                  <c:v>415.47129149080138</c:v>
                </c:pt>
                <c:pt idx="14">
                  <c:v>387.27031839960625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3-452D-AADE-4682881E7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988752"/>
        <c:axId val="473702048"/>
      </c:lineChart>
      <c:catAx>
        <c:axId val="5669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02048"/>
        <c:crosses val="autoZero"/>
        <c:auto val="1"/>
        <c:lblAlgn val="ctr"/>
        <c:lblOffset val="100"/>
        <c:noMultiLvlLbl val="0"/>
      </c:catAx>
      <c:valAx>
        <c:axId val="47370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DALYs averted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8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Disability Adjusted Life Years (DALYs) Averted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'High Scenario'!$B$23:$B$37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'High Scenario'!$N$23:$N$37</c:f>
              <c:numCache>
                <c:formatCode>General</c:formatCode>
                <c:ptCount val="15"/>
                <c:pt idx="0">
                  <c:v>0</c:v>
                </c:pt>
                <c:pt idx="1">
                  <c:v>55.439319687377562</c:v>
                </c:pt>
                <c:pt idx="2">
                  <c:v>380.53682455490855</c:v>
                </c:pt>
                <c:pt idx="3">
                  <c:v>635.30575348623438</c:v>
                </c:pt>
                <c:pt idx="4">
                  <c:v>799.82352080248734</c:v>
                </c:pt>
                <c:pt idx="5">
                  <c:v>792.12971065114357</c:v>
                </c:pt>
                <c:pt idx="6">
                  <c:v>784.50991021957611</c:v>
                </c:pt>
                <c:pt idx="7">
                  <c:v>751.06462732715681</c:v>
                </c:pt>
                <c:pt idx="8">
                  <c:v>692.54054788698841</c:v>
                </c:pt>
                <c:pt idx="9">
                  <c:v>635.07290178293852</c:v>
                </c:pt>
                <c:pt idx="10">
                  <c:v>578.64677992066106</c:v>
                </c:pt>
                <c:pt idx="11">
                  <c:v>523.2474622839552</c:v>
                </c:pt>
                <c:pt idx="12">
                  <c:v>468.86041567671094</c:v>
                </c:pt>
                <c:pt idx="13">
                  <c:v>415.47129149080138</c:v>
                </c:pt>
                <c:pt idx="14">
                  <c:v>387.27031839960625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2-4F73-BD4F-E59836DA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988752"/>
        <c:axId val="473702048"/>
      </c:lineChart>
      <c:catAx>
        <c:axId val="5669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02048"/>
        <c:crosses val="autoZero"/>
        <c:auto val="1"/>
        <c:lblAlgn val="ctr"/>
        <c:lblOffset val="100"/>
        <c:noMultiLvlLbl val="0"/>
      </c:catAx>
      <c:valAx>
        <c:axId val="47370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DALYs averted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8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205440</xdr:colOff>
      <xdr:row>1</xdr:row>
      <xdr:rowOff>51547</xdr:rowOff>
    </xdr:from>
    <xdr:to>
      <xdr:col>10</xdr:col>
      <xdr:colOff>212911</xdr:colOff>
      <xdr:row>15</xdr:row>
      <xdr:rowOff>180040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B7479B-8B78-4D01-987F-C2E3E599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205440</xdr:colOff>
      <xdr:row>1</xdr:row>
      <xdr:rowOff>51547</xdr:rowOff>
    </xdr:from>
    <xdr:to>
      <xdr:col>10</xdr:col>
      <xdr:colOff>212911</xdr:colOff>
      <xdr:row>15</xdr:row>
      <xdr:rowOff>180040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F59E25-836D-47C3-AE99-EB27E4EF3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205440</xdr:colOff>
      <xdr:row>1</xdr:row>
      <xdr:rowOff>51547</xdr:rowOff>
    </xdr:from>
    <xdr:to>
      <xdr:col>10</xdr:col>
      <xdr:colOff>212911</xdr:colOff>
      <xdr:row>15</xdr:row>
      <xdr:rowOff>180040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8A2C9-B4EE-4FB8-93CC-97171E55F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G27" sqref="G27"/>
    </sheetView>
  </sheetViews>
  <sheetFormatPr defaultRowHeight="14.5" x14ac:dyDescent="0.35"/>
  <cols>
    <col min="1" max="1" width="73.453125" customWidth="1"/>
    <col min="2" max="2" width="55.36328125" customWidth="1"/>
    <col min="3" max="3" width="21.08984375" bestFit="1" customWidth="1"/>
    <col min="4" max="4" width="10.6328125" bestFit="1" customWidth="1"/>
    <col min="7" max="7" width="12.54296875" bestFit="1" customWidth="1"/>
  </cols>
  <sheetData>
    <row r="1" spans="1:4" ht="15" thickBot="1" x14ac:dyDescent="0.4">
      <c r="A1" s="8" t="s">
        <v>6</v>
      </c>
      <c r="B1" s="9" t="s">
        <v>7</v>
      </c>
      <c r="C1" s="9" t="s">
        <v>8</v>
      </c>
      <c r="D1" s="9" t="s">
        <v>9</v>
      </c>
    </row>
    <row r="2" spans="1:4" ht="15" thickBot="1" x14ac:dyDescent="0.4">
      <c r="A2" s="16" t="s">
        <v>10</v>
      </c>
      <c r="B2" s="17"/>
      <c r="C2" s="18">
        <v>2950000</v>
      </c>
      <c r="D2" s="19">
        <v>1</v>
      </c>
    </row>
    <row r="3" spans="1:4" x14ac:dyDescent="0.35">
      <c r="A3" s="20" t="s">
        <v>11</v>
      </c>
      <c r="B3" s="21" t="s">
        <v>14</v>
      </c>
      <c r="C3" s="22">
        <v>2025000</v>
      </c>
      <c r="D3" s="23">
        <v>0.69</v>
      </c>
    </row>
    <row r="4" spans="1:4" x14ac:dyDescent="0.35">
      <c r="A4" s="20" t="s">
        <v>12</v>
      </c>
      <c r="B4" s="24" t="s">
        <v>15</v>
      </c>
      <c r="C4" s="25"/>
      <c r="D4" s="26"/>
    </row>
    <row r="5" spans="1:4" x14ac:dyDescent="0.35">
      <c r="A5" s="20" t="s">
        <v>13</v>
      </c>
      <c r="B5" s="24" t="s">
        <v>16</v>
      </c>
      <c r="C5" s="25"/>
      <c r="D5" s="26"/>
    </row>
    <row r="6" spans="1:4" ht="15" thickBot="1" x14ac:dyDescent="0.4">
      <c r="A6" s="27"/>
      <c r="B6" s="28" t="s">
        <v>17</v>
      </c>
      <c r="C6" s="29"/>
      <c r="D6" s="30"/>
    </row>
    <row r="7" spans="1:4" ht="15" thickBot="1" x14ac:dyDescent="0.4">
      <c r="A7" s="31"/>
      <c r="B7" s="32" t="s">
        <v>18</v>
      </c>
      <c r="C7" s="11">
        <v>300000</v>
      </c>
      <c r="D7" s="33">
        <v>0.1</v>
      </c>
    </row>
    <row r="8" spans="1:4" ht="15" thickBot="1" x14ac:dyDescent="0.4">
      <c r="A8" s="31"/>
      <c r="B8" s="32" t="s">
        <v>19</v>
      </c>
      <c r="C8" s="11">
        <v>500000</v>
      </c>
      <c r="D8" s="33">
        <v>0.17</v>
      </c>
    </row>
    <row r="9" spans="1:4" ht="15" thickBot="1" x14ac:dyDescent="0.4">
      <c r="A9" s="31"/>
      <c r="B9" s="32" t="s">
        <v>20</v>
      </c>
      <c r="C9" s="11">
        <v>125000</v>
      </c>
      <c r="D9" s="33">
        <v>0.04</v>
      </c>
    </row>
    <row r="10" spans="1:4" ht="15" thickBot="1" x14ac:dyDescent="0.4">
      <c r="A10" s="16" t="s">
        <v>21</v>
      </c>
      <c r="B10" s="17"/>
      <c r="C10" s="18">
        <v>11920000</v>
      </c>
      <c r="D10" s="19">
        <v>1</v>
      </c>
    </row>
    <row r="11" spans="1:4" x14ac:dyDescent="0.35">
      <c r="A11" s="20" t="s">
        <v>22</v>
      </c>
      <c r="B11" s="34" t="s">
        <v>25</v>
      </c>
      <c r="C11" s="22">
        <v>2700000</v>
      </c>
      <c r="D11" s="23">
        <v>0.23</v>
      </c>
    </row>
    <row r="12" spans="1:4" x14ac:dyDescent="0.35">
      <c r="A12" s="20" t="s">
        <v>23</v>
      </c>
      <c r="B12" s="35"/>
      <c r="C12" s="25"/>
      <c r="D12" s="26"/>
    </row>
    <row r="13" spans="1:4" ht="29.5" thickBot="1" x14ac:dyDescent="0.4">
      <c r="A13" s="36" t="s">
        <v>24</v>
      </c>
      <c r="B13" s="37"/>
      <c r="C13" s="29"/>
      <c r="D13" s="30"/>
    </row>
    <row r="14" spans="1:4" x14ac:dyDescent="0.35">
      <c r="A14" s="38"/>
      <c r="B14" s="21" t="s">
        <v>26</v>
      </c>
      <c r="C14" s="22">
        <v>7800000</v>
      </c>
      <c r="D14" s="23">
        <v>0.65</v>
      </c>
    </row>
    <row r="15" spans="1:4" ht="15" thickBot="1" x14ac:dyDescent="0.4">
      <c r="A15" s="39"/>
      <c r="B15" s="32" t="s">
        <v>27</v>
      </c>
      <c r="C15" s="29"/>
      <c r="D15" s="30"/>
    </row>
    <row r="16" spans="1:4" ht="15" thickBot="1" x14ac:dyDescent="0.4">
      <c r="A16" s="31"/>
      <c r="B16" s="32" t="s">
        <v>28</v>
      </c>
      <c r="C16" s="11">
        <v>620000</v>
      </c>
      <c r="D16" s="33">
        <v>0.05</v>
      </c>
    </row>
    <row r="17" spans="1:7" ht="15" thickBot="1" x14ac:dyDescent="0.4">
      <c r="A17" s="31"/>
      <c r="B17" s="32" t="s">
        <v>29</v>
      </c>
      <c r="C17" s="11">
        <v>800000</v>
      </c>
      <c r="D17" s="33">
        <v>7.0000000000000007E-2</v>
      </c>
    </row>
    <row r="18" spans="1:7" ht="15" thickBot="1" x14ac:dyDescent="0.4">
      <c r="A18" s="16" t="s">
        <v>30</v>
      </c>
      <c r="B18" s="17"/>
      <c r="C18" s="18">
        <v>2100000</v>
      </c>
      <c r="D18" s="33">
        <v>1</v>
      </c>
    </row>
    <row r="19" spans="1:7" x14ac:dyDescent="0.35">
      <c r="A19" s="20" t="s">
        <v>31</v>
      </c>
      <c r="B19" s="21" t="s">
        <v>14</v>
      </c>
      <c r="C19" s="22">
        <v>1320000</v>
      </c>
      <c r="D19" s="23">
        <v>0.63</v>
      </c>
    </row>
    <row r="20" spans="1:7" x14ac:dyDescent="0.35">
      <c r="A20" s="20" t="s">
        <v>32</v>
      </c>
      <c r="B20" s="21" t="s">
        <v>34</v>
      </c>
      <c r="C20" s="25"/>
      <c r="D20" s="26"/>
    </row>
    <row r="21" spans="1:7" ht="15" thickBot="1" x14ac:dyDescent="0.4">
      <c r="A21" s="40" t="s">
        <v>33</v>
      </c>
      <c r="B21" s="41"/>
      <c r="C21" s="29"/>
      <c r="D21" s="30"/>
    </row>
    <row r="22" spans="1:7" ht="15" thickBot="1" x14ac:dyDescent="0.4">
      <c r="A22" s="31"/>
      <c r="B22" s="32" t="s">
        <v>35</v>
      </c>
      <c r="C22" s="11">
        <v>200000</v>
      </c>
      <c r="D22" s="33">
        <v>0.09</v>
      </c>
    </row>
    <row r="23" spans="1:7" ht="15" thickBot="1" x14ac:dyDescent="0.4">
      <c r="A23" s="42"/>
      <c r="B23" s="32" t="s">
        <v>36</v>
      </c>
      <c r="C23" s="11">
        <v>580000</v>
      </c>
      <c r="D23" s="33">
        <v>0.28000000000000003</v>
      </c>
    </row>
    <row r="24" spans="1:7" ht="57.5" customHeight="1" x14ac:dyDescent="0.35">
      <c r="A24" s="43" t="s">
        <v>37</v>
      </c>
      <c r="B24" s="44"/>
      <c r="C24" s="45">
        <v>1030000</v>
      </c>
      <c r="D24" s="23">
        <v>1</v>
      </c>
    </row>
    <row r="25" spans="1:7" ht="15" thickBot="1" x14ac:dyDescent="0.4">
      <c r="A25" s="46"/>
      <c r="B25" s="47"/>
      <c r="C25" s="48"/>
      <c r="D25" s="30"/>
    </row>
    <row r="26" spans="1:7" ht="15" thickBot="1" x14ac:dyDescent="0.4">
      <c r="A26" s="16" t="s">
        <v>38</v>
      </c>
      <c r="B26" s="17"/>
      <c r="C26" s="49">
        <v>18000000</v>
      </c>
      <c r="D26" s="17"/>
      <c r="G26" s="52"/>
    </row>
    <row r="27" spans="1:7" x14ac:dyDescent="0.35">
      <c r="A27" s="6"/>
      <c r="B27" s="50"/>
      <c r="C27" s="50"/>
      <c r="D27" s="50"/>
    </row>
    <row r="28" spans="1:7" ht="15" thickBot="1" x14ac:dyDescent="0.4">
      <c r="A28" s="7" t="s">
        <v>39</v>
      </c>
      <c r="B28" s="50"/>
      <c r="C28" s="50"/>
      <c r="D28" s="50"/>
    </row>
    <row r="29" spans="1:7" ht="15" thickBot="1" x14ac:dyDescent="0.4">
      <c r="A29" s="8" t="s">
        <v>40</v>
      </c>
      <c r="B29" s="9" t="s">
        <v>41</v>
      </c>
      <c r="C29" s="9" t="s">
        <v>42</v>
      </c>
      <c r="D29" s="50"/>
    </row>
    <row r="30" spans="1:7" ht="15" thickBot="1" x14ac:dyDescent="0.4">
      <c r="A30" s="10" t="s">
        <v>43</v>
      </c>
      <c r="B30" s="11">
        <v>6045000</v>
      </c>
      <c r="C30" s="12">
        <v>34</v>
      </c>
      <c r="D30" s="50"/>
    </row>
    <row r="31" spans="1:7" ht="15" thickBot="1" x14ac:dyDescent="0.4">
      <c r="A31" s="10" t="s">
        <v>35</v>
      </c>
      <c r="B31" s="11">
        <v>1120000</v>
      </c>
      <c r="C31" s="12">
        <v>6</v>
      </c>
      <c r="D31" s="50"/>
    </row>
    <row r="32" spans="1:7" ht="15" thickBot="1" x14ac:dyDescent="0.4">
      <c r="A32" s="10" t="s">
        <v>36</v>
      </c>
      <c r="B32" s="11">
        <v>1880000</v>
      </c>
      <c r="C32" s="12">
        <v>10</v>
      </c>
      <c r="D32" s="50"/>
    </row>
    <row r="33" spans="1:4" ht="15" thickBot="1" x14ac:dyDescent="0.4">
      <c r="A33" s="10" t="s">
        <v>44</v>
      </c>
      <c r="B33" s="11">
        <v>125000</v>
      </c>
      <c r="C33" s="12">
        <v>1</v>
      </c>
      <c r="D33" s="50"/>
    </row>
    <row r="34" spans="1:4" ht="15" thickBot="1" x14ac:dyDescent="0.4">
      <c r="A34" s="10" t="s">
        <v>45</v>
      </c>
      <c r="B34" s="11">
        <v>7800000</v>
      </c>
      <c r="C34" s="12">
        <v>43</v>
      </c>
      <c r="D34" s="50"/>
    </row>
    <row r="35" spans="1:4" ht="15" thickBot="1" x14ac:dyDescent="0.4">
      <c r="A35" s="10" t="s">
        <v>46</v>
      </c>
      <c r="B35" s="13">
        <v>1030000</v>
      </c>
      <c r="C35" s="12">
        <v>6</v>
      </c>
      <c r="D35" s="50"/>
    </row>
    <row r="36" spans="1:4" ht="15" thickBot="1" x14ac:dyDescent="0.4">
      <c r="A36" s="51" t="s">
        <v>47</v>
      </c>
      <c r="B36" s="14">
        <v>18000000</v>
      </c>
      <c r="C36" s="15">
        <v>100</v>
      </c>
      <c r="D36" s="50"/>
    </row>
    <row r="37" spans="1:4" x14ac:dyDescent="0.35">
      <c r="A37" s="50"/>
      <c r="B37" s="50"/>
      <c r="C37" s="50"/>
      <c r="D37" s="50"/>
    </row>
    <row r="38" spans="1:4" x14ac:dyDescent="0.35">
      <c r="A38" s="50"/>
      <c r="B38" s="50"/>
      <c r="C38" s="50"/>
      <c r="D38" s="50"/>
    </row>
    <row r="39" spans="1:4" x14ac:dyDescent="0.35">
      <c r="A39" s="50"/>
      <c r="B39" s="50"/>
      <c r="C39" s="50"/>
      <c r="D39" s="50"/>
    </row>
    <row r="40" spans="1:4" x14ac:dyDescent="0.35">
      <c r="A40" s="50"/>
      <c r="B40" s="50"/>
      <c r="C40" s="50"/>
      <c r="D40" s="50"/>
    </row>
    <row r="41" spans="1:4" x14ac:dyDescent="0.35">
      <c r="A41" s="50"/>
      <c r="B41" s="50"/>
      <c r="C41" s="50"/>
      <c r="D41" s="50"/>
    </row>
    <row r="42" spans="1:4" x14ac:dyDescent="0.35">
      <c r="A42" s="50"/>
      <c r="B42" s="50"/>
      <c r="C42" s="50"/>
      <c r="D42" s="50"/>
    </row>
    <row r="43" spans="1:4" x14ac:dyDescent="0.35">
      <c r="A43" s="50"/>
      <c r="B43" s="50"/>
      <c r="C43" s="50"/>
      <c r="D43" s="50"/>
    </row>
    <row r="44" spans="1:4" x14ac:dyDescent="0.35">
      <c r="A44" s="50"/>
      <c r="B44" s="50"/>
      <c r="C44" s="50"/>
      <c r="D44" s="50"/>
    </row>
    <row r="45" spans="1:4" x14ac:dyDescent="0.35">
      <c r="A45" s="50"/>
      <c r="B45" s="50"/>
      <c r="C45" s="50"/>
      <c r="D45" s="50"/>
    </row>
    <row r="46" spans="1:4" x14ac:dyDescent="0.35">
      <c r="A46" s="50"/>
      <c r="B46" s="50"/>
      <c r="C46" s="50"/>
      <c r="D46" s="50"/>
    </row>
    <row r="47" spans="1:4" x14ac:dyDescent="0.35">
      <c r="A47" s="50"/>
      <c r="B47" s="50"/>
      <c r="C47" s="50"/>
      <c r="D47" s="50"/>
    </row>
    <row r="48" spans="1:4" x14ac:dyDescent="0.35">
      <c r="A48" s="50"/>
      <c r="B48" s="50"/>
      <c r="C48" s="50"/>
      <c r="D48" s="50"/>
    </row>
    <row r="49" spans="1:4" x14ac:dyDescent="0.35">
      <c r="A49" s="50"/>
      <c r="B49" s="50"/>
      <c r="C49" s="50"/>
      <c r="D49" s="50"/>
    </row>
    <row r="50" spans="1:4" x14ac:dyDescent="0.35">
      <c r="A50" s="50"/>
      <c r="B50" s="50"/>
      <c r="C50" s="50"/>
      <c r="D50" s="50"/>
    </row>
  </sheetData>
  <mergeCells count="14">
    <mergeCell ref="C19:C21"/>
    <mergeCell ref="D19:D21"/>
    <mergeCell ref="A24:A25"/>
    <mergeCell ref="B24:B25"/>
    <mergeCell ref="C24:C25"/>
    <mergeCell ref="D24:D25"/>
    <mergeCell ref="C3:C6"/>
    <mergeCell ref="D3:D6"/>
    <mergeCell ref="B11:B13"/>
    <mergeCell ref="C11:C13"/>
    <mergeCell ref="D11:D13"/>
    <mergeCell ref="A14:A15"/>
    <mergeCell ref="C14:C15"/>
    <mergeCell ref="D14:D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6" sqref="B16"/>
    </sheetView>
  </sheetViews>
  <sheetFormatPr defaultRowHeight="14.5" x14ac:dyDescent="0.35"/>
  <cols>
    <col min="1" max="1" width="34.08984375" customWidth="1"/>
    <col min="2" max="2" width="36.54296875" customWidth="1"/>
    <col min="3" max="3" width="25.6328125" customWidth="1"/>
    <col min="4" max="4" width="29.6328125" customWidth="1"/>
  </cols>
  <sheetData>
    <row r="1" spans="1:4" ht="30" customHeight="1" thickBot="1" x14ac:dyDescent="0.4">
      <c r="A1" s="79" t="s">
        <v>125</v>
      </c>
      <c r="B1" s="95" t="s">
        <v>126</v>
      </c>
      <c r="C1" s="92" t="s">
        <v>127</v>
      </c>
      <c r="D1" s="93"/>
    </row>
    <row r="2" spans="1:4" ht="15" thickBot="1" x14ac:dyDescent="0.4">
      <c r="A2" s="80"/>
      <c r="B2" s="96"/>
      <c r="C2" s="94" t="s">
        <v>128</v>
      </c>
      <c r="D2" s="94" t="s">
        <v>129</v>
      </c>
    </row>
    <row r="3" spans="1:4" ht="15" thickBot="1" x14ac:dyDescent="0.4">
      <c r="A3" s="81" t="s">
        <v>130</v>
      </c>
      <c r="B3" s="82" t="s">
        <v>131</v>
      </c>
      <c r="C3" s="82" t="s">
        <v>131</v>
      </c>
      <c r="D3" s="82" t="s">
        <v>132</v>
      </c>
    </row>
    <row r="4" spans="1:4" ht="22" customHeight="1" x14ac:dyDescent="0.35">
      <c r="A4" s="83" t="s">
        <v>133</v>
      </c>
      <c r="B4" s="84">
        <v>0.03</v>
      </c>
      <c r="C4" s="84">
        <v>0.05</v>
      </c>
      <c r="D4" s="84">
        <v>0.03</v>
      </c>
    </row>
    <row r="5" spans="1:4" ht="5.5" customHeight="1" thickBot="1" x14ac:dyDescent="0.4">
      <c r="A5" s="85"/>
      <c r="B5" s="86"/>
      <c r="C5" s="86"/>
      <c r="D5" s="86"/>
    </row>
    <row r="6" spans="1:4" ht="15" thickBot="1" x14ac:dyDescent="0.4">
      <c r="A6" s="81" t="s">
        <v>134</v>
      </c>
      <c r="B6" s="82" t="s">
        <v>135</v>
      </c>
      <c r="C6" s="87">
        <v>4.4999999999999998E-2</v>
      </c>
      <c r="D6" s="87">
        <v>6.5000000000000002E-2</v>
      </c>
    </row>
    <row r="7" spans="1:4" ht="39" x14ac:dyDescent="0.35">
      <c r="A7" s="83" t="s">
        <v>136</v>
      </c>
      <c r="B7" s="88" t="s">
        <v>145</v>
      </c>
      <c r="C7" s="88" t="s">
        <v>145</v>
      </c>
      <c r="D7" s="88" t="s">
        <v>145</v>
      </c>
    </row>
    <row r="8" spans="1:4" x14ac:dyDescent="0.35">
      <c r="A8" s="89"/>
      <c r="B8" s="90"/>
      <c r="C8" s="90"/>
      <c r="D8" s="90"/>
    </row>
    <row r="9" spans="1:4" ht="41" customHeight="1" thickBot="1" x14ac:dyDescent="0.4">
      <c r="A9" s="85"/>
      <c r="B9" s="91" t="s">
        <v>146</v>
      </c>
      <c r="C9" s="91" t="s">
        <v>146</v>
      </c>
      <c r="D9" s="91" t="s">
        <v>146</v>
      </c>
    </row>
    <row r="10" spans="1:4" ht="39" customHeight="1" x14ac:dyDescent="0.35">
      <c r="A10" s="83" t="s">
        <v>137</v>
      </c>
      <c r="B10" s="83" t="s">
        <v>138</v>
      </c>
      <c r="C10" s="83" t="s">
        <v>139</v>
      </c>
      <c r="D10" s="83" t="s">
        <v>140</v>
      </c>
    </row>
    <row r="11" spans="1:4" ht="15" thickBot="1" x14ac:dyDescent="0.4">
      <c r="A11" s="85"/>
      <c r="B11" s="85"/>
      <c r="C11" s="85"/>
      <c r="D11" s="85"/>
    </row>
    <row r="12" spans="1:4" ht="39.5" thickBot="1" x14ac:dyDescent="0.4">
      <c r="A12" s="81" t="s">
        <v>141</v>
      </c>
      <c r="B12" s="82" t="s">
        <v>142</v>
      </c>
      <c r="C12" s="82" t="s">
        <v>143</v>
      </c>
      <c r="D12" s="82" t="s">
        <v>144</v>
      </c>
    </row>
  </sheetData>
  <mergeCells count="12">
    <mergeCell ref="A7:A9"/>
    <mergeCell ref="A10:A11"/>
    <mergeCell ref="B10:B11"/>
    <mergeCell ref="C10:C11"/>
    <mergeCell ref="D10:D11"/>
    <mergeCell ref="A1:A2"/>
    <mergeCell ref="B1:B2"/>
    <mergeCell ref="C1:D1"/>
    <mergeCell ref="A4:A5"/>
    <mergeCell ref="B4:B5"/>
    <mergeCell ref="C4:C5"/>
    <mergeCell ref="D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selection activeCell="B30" sqref="B30"/>
    </sheetView>
  </sheetViews>
  <sheetFormatPr defaultRowHeight="14.5" x14ac:dyDescent="0.35"/>
  <cols>
    <col min="1" max="1" width="13" bestFit="1" customWidth="1"/>
    <col min="2" max="2" width="23.81640625" bestFit="1" customWidth="1"/>
    <col min="3" max="3" width="15.36328125" bestFit="1" customWidth="1"/>
    <col min="4" max="4" width="14.6328125" bestFit="1" customWidth="1"/>
    <col min="5" max="5" width="15.6328125" bestFit="1" customWidth="1"/>
  </cols>
  <sheetData>
    <row r="2" spans="1:5" x14ac:dyDescent="0.35">
      <c r="A2" s="112"/>
      <c r="B2" s="113"/>
      <c r="C2" s="114" t="s">
        <v>123</v>
      </c>
      <c r="D2" s="114" t="s">
        <v>124</v>
      </c>
      <c r="E2" s="115" t="s">
        <v>129</v>
      </c>
    </row>
    <row r="3" spans="1:5" x14ac:dyDescent="0.35">
      <c r="A3" s="97" t="s">
        <v>122</v>
      </c>
      <c r="B3" s="98" t="s">
        <v>148</v>
      </c>
      <c r="C3" s="99">
        <f>'Baseline Scenario'!D39</f>
        <v>2.4912600129702676</v>
      </c>
      <c r="D3" s="99">
        <f>'Low Scenario'!D39</f>
        <v>2.1117285849160465</v>
      </c>
      <c r="E3" s="100">
        <f>'High Scenario'!D39</f>
        <v>7.8572014424873382</v>
      </c>
    </row>
    <row r="4" spans="1:5" x14ac:dyDescent="0.35">
      <c r="A4" s="101"/>
      <c r="B4" s="102" t="s">
        <v>150</v>
      </c>
      <c r="C4" s="103">
        <f>'Baseline Scenario'!D40</f>
        <v>0.20123516913326012</v>
      </c>
      <c r="D4" s="103">
        <f>'Low Scenario'!D40</f>
        <v>0.16477221864256286</v>
      </c>
      <c r="E4" s="104">
        <f>'High Scenario'!D40</f>
        <v>0.67824508622926682</v>
      </c>
    </row>
    <row r="5" spans="1:5" x14ac:dyDescent="0.35">
      <c r="A5" s="105"/>
      <c r="B5" s="106" t="s">
        <v>149</v>
      </c>
      <c r="C5" s="116">
        <f>'Baseline Scenario'!D41</f>
        <v>47597858.749399021</v>
      </c>
      <c r="D5" s="116">
        <f>'Low Scenario'!D41</f>
        <v>35484020.018149734</v>
      </c>
      <c r="E5" s="117">
        <f>'High Scenario'!D41</f>
        <v>208186888.89421844</v>
      </c>
    </row>
    <row r="6" spans="1:5" x14ac:dyDescent="0.35">
      <c r="A6" s="107" t="s">
        <v>147</v>
      </c>
      <c r="B6" s="98" t="s">
        <v>148</v>
      </c>
      <c r="C6" s="99">
        <f>'Baseline Scenario'!D65</f>
        <v>16.125028647646161</v>
      </c>
      <c r="D6" s="99">
        <f>'Low Scenario'!D65</f>
        <v>7.430099475523261</v>
      </c>
      <c r="E6" s="100">
        <f>'High Scenario'!D65</f>
        <v>23.555128123169425</v>
      </c>
    </row>
    <row r="7" spans="1:5" x14ac:dyDescent="0.35">
      <c r="A7" s="108"/>
      <c r="B7" s="102" t="s">
        <v>150</v>
      </c>
      <c r="C7" s="103">
        <f>'Baseline Scenario'!D66</f>
        <v>0.54844348761859396</v>
      </c>
      <c r="D7" s="103">
        <f>'Low Scenario'!D66</f>
        <v>0.33434203875303736</v>
      </c>
      <c r="E7" s="104">
        <f>'High Scenario'!D66</f>
        <v>0.67270294002043562</v>
      </c>
    </row>
    <row r="8" spans="1:5" x14ac:dyDescent="0.35">
      <c r="A8" s="110"/>
      <c r="B8" s="106" t="s">
        <v>149</v>
      </c>
      <c r="C8" s="116">
        <f>'Baseline Scenario'!D67</f>
        <v>26946719.061203409</v>
      </c>
      <c r="D8" s="116">
        <f>'Low Scenario'!D67</f>
        <v>10983246.112364212</v>
      </c>
      <c r="E8" s="117">
        <f>'High Scenario'!D67</f>
        <v>32871148.372931767</v>
      </c>
    </row>
  </sheetData>
  <mergeCells count="2">
    <mergeCell ref="A3:A5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5" zoomScaleNormal="85" workbookViewId="0">
      <selection activeCell="A21" sqref="A21"/>
    </sheetView>
  </sheetViews>
  <sheetFormatPr defaultRowHeight="14.5" x14ac:dyDescent="0.35"/>
  <cols>
    <col min="1" max="1" width="57.54296875" customWidth="1"/>
    <col min="3" max="3" width="18.90625" customWidth="1"/>
    <col min="4" max="4" width="15.7265625" bestFit="1" customWidth="1"/>
    <col min="5" max="5" width="37.90625" bestFit="1" customWidth="1"/>
    <col min="7" max="7" width="16.1796875" customWidth="1"/>
    <col min="8" max="8" width="12.1796875" bestFit="1" customWidth="1"/>
    <col min="9" max="9" width="14.6328125" bestFit="1" customWidth="1"/>
    <col min="10" max="10" width="12.90625" bestFit="1" customWidth="1"/>
    <col min="11" max="11" width="16.90625" customWidth="1"/>
    <col min="12" max="12" width="20.36328125" bestFit="1" customWidth="1"/>
    <col min="13" max="13" width="13.1796875" customWidth="1"/>
    <col min="14" max="14" width="15.26953125" customWidth="1"/>
    <col min="15" max="15" width="14.6328125" bestFit="1" customWidth="1"/>
    <col min="16" max="16" width="22.6328125" customWidth="1"/>
    <col min="17" max="17" width="20.36328125" customWidth="1"/>
    <col min="18" max="18" width="34.81640625" customWidth="1"/>
    <col min="20" max="21" width="11.6328125" customWidth="1"/>
    <col min="22" max="22" width="10.6328125" customWidth="1"/>
    <col min="23" max="23" width="12.1796875" customWidth="1"/>
    <col min="24" max="24" width="11.08984375" customWidth="1"/>
    <col min="25" max="25" width="19.08984375" customWidth="1"/>
    <col min="26" max="26" width="15.81640625" customWidth="1"/>
  </cols>
  <sheetData>
    <row r="1" spans="1:2" x14ac:dyDescent="0.35">
      <c r="A1" s="56" t="s">
        <v>93</v>
      </c>
      <c r="B1" s="56"/>
    </row>
    <row r="2" spans="1:2" x14ac:dyDescent="0.35">
      <c r="A2" s="63" t="s">
        <v>94</v>
      </c>
      <c r="B2" s="64">
        <v>0.03</v>
      </c>
    </row>
    <row r="3" spans="1:2" x14ac:dyDescent="0.35">
      <c r="A3" s="65" t="s">
        <v>95</v>
      </c>
      <c r="B3" s="66">
        <v>4.4999999999999998E-2</v>
      </c>
    </row>
    <row r="4" spans="1:2" x14ac:dyDescent="0.35">
      <c r="A4" s="68" t="s">
        <v>96</v>
      </c>
      <c r="B4" s="69">
        <v>0.5</v>
      </c>
    </row>
    <row r="5" spans="1:2" x14ac:dyDescent="0.35">
      <c r="A5" s="67" t="s">
        <v>97</v>
      </c>
      <c r="B5" s="72">
        <v>1</v>
      </c>
    </row>
    <row r="6" spans="1:2" x14ac:dyDescent="0.35">
      <c r="A6" s="70" t="s">
        <v>107</v>
      </c>
      <c r="B6" s="71">
        <v>2.37</v>
      </c>
    </row>
    <row r="7" spans="1:2" x14ac:dyDescent="0.35">
      <c r="A7" s="63" t="s">
        <v>111</v>
      </c>
      <c r="B7" s="64">
        <v>4.0000000000000001E-3</v>
      </c>
    </row>
    <row r="8" spans="1:2" x14ac:dyDescent="0.35">
      <c r="A8" s="65" t="s">
        <v>114</v>
      </c>
      <c r="B8" s="66">
        <v>0.1</v>
      </c>
    </row>
    <row r="9" spans="1:2" x14ac:dyDescent="0.35">
      <c r="A9" s="68" t="s">
        <v>117</v>
      </c>
      <c r="B9" s="69">
        <v>0.05</v>
      </c>
    </row>
    <row r="10" spans="1:2" x14ac:dyDescent="0.35">
      <c r="A10" s="67" t="s">
        <v>118</v>
      </c>
      <c r="B10" s="72">
        <v>2.7E-2</v>
      </c>
    </row>
    <row r="11" spans="1:2" x14ac:dyDescent="0.35">
      <c r="A11" s="70"/>
      <c r="B11" s="71"/>
    </row>
    <row r="18" spans="1:23" x14ac:dyDescent="0.35">
      <c r="A18" s="54" t="s">
        <v>122</v>
      </c>
    </row>
    <row r="19" spans="1:23" x14ac:dyDescent="0.35">
      <c r="B19" s="54" t="s">
        <v>0</v>
      </c>
      <c r="C19" s="54" t="s">
        <v>87</v>
      </c>
      <c r="D19" s="54" t="s">
        <v>88</v>
      </c>
      <c r="E19" s="54" t="s">
        <v>1</v>
      </c>
      <c r="F19" s="54" t="s">
        <v>3</v>
      </c>
      <c r="G19" s="54" t="s">
        <v>1</v>
      </c>
      <c r="H19" s="54" t="s">
        <v>92</v>
      </c>
      <c r="I19" s="54" t="s">
        <v>48</v>
      </c>
      <c r="J19" s="54" t="s">
        <v>83</v>
      </c>
      <c r="K19" s="54" t="s">
        <v>89</v>
      </c>
      <c r="L19" s="54" t="s">
        <v>84</v>
      </c>
      <c r="M19" s="54" t="s">
        <v>90</v>
      </c>
      <c r="N19" s="54" t="s">
        <v>91</v>
      </c>
      <c r="O19" s="54" t="s">
        <v>85</v>
      </c>
      <c r="P19" s="54" t="s">
        <v>86</v>
      </c>
      <c r="Q19" s="54" t="s">
        <v>98</v>
      </c>
      <c r="R19" s="54" t="s">
        <v>99</v>
      </c>
    </row>
    <row r="20" spans="1:23" x14ac:dyDescent="0.35">
      <c r="B20">
        <v>2015</v>
      </c>
      <c r="C20">
        <v>1414764.9749400001</v>
      </c>
      <c r="D20">
        <v>1142174.4600500001</v>
      </c>
      <c r="F20" s="4">
        <v>3761.91</v>
      </c>
      <c r="G20" s="4"/>
      <c r="J20" s="59"/>
      <c r="K20" s="59"/>
      <c r="L20" s="59"/>
    </row>
    <row r="21" spans="1:23" x14ac:dyDescent="0.35">
      <c r="B21">
        <v>2016</v>
      </c>
      <c r="C21">
        <v>1392222.48545</v>
      </c>
      <c r="D21">
        <v>1130108.4447699999</v>
      </c>
      <c r="F21" s="4">
        <v>3842.431</v>
      </c>
      <c r="G21" s="4"/>
      <c r="J21" s="59"/>
      <c r="L21" s="59"/>
    </row>
    <row r="22" spans="1:23" x14ac:dyDescent="0.35">
      <c r="B22">
        <v>2017</v>
      </c>
      <c r="C22">
        <v>1376551.3817011754</v>
      </c>
      <c r="D22">
        <v>1119237.4968691845</v>
      </c>
      <c r="E22" s="2" t="s">
        <v>2</v>
      </c>
      <c r="F22" s="4">
        <v>3715.386</v>
      </c>
      <c r="G22" s="4" t="s">
        <v>4</v>
      </c>
      <c r="J22" s="59"/>
      <c r="L22" s="59"/>
    </row>
    <row r="23" spans="1:23" x14ac:dyDescent="0.35">
      <c r="A23">
        <v>1</v>
      </c>
      <c r="B23">
        <v>2018</v>
      </c>
      <c r="C23">
        <v>1361056.674681518</v>
      </c>
      <c r="D23">
        <v>1108471.1207984525</v>
      </c>
      <c r="E23" s="2"/>
      <c r="F23" s="4">
        <v>4021.1370000000002</v>
      </c>
      <c r="G23" s="4" t="s">
        <v>4</v>
      </c>
      <c r="H23">
        <v>3600000</v>
      </c>
      <c r="J23" s="59">
        <v>0</v>
      </c>
      <c r="K23">
        <v>0</v>
      </c>
      <c r="L23" s="59">
        <v>0</v>
      </c>
      <c r="M23">
        <v>0</v>
      </c>
      <c r="N23">
        <f>K23+M23</f>
        <v>0</v>
      </c>
      <c r="O23" s="60">
        <f>N23*$B$5*F23</f>
        <v>0</v>
      </c>
      <c r="P23" s="60">
        <f>O23*(1+$B$2)^-A23</f>
        <v>0</v>
      </c>
      <c r="Q23" s="60">
        <f>H23</f>
        <v>3600000</v>
      </c>
      <c r="R23" s="60">
        <f>P23-Q23</f>
        <v>-3600000</v>
      </c>
      <c r="S23" s="5"/>
      <c r="T23" s="53"/>
      <c r="U23" s="53"/>
      <c r="V23" s="60"/>
      <c r="W23" s="53"/>
    </row>
    <row r="24" spans="1:23" x14ac:dyDescent="0.35">
      <c r="A24">
        <v>2</v>
      </c>
      <c r="B24">
        <v>2019</v>
      </c>
      <c r="C24">
        <v>1345736.3788380916</v>
      </c>
      <c r="D24">
        <v>1097808.3106411397</v>
      </c>
      <c r="E24" s="2"/>
      <c r="F24" s="4">
        <v>4323.9229999999998</v>
      </c>
      <c r="G24" s="4" t="s">
        <v>4</v>
      </c>
      <c r="H24">
        <v>3600000</v>
      </c>
      <c r="J24" s="59">
        <v>1E-4</v>
      </c>
      <c r="K24">
        <f>D24*J24*$B$4</f>
        <v>54.890415532056991</v>
      </c>
      <c r="L24" s="59">
        <v>9.9999999999999995E-7</v>
      </c>
      <c r="M24">
        <f>D24*L24*$B$4</f>
        <v>0.5489041553205698</v>
      </c>
      <c r="N24">
        <f>K24+M24</f>
        <v>55.439319687377562</v>
      </c>
      <c r="O24" s="60">
        <f t="shared" ref="O24:O36" si="0">N24*$B$5*F24</f>
        <v>239715.34950060464</v>
      </c>
      <c r="P24" s="60">
        <f>O24*(1+$B$2)^-A24</f>
        <v>225954.7077958381</v>
      </c>
      <c r="Q24" s="60">
        <f>H24*(1+$B$3)^-A24</f>
        <v>3296627.8244545688</v>
      </c>
      <c r="R24" s="60">
        <f>P24-Q24</f>
        <v>-3070673.1166587309</v>
      </c>
      <c r="S24" s="5"/>
      <c r="T24" s="53"/>
      <c r="U24" s="53"/>
      <c r="V24" s="60"/>
      <c r="W24" s="53"/>
    </row>
    <row r="25" spans="1:23" x14ac:dyDescent="0.35">
      <c r="A25">
        <v>3</v>
      </c>
      <c r="B25">
        <v>2020</v>
      </c>
      <c r="C25">
        <v>1330588.530967697</v>
      </c>
      <c r="D25">
        <v>1087248.0701568816</v>
      </c>
      <c r="E25" s="2"/>
      <c r="F25" s="4">
        <v>4678.7929999999997</v>
      </c>
      <c r="G25" s="4" t="s">
        <v>4</v>
      </c>
      <c r="H25">
        <v>3600000</v>
      </c>
      <c r="J25" s="59">
        <v>4.0000000000000002E-4</v>
      </c>
      <c r="K25">
        <f t="shared" ref="K25:K37" si="1">D25*J25*$B$4</f>
        <v>217.44961403137631</v>
      </c>
      <c r="L25" s="59">
        <v>2.9999999999999997E-4</v>
      </c>
      <c r="M25">
        <f t="shared" ref="M25:M37" si="2">D25*L25*$B$4</f>
        <v>163.08721052353224</v>
      </c>
      <c r="N25">
        <f t="shared" ref="N25:N37" si="3">K25+M25</f>
        <v>380.53682455490855</v>
      </c>
      <c r="O25" s="60">
        <f t="shared" si="0"/>
        <v>1780453.0309697341</v>
      </c>
      <c r="P25" s="60">
        <f t="shared" ref="P24:P37" si="4">O25*(1+$B$2)^-A25</f>
        <v>1629366.7411620049</v>
      </c>
      <c r="Q25" s="60">
        <f t="shared" ref="Q25:Q37" si="5">H25*(1+$B$3)^-A25</f>
        <v>3154667.7745976732</v>
      </c>
      <c r="R25" s="60">
        <f>P25-Q25</f>
        <v>-1525301.0334356683</v>
      </c>
      <c r="S25" s="5"/>
      <c r="T25" s="53"/>
      <c r="U25" s="53"/>
      <c r="V25" s="60"/>
      <c r="W25" s="53"/>
    </row>
    <row r="26" spans="1:23" x14ac:dyDescent="0.35">
      <c r="A26">
        <v>4</v>
      </c>
      <c r="B26">
        <v>2021</v>
      </c>
      <c r="C26">
        <v>1315611.1899652989</v>
      </c>
      <c r="D26">
        <v>1076789.4126885328</v>
      </c>
      <c r="E26" s="2"/>
      <c r="F26" s="4">
        <v>5091.4059999999999</v>
      </c>
      <c r="G26" s="4" t="s">
        <v>4</v>
      </c>
      <c r="H26">
        <v>3600000</v>
      </c>
      <c r="J26" s="59">
        <v>6.8000000000000005E-4</v>
      </c>
      <c r="K26">
        <f t="shared" si="1"/>
        <v>366.10840031410117</v>
      </c>
      <c r="L26" s="59">
        <v>5.0000000000000001E-4</v>
      </c>
      <c r="M26">
        <f t="shared" si="2"/>
        <v>269.19735317213321</v>
      </c>
      <c r="N26">
        <f t="shared" si="3"/>
        <v>635.30575348623438</v>
      </c>
      <c r="O26" s="60">
        <f t="shared" si="0"/>
        <v>3234599.5251343348</v>
      </c>
      <c r="P26" s="60">
        <f t="shared" si="4"/>
        <v>2873899.7832760946</v>
      </c>
      <c r="Q26" s="60">
        <f t="shared" si="5"/>
        <v>3018820.8369355737</v>
      </c>
      <c r="R26" s="60">
        <f>P26-Q26</f>
        <v>-144921.05365947913</v>
      </c>
      <c r="S26" s="5"/>
      <c r="T26" s="53"/>
      <c r="U26" s="53"/>
      <c r="V26" s="60"/>
      <c r="W26" s="53"/>
    </row>
    <row r="27" spans="1:23" x14ac:dyDescent="0.35">
      <c r="A27">
        <v>5</v>
      </c>
      <c r="B27">
        <v>2022</v>
      </c>
      <c r="C27">
        <v>1300802.4365752852</v>
      </c>
      <c r="D27">
        <v>1066431.3610699831</v>
      </c>
      <c r="E27" s="2"/>
      <c r="F27" s="4">
        <v>5550.69</v>
      </c>
      <c r="G27" s="4" t="s">
        <v>4</v>
      </c>
      <c r="H27">
        <v>3600000</v>
      </c>
      <c r="J27" s="59">
        <v>1E-3</v>
      </c>
      <c r="K27">
        <f t="shared" si="1"/>
        <v>533.21568053499152</v>
      </c>
      <c r="L27" s="59">
        <v>5.0000000000000001E-4</v>
      </c>
      <c r="M27">
        <f t="shared" si="2"/>
        <v>266.60784026749576</v>
      </c>
      <c r="N27">
        <f t="shared" si="3"/>
        <v>799.82352080248734</v>
      </c>
      <c r="O27" s="60">
        <f t="shared" si="0"/>
        <v>4439572.4186831582</v>
      </c>
      <c r="P27" s="60">
        <f t="shared" si="4"/>
        <v>3829614.1672657426</v>
      </c>
      <c r="Q27" s="60">
        <f t="shared" si="5"/>
        <v>2888823.7674024627</v>
      </c>
      <c r="R27" s="60">
        <f>P27-Q27</f>
        <v>940790.39986327989</v>
      </c>
      <c r="S27" s="5"/>
      <c r="T27" s="53"/>
      <c r="U27" s="53"/>
      <c r="V27" s="60"/>
      <c r="W27" s="53"/>
    </row>
    <row r="28" spans="1:23" x14ac:dyDescent="0.35">
      <c r="A28">
        <v>6</v>
      </c>
      <c r="B28">
        <v>2023</v>
      </c>
      <c r="C28">
        <v>1286160.3731455265</v>
      </c>
      <c r="D28">
        <v>1056172.9475348582</v>
      </c>
      <c r="E28" s="2"/>
      <c r="F28">
        <f>F27*(1+0.04652833)</f>
        <v>5808.9543360476991</v>
      </c>
      <c r="G28" s="4" t="s">
        <v>5</v>
      </c>
      <c r="H28">
        <v>0</v>
      </c>
      <c r="J28" s="59">
        <v>1E-3</v>
      </c>
      <c r="K28">
        <f t="shared" si="1"/>
        <v>528.08647376742908</v>
      </c>
      <c r="L28" s="59">
        <v>5.0000000000000001E-4</v>
      </c>
      <c r="M28">
        <f t="shared" si="2"/>
        <v>264.04323688371454</v>
      </c>
      <c r="N28">
        <f t="shared" si="3"/>
        <v>792.12971065114357</v>
      </c>
      <c r="O28" s="60">
        <f t="shared" si="0"/>
        <v>4601445.3173991693</v>
      </c>
      <c r="P28" s="60">
        <f t="shared" si="4"/>
        <v>3853638.0113125257</v>
      </c>
      <c r="Q28" s="60">
        <f t="shared" si="5"/>
        <v>0</v>
      </c>
      <c r="R28" s="60">
        <f>P28-Q28</f>
        <v>3853638.0113125257</v>
      </c>
      <c r="S28" s="5"/>
      <c r="T28" s="53"/>
      <c r="U28" s="53"/>
      <c r="V28" s="60"/>
      <c r="W28" s="53"/>
    </row>
    <row r="29" spans="1:23" x14ac:dyDescent="0.35">
      <c r="A29">
        <v>7</v>
      </c>
      <c r="B29">
        <v>2024</v>
      </c>
      <c r="C29">
        <v>1271683.1233842028</v>
      </c>
      <c r="D29">
        <v>1046013.2136261015</v>
      </c>
      <c r="E29" s="2"/>
      <c r="F29">
        <f t="shared" ref="F29:F36" si="6">F28*(1+0.04652833)</f>
        <v>6079.2352803502572</v>
      </c>
      <c r="G29" s="4" t="s">
        <v>5</v>
      </c>
      <c r="H29">
        <v>0</v>
      </c>
      <c r="J29" s="59">
        <v>1E-3</v>
      </c>
      <c r="K29">
        <f t="shared" si="1"/>
        <v>523.00660681305078</v>
      </c>
      <c r="L29" s="59">
        <v>5.0000000000000001E-4</v>
      </c>
      <c r="M29">
        <f t="shared" si="2"/>
        <v>261.50330340652539</v>
      </c>
      <c r="N29">
        <f t="shared" si="3"/>
        <v>784.50991021957611</v>
      </c>
      <c r="O29" s="60">
        <f t="shared" si="0"/>
        <v>4769220.3239912596</v>
      </c>
      <c r="P29" s="60">
        <f t="shared" si="4"/>
        <v>3877812.5611634925</v>
      </c>
      <c r="Q29" s="60">
        <f t="shared" si="5"/>
        <v>0</v>
      </c>
      <c r="R29" s="60">
        <f>P29-Q29</f>
        <v>3877812.5611634925</v>
      </c>
      <c r="S29" s="5"/>
      <c r="T29" s="53"/>
      <c r="U29" s="53"/>
      <c r="V29" s="60"/>
      <c r="W29" s="53"/>
    </row>
    <row r="30" spans="1:23" x14ac:dyDescent="0.35">
      <c r="A30">
        <v>8</v>
      </c>
      <c r="B30">
        <v>2025</v>
      </c>
      <c r="C30">
        <v>1257368.8321193682</v>
      </c>
      <c r="D30">
        <v>1035951.2101064232</v>
      </c>
      <c r="E30" s="2"/>
      <c r="F30">
        <f t="shared" si="6"/>
        <v>6362.0919456220363</v>
      </c>
      <c r="G30" s="4" t="s">
        <v>5</v>
      </c>
      <c r="H30">
        <v>0</v>
      </c>
      <c r="J30" s="59">
        <v>9.5E-4</v>
      </c>
      <c r="K30">
        <f t="shared" si="1"/>
        <v>492.07682480055104</v>
      </c>
      <c r="L30" s="59">
        <v>5.0000000000000001E-4</v>
      </c>
      <c r="M30">
        <f t="shared" si="2"/>
        <v>258.98780252660583</v>
      </c>
      <c r="N30">
        <f t="shared" si="3"/>
        <v>751.06462732715681</v>
      </c>
      <c r="O30" s="60">
        <f t="shared" si="0"/>
        <v>4778342.2161597209</v>
      </c>
      <c r="P30" s="60">
        <f t="shared" si="4"/>
        <v>3772067.4701486002</v>
      </c>
      <c r="Q30" s="60">
        <f t="shared" si="5"/>
        <v>0</v>
      </c>
      <c r="R30" s="60">
        <f>P30-Q30</f>
        <v>3772067.4701486002</v>
      </c>
      <c r="S30" s="5"/>
      <c r="T30" s="53"/>
      <c r="U30" s="53"/>
      <c r="V30" s="60"/>
      <c r="W30" s="53"/>
    </row>
    <row r="31" spans="1:23" x14ac:dyDescent="0.35">
      <c r="A31">
        <v>9</v>
      </c>
      <c r="B31">
        <v>2026</v>
      </c>
      <c r="C31">
        <v>1243215.6650612222</v>
      </c>
      <c r="D31">
        <v>1025985.9968696125</v>
      </c>
      <c r="E31" s="2"/>
      <c r="F31">
        <f t="shared" si="6"/>
        <v>6658.1094591582796</v>
      </c>
      <c r="G31" s="4" t="s">
        <v>5</v>
      </c>
      <c r="H31">
        <v>0</v>
      </c>
      <c r="J31" s="59">
        <v>8.9999999999999998E-4</v>
      </c>
      <c r="K31">
        <f t="shared" si="1"/>
        <v>461.69369859132559</v>
      </c>
      <c r="L31" s="59">
        <v>4.4999999999999999E-4</v>
      </c>
      <c r="M31">
        <f t="shared" si="2"/>
        <v>230.84684929566279</v>
      </c>
      <c r="N31">
        <f t="shared" si="3"/>
        <v>692.54054788698841</v>
      </c>
      <c r="O31" s="60">
        <f t="shared" si="0"/>
        <v>4611010.772737015</v>
      </c>
      <c r="P31" s="60">
        <f t="shared" si="4"/>
        <v>3533955.8092423654</v>
      </c>
      <c r="Q31" s="60">
        <f t="shared" si="5"/>
        <v>0</v>
      </c>
      <c r="R31" s="60">
        <f>P31-Q31</f>
        <v>3533955.8092423654</v>
      </c>
      <c r="S31" s="5"/>
      <c r="T31" s="53"/>
      <c r="U31" s="53"/>
      <c r="V31" s="60"/>
      <c r="W31" s="53"/>
    </row>
    <row r="32" spans="1:23" x14ac:dyDescent="0.35">
      <c r="A32">
        <v>10</v>
      </c>
      <c r="B32">
        <v>2027</v>
      </c>
      <c r="C32">
        <v>1229221.8085670562</v>
      </c>
      <c r="D32">
        <v>1016116.6428527016</v>
      </c>
      <c r="E32" s="2"/>
      <c r="F32">
        <f t="shared" si="6"/>
        <v>6967.9001732501165</v>
      </c>
      <c r="G32" s="4" t="s">
        <v>5</v>
      </c>
      <c r="H32">
        <v>0</v>
      </c>
      <c r="J32" s="59">
        <v>8.4999999999999995E-4</v>
      </c>
      <c r="K32">
        <f t="shared" si="1"/>
        <v>431.84957321239813</v>
      </c>
      <c r="L32" s="59">
        <v>4.0000000000000002E-4</v>
      </c>
      <c r="M32">
        <f t="shared" si="2"/>
        <v>203.22332857054033</v>
      </c>
      <c r="N32">
        <f t="shared" si="3"/>
        <v>635.07290178293852</v>
      </c>
      <c r="O32" s="60">
        <f t="shared" si="0"/>
        <v>4425124.5823597917</v>
      </c>
      <c r="P32" s="60">
        <f t="shared" si="4"/>
        <v>3292708.2743938332</v>
      </c>
      <c r="Q32" s="60">
        <f t="shared" si="5"/>
        <v>0</v>
      </c>
      <c r="R32" s="60">
        <f>P32-Q32</f>
        <v>3292708.2743938332</v>
      </c>
      <c r="S32" s="5"/>
      <c r="T32" s="53"/>
      <c r="U32" s="53"/>
      <c r="V32" s="60"/>
      <c r="W32" s="53"/>
    </row>
    <row r="33" spans="1:26" x14ac:dyDescent="0.35">
      <c r="A33">
        <v>11</v>
      </c>
      <c r="B33">
        <v>2028</v>
      </c>
      <c r="C33">
        <v>1215385.4694088462</v>
      </c>
      <c r="D33">
        <v>1006342.2259489758</v>
      </c>
      <c r="E33" s="2"/>
      <c r="F33">
        <f t="shared" si="6"/>
        <v>7292.1049319181548</v>
      </c>
      <c r="G33" s="4" t="s">
        <v>5</v>
      </c>
      <c r="H33">
        <v>0</v>
      </c>
      <c r="J33" s="59">
        <v>8.0000000000000004E-4</v>
      </c>
      <c r="K33">
        <f t="shared" si="1"/>
        <v>402.53689037959032</v>
      </c>
      <c r="L33" s="59">
        <v>3.5E-4</v>
      </c>
      <c r="M33">
        <f t="shared" si="2"/>
        <v>176.10988954107077</v>
      </c>
      <c r="N33">
        <f t="shared" si="3"/>
        <v>578.64677992066106</v>
      </c>
      <c r="O33" s="60">
        <f t="shared" si="0"/>
        <v>4219553.0376980118</v>
      </c>
      <c r="P33" s="60">
        <f t="shared" si="4"/>
        <v>3048294.8921699831</v>
      </c>
      <c r="Q33" s="60">
        <f t="shared" si="5"/>
        <v>0</v>
      </c>
      <c r="R33" s="60">
        <f>P33-Q33</f>
        <v>3048294.8921699831</v>
      </c>
      <c r="S33" s="5"/>
      <c r="T33" s="53"/>
      <c r="U33" s="53"/>
      <c r="V33" s="60"/>
      <c r="W33" s="53"/>
    </row>
    <row r="34" spans="1:26" x14ac:dyDescent="0.35">
      <c r="A34">
        <v>12</v>
      </c>
      <c r="B34">
        <v>2029</v>
      </c>
      <c r="C34">
        <v>1201704.8745434617</v>
      </c>
      <c r="D34">
        <v>996661.83292181941</v>
      </c>
      <c r="E34" s="2"/>
      <c r="F34">
        <f t="shared" si="6"/>
        <v>7631.3943965850694</v>
      </c>
      <c r="G34" s="4" t="s">
        <v>5</v>
      </c>
      <c r="H34">
        <v>0</v>
      </c>
      <c r="J34" s="59">
        <v>7.5000000000000002E-4</v>
      </c>
      <c r="K34">
        <f t="shared" si="1"/>
        <v>373.74818734568231</v>
      </c>
      <c r="L34" s="59">
        <v>2.9999999999999997E-4</v>
      </c>
      <c r="M34">
        <f t="shared" si="2"/>
        <v>149.49927493827289</v>
      </c>
      <c r="N34">
        <f t="shared" si="3"/>
        <v>523.2474622839552</v>
      </c>
      <c r="O34" s="60">
        <f t="shared" si="0"/>
        <v>3993107.7517011333</v>
      </c>
      <c r="P34" s="60">
        <f t="shared" si="4"/>
        <v>2800685.4364857739</v>
      </c>
      <c r="Q34" s="60">
        <f t="shared" si="5"/>
        <v>0</v>
      </c>
      <c r="R34" s="60">
        <f>P34-Q34</f>
        <v>2800685.4364857739</v>
      </c>
      <c r="S34" s="5"/>
      <c r="T34" s="53"/>
      <c r="U34" s="53"/>
      <c r="V34" s="60"/>
      <c r="W34" s="53"/>
    </row>
    <row r="35" spans="1:26" x14ac:dyDescent="0.35">
      <c r="A35">
        <v>13</v>
      </c>
      <c r="B35">
        <v>2030</v>
      </c>
      <c r="C35">
        <v>1188178.270885461</v>
      </c>
      <c r="D35">
        <v>987074.5593193915</v>
      </c>
      <c r="E35" s="2"/>
      <c r="F35">
        <f t="shared" si="6"/>
        <v>7986.4704334295293</v>
      </c>
      <c r="G35" s="4" t="s">
        <v>5</v>
      </c>
      <c r="H35">
        <v>0</v>
      </c>
      <c r="J35" s="59">
        <v>6.9999999999999999E-4</v>
      </c>
      <c r="K35">
        <f t="shared" si="1"/>
        <v>345.47609576178701</v>
      </c>
      <c r="L35" s="59">
        <v>2.5000000000000001E-4</v>
      </c>
      <c r="M35">
        <f t="shared" si="2"/>
        <v>123.38431991492394</v>
      </c>
      <c r="N35">
        <f t="shared" si="3"/>
        <v>468.86041567671094</v>
      </c>
      <c r="O35" s="60">
        <f t="shared" si="0"/>
        <v>3744539.8472075309</v>
      </c>
      <c r="P35" s="60">
        <f t="shared" si="4"/>
        <v>2549849.4266138179</v>
      </c>
      <c r="Q35" s="60">
        <f t="shared" si="5"/>
        <v>0</v>
      </c>
      <c r="R35" s="60">
        <f>P35-Q35</f>
        <v>2549849.4266138179</v>
      </c>
      <c r="S35" s="5"/>
      <c r="T35" s="53"/>
      <c r="U35" s="53"/>
      <c r="V35" s="60"/>
      <c r="W35" s="53"/>
    </row>
    <row r="36" spans="1:26" x14ac:dyDescent="0.35">
      <c r="A36">
        <v>14</v>
      </c>
      <c r="B36">
        <v>2031</v>
      </c>
      <c r="C36">
        <v>1174803.9250824433</v>
      </c>
      <c r="D36">
        <v>977579.50939012086</v>
      </c>
      <c r="E36" s="2"/>
      <c r="F36">
        <f t="shared" si="6"/>
        <v>8358.0675652913815</v>
      </c>
      <c r="G36" s="4" t="s">
        <v>5</v>
      </c>
      <c r="H36">
        <v>0</v>
      </c>
      <c r="J36" s="59">
        <v>6.4999999999999997E-4</v>
      </c>
      <c r="K36">
        <f t="shared" si="1"/>
        <v>317.71334055178926</v>
      </c>
      <c r="L36" s="59">
        <v>2.0000000000000001E-4</v>
      </c>
      <c r="M36">
        <f t="shared" si="2"/>
        <v>97.75795093901209</v>
      </c>
      <c r="N36">
        <f t="shared" si="3"/>
        <v>415.47129149080138</v>
      </c>
      <c r="O36" s="60">
        <f t="shared" si="0"/>
        <v>3472537.125718988</v>
      </c>
      <c r="P36" s="60">
        <f t="shared" si="4"/>
        <v>2295756.1251790319</v>
      </c>
      <c r="Q36" s="60">
        <f t="shared" si="5"/>
        <v>0</v>
      </c>
      <c r="R36" s="60">
        <f>P36-Q36</f>
        <v>2295756.1251790319</v>
      </c>
      <c r="S36" s="5"/>
      <c r="T36" s="53"/>
      <c r="U36" s="53"/>
      <c r="V36" s="60"/>
      <c r="W36" s="53"/>
    </row>
    <row r="37" spans="1:26" x14ac:dyDescent="0.35">
      <c r="A37">
        <v>15</v>
      </c>
      <c r="B37">
        <v>2032</v>
      </c>
      <c r="C37">
        <v>1161580.1232929307</v>
      </c>
      <c r="D37">
        <v>968175.79599901568</v>
      </c>
      <c r="E37" s="2"/>
      <c r="F37">
        <f>F36*(1+0.04652833)</f>
        <v>8746.9544911315552</v>
      </c>
      <c r="G37" s="4" t="s">
        <v>5</v>
      </c>
      <c r="H37">
        <v>0</v>
      </c>
      <c r="J37" s="59">
        <v>5.9999999999999995E-4</v>
      </c>
      <c r="K37">
        <f t="shared" si="1"/>
        <v>290.45273879970466</v>
      </c>
      <c r="L37" s="59">
        <v>2.0000000000000001E-4</v>
      </c>
      <c r="M37">
        <f t="shared" si="2"/>
        <v>96.817579599901578</v>
      </c>
      <c r="N37">
        <f t="shared" si="3"/>
        <v>387.27031839960625</v>
      </c>
      <c r="O37" s="60">
        <f>N37*$B$5*F37</f>
        <v>3387435.8508073832</v>
      </c>
      <c r="P37" s="60">
        <f t="shared" si="4"/>
        <v>2174266.1718806839</v>
      </c>
      <c r="Q37" s="60">
        <f t="shared" si="5"/>
        <v>0</v>
      </c>
      <c r="R37" s="60">
        <f>P37-Q37</f>
        <v>2174266.1718806839</v>
      </c>
      <c r="S37" s="5"/>
      <c r="T37" s="53"/>
      <c r="U37" s="53"/>
      <c r="V37" s="60"/>
      <c r="W37" s="53"/>
    </row>
    <row r="38" spans="1:26" x14ac:dyDescent="0.35">
      <c r="R38" s="61">
        <f>SUM(R23:R37)</f>
        <v>23798929.374699511</v>
      </c>
      <c r="Y38" s="5"/>
      <c r="Z38" s="5"/>
    </row>
    <row r="39" spans="1:26" x14ac:dyDescent="0.35">
      <c r="C39" s="73" t="s">
        <v>102</v>
      </c>
      <c r="D39" s="74">
        <f>SUM(P23:P37)/SUM(Q23:Q37)</f>
        <v>2.4912600129702676</v>
      </c>
    </row>
    <row r="40" spans="1:26" x14ac:dyDescent="0.35">
      <c r="C40" s="76" t="s">
        <v>100</v>
      </c>
      <c r="D40" s="77">
        <f>IRR(R23:R37)</f>
        <v>0.20123516913326012</v>
      </c>
    </row>
    <row r="41" spans="1:26" x14ac:dyDescent="0.35">
      <c r="C41" s="75" t="s">
        <v>101</v>
      </c>
      <c r="D41" s="78">
        <f>SUM(R23:R38)</f>
        <v>47597858.749399021</v>
      </c>
    </row>
    <row r="44" spans="1:26" x14ac:dyDescent="0.35">
      <c r="A44" s="54" t="s">
        <v>115</v>
      </c>
    </row>
    <row r="45" spans="1:26" x14ac:dyDescent="0.35">
      <c r="B45" s="54" t="s">
        <v>0</v>
      </c>
      <c r="C45" s="54" t="s">
        <v>110</v>
      </c>
      <c r="D45" s="54" t="s">
        <v>112</v>
      </c>
      <c r="E45" s="62" t="s">
        <v>113</v>
      </c>
      <c r="F45" s="54" t="s">
        <v>105</v>
      </c>
      <c r="G45" s="54" t="s">
        <v>116</v>
      </c>
      <c r="H45" s="54" t="s">
        <v>119</v>
      </c>
      <c r="I45" s="54" t="s">
        <v>120</v>
      </c>
      <c r="J45" s="54" t="s">
        <v>106</v>
      </c>
      <c r="K45" s="54" t="s">
        <v>121</v>
      </c>
      <c r="L45" s="54" t="s">
        <v>86</v>
      </c>
      <c r="M45" s="54" t="s">
        <v>98</v>
      </c>
      <c r="N45" s="54" t="s">
        <v>99</v>
      </c>
    </row>
    <row r="46" spans="1:26" x14ac:dyDescent="0.35">
      <c r="B46">
        <v>2015</v>
      </c>
      <c r="C46" s="60">
        <v>360337552.742616</v>
      </c>
      <c r="D46" s="5">
        <v>0.67</v>
      </c>
      <c r="E46" s="60">
        <f>C46*D46</f>
        <v>241426160.33755273</v>
      </c>
      <c r="G46" s="60">
        <f>C46*$B$10</f>
        <v>9729113.924050631</v>
      </c>
    </row>
    <row r="47" spans="1:26" x14ac:dyDescent="0.35">
      <c r="B47">
        <v>2016</v>
      </c>
      <c r="C47" s="60">
        <v>401265822.78481013</v>
      </c>
      <c r="D47" s="5">
        <v>0.67</v>
      </c>
      <c r="E47" s="60">
        <f>C47*D47</f>
        <v>268848101.26582283</v>
      </c>
      <c r="G47" s="60">
        <f t="shared" ref="G47:G63" si="7">C47*$B$10</f>
        <v>10834177.215189874</v>
      </c>
    </row>
    <row r="48" spans="1:26" x14ac:dyDescent="0.35">
      <c r="B48">
        <v>2017</v>
      </c>
      <c r="C48" s="60">
        <f>C47*1.1</f>
        <v>441392405.06329119</v>
      </c>
      <c r="D48" s="5">
        <v>0.67</v>
      </c>
      <c r="E48" s="60">
        <f t="shared" ref="E48:E63" si="8">C48*D48</f>
        <v>295732911.39240509</v>
      </c>
      <c r="G48" s="60">
        <f t="shared" si="7"/>
        <v>11917594.936708862</v>
      </c>
      <c r="H48" s="4"/>
      <c r="I48" s="4"/>
      <c r="K48" s="4"/>
      <c r="O48" s="59"/>
      <c r="P48" s="59"/>
      <c r="Q48" s="59"/>
    </row>
    <row r="49" spans="1:26" x14ac:dyDescent="0.35">
      <c r="A49">
        <v>1</v>
      </c>
      <c r="B49">
        <v>2018</v>
      </c>
      <c r="C49" s="60">
        <f t="shared" ref="C49:C63" si="9">C48*1.1</f>
        <v>485531645.56962037</v>
      </c>
      <c r="D49" s="5">
        <v>0.67</v>
      </c>
      <c r="E49" s="60">
        <f t="shared" si="8"/>
        <v>325306202.53164566</v>
      </c>
      <c r="F49">
        <f>0</f>
        <v>0</v>
      </c>
      <c r="G49" s="60">
        <f t="shared" si="7"/>
        <v>13109354.43037975</v>
      </c>
      <c r="H49" s="4">
        <v>0</v>
      </c>
      <c r="I49" s="60">
        <f>F49+H49</f>
        <v>0</v>
      </c>
      <c r="J49" s="60">
        <f>2950000/5</f>
        <v>590000</v>
      </c>
      <c r="K49" s="60">
        <f>I49-J49</f>
        <v>-590000</v>
      </c>
      <c r="L49" s="60">
        <f>I49*(1+$B$3)^-A49</f>
        <v>0</v>
      </c>
      <c r="M49" s="60">
        <f>J49</f>
        <v>590000</v>
      </c>
      <c r="N49" s="61">
        <f>L49-M49</f>
        <v>-590000</v>
      </c>
      <c r="O49" s="59"/>
      <c r="Q49" s="59"/>
    </row>
    <row r="50" spans="1:26" x14ac:dyDescent="0.35">
      <c r="A50">
        <v>2</v>
      </c>
      <c r="B50">
        <v>2019</v>
      </c>
      <c r="C50" s="60">
        <f t="shared" si="9"/>
        <v>534084810.12658244</v>
      </c>
      <c r="D50" s="5">
        <v>0.66</v>
      </c>
      <c r="E50" s="60">
        <f t="shared" si="8"/>
        <v>352495974.68354446</v>
      </c>
      <c r="F50">
        <f>0</f>
        <v>0</v>
      </c>
      <c r="G50" s="60">
        <f t="shared" si="7"/>
        <v>14420289.873417726</v>
      </c>
      <c r="H50" s="4">
        <v>0</v>
      </c>
      <c r="I50" s="60">
        <f t="shared" ref="I50:I63" si="10">F50+H50</f>
        <v>0</v>
      </c>
      <c r="J50" s="60">
        <f t="shared" ref="J50:J53" si="11">2950000/5</f>
        <v>590000</v>
      </c>
      <c r="K50" s="60">
        <f t="shared" ref="K50:K63" si="12">I50-J50</f>
        <v>-590000</v>
      </c>
      <c r="L50" s="60">
        <f t="shared" ref="L50:L63" si="13">I50*(1+$B$3)^-A50</f>
        <v>0</v>
      </c>
      <c r="M50" s="60">
        <f t="shared" ref="M50:M63" si="14">J50*(1+$B$3)^-A50</f>
        <v>540280.67123005434</v>
      </c>
      <c r="N50" s="61">
        <f t="shared" ref="N50:N63" si="15">L50-M50</f>
        <v>-540280.67123005434</v>
      </c>
      <c r="O50" s="59"/>
      <c r="Q50" s="59"/>
    </row>
    <row r="51" spans="1:26" x14ac:dyDescent="0.35">
      <c r="A51">
        <v>3</v>
      </c>
      <c r="B51">
        <v>2020</v>
      </c>
      <c r="C51" s="60">
        <f t="shared" si="9"/>
        <v>587493291.13924074</v>
      </c>
      <c r="D51" s="5">
        <v>0.65</v>
      </c>
      <c r="E51" s="60">
        <f t="shared" si="8"/>
        <v>381870639.24050647</v>
      </c>
      <c r="F51">
        <v>0</v>
      </c>
      <c r="G51" s="60">
        <f t="shared" si="7"/>
        <v>15862318.8607595</v>
      </c>
      <c r="H51" s="4">
        <v>0</v>
      </c>
      <c r="I51" s="60">
        <f t="shared" si="10"/>
        <v>0</v>
      </c>
      <c r="J51" s="60">
        <f t="shared" si="11"/>
        <v>590000</v>
      </c>
      <c r="K51" s="60">
        <f t="shared" si="12"/>
        <v>-590000</v>
      </c>
      <c r="L51" s="60">
        <f t="shared" si="13"/>
        <v>0</v>
      </c>
      <c r="M51" s="60">
        <f t="shared" si="14"/>
        <v>517014.99639239645</v>
      </c>
      <c r="N51" s="61">
        <f t="shared" si="15"/>
        <v>-517014.99639239645</v>
      </c>
      <c r="O51" s="59"/>
      <c r="Q51" s="59"/>
      <c r="V51" s="5"/>
      <c r="W51" s="53"/>
      <c r="X51" s="53"/>
      <c r="Y51" s="60"/>
      <c r="Z51" s="53"/>
    </row>
    <row r="52" spans="1:26" x14ac:dyDescent="0.35">
      <c r="A52">
        <v>4</v>
      </c>
      <c r="B52">
        <v>2021</v>
      </c>
      <c r="C52" s="60">
        <f t="shared" si="9"/>
        <v>646242620.25316489</v>
      </c>
      <c r="D52" s="5">
        <v>0.62</v>
      </c>
      <c r="E52" s="60">
        <f t="shared" si="8"/>
        <v>400670424.55696225</v>
      </c>
      <c r="F52">
        <v>0</v>
      </c>
      <c r="G52" s="60">
        <f t="shared" si="7"/>
        <v>17448550.746835452</v>
      </c>
      <c r="H52" s="4">
        <f>G52*$B$9</f>
        <v>872427.53734177258</v>
      </c>
      <c r="I52" s="60">
        <f t="shared" si="10"/>
        <v>872427.53734177258</v>
      </c>
      <c r="J52" s="60">
        <f t="shared" si="11"/>
        <v>590000</v>
      </c>
      <c r="K52" s="60">
        <f t="shared" si="12"/>
        <v>282427.53734177258</v>
      </c>
      <c r="L52" s="60">
        <f t="shared" si="13"/>
        <v>731584.00790103641</v>
      </c>
      <c r="M52" s="60">
        <f t="shared" si="14"/>
        <v>494751.19271999679</v>
      </c>
      <c r="N52" s="61">
        <f t="shared" si="15"/>
        <v>236832.81518103962</v>
      </c>
      <c r="O52" s="59"/>
      <c r="Q52" s="59"/>
      <c r="V52" s="5"/>
      <c r="W52" s="53"/>
      <c r="X52" s="53"/>
      <c r="Y52" s="60"/>
      <c r="Z52" s="53"/>
    </row>
    <row r="53" spans="1:26" x14ac:dyDescent="0.35">
      <c r="A53">
        <v>5</v>
      </c>
      <c r="B53">
        <v>2022</v>
      </c>
      <c r="C53" s="60">
        <f t="shared" si="9"/>
        <v>710866882.27848148</v>
      </c>
      <c r="D53" s="5">
        <v>0.6</v>
      </c>
      <c r="E53" s="60">
        <f t="shared" si="8"/>
        <v>426520129.36708885</v>
      </c>
      <c r="F53">
        <v>0</v>
      </c>
      <c r="G53" s="60">
        <f t="shared" si="7"/>
        <v>19193405.821518999</v>
      </c>
      <c r="H53" s="4">
        <f t="shared" ref="H53:H63" si="16">G53*$B$9</f>
        <v>959670.29107595002</v>
      </c>
      <c r="I53" s="60">
        <f t="shared" si="10"/>
        <v>959670.29107595002</v>
      </c>
      <c r="J53" s="60">
        <f>2950000/5</f>
        <v>590000</v>
      </c>
      <c r="K53" s="60">
        <f t="shared" si="12"/>
        <v>369670.29107595002</v>
      </c>
      <c r="L53" s="60">
        <f t="shared" si="13"/>
        <v>770088.42936951225</v>
      </c>
      <c r="M53" s="60">
        <f t="shared" si="14"/>
        <v>473446.11743540363</v>
      </c>
      <c r="N53" s="61">
        <f t="shared" si="15"/>
        <v>296642.31193410861</v>
      </c>
      <c r="O53" s="59"/>
      <c r="Q53" s="59"/>
      <c r="V53" s="5"/>
      <c r="W53" s="53"/>
      <c r="X53" s="53"/>
      <c r="Y53" s="60"/>
      <c r="Z53" s="53"/>
    </row>
    <row r="54" spans="1:26" x14ac:dyDescent="0.35">
      <c r="A54">
        <v>6</v>
      </c>
      <c r="B54">
        <v>2023</v>
      </c>
      <c r="C54" s="60">
        <f t="shared" si="9"/>
        <v>781953570.50632966</v>
      </c>
      <c r="D54" s="5">
        <v>0.57999999999999996</v>
      </c>
      <c r="E54" s="60">
        <f t="shared" si="8"/>
        <v>453533070.89367115</v>
      </c>
      <c r="F54">
        <f t="shared" ref="F53:F63" si="17">E54*$B$7</f>
        <v>1814132.2835746848</v>
      </c>
      <c r="G54" s="60">
        <f t="shared" si="7"/>
        <v>21112746.4036709</v>
      </c>
      <c r="H54" s="4">
        <f t="shared" si="16"/>
        <v>1055637.3201835451</v>
      </c>
      <c r="I54" s="60">
        <f t="shared" si="10"/>
        <v>2869769.6037582299</v>
      </c>
      <c r="J54" s="4"/>
      <c r="K54" s="60">
        <f t="shared" si="12"/>
        <v>2869769.6037582299</v>
      </c>
      <c r="L54" s="60">
        <f t="shared" si="13"/>
        <v>2203683.848566168</v>
      </c>
      <c r="M54" s="60">
        <f t="shared" si="14"/>
        <v>0</v>
      </c>
      <c r="N54" s="61">
        <f t="shared" si="15"/>
        <v>2203683.848566168</v>
      </c>
      <c r="O54" s="59"/>
      <c r="Q54" s="59"/>
      <c r="V54" s="5"/>
      <c r="W54" s="53"/>
      <c r="X54" s="53"/>
      <c r="Y54" s="60"/>
      <c r="Z54" s="53"/>
    </row>
    <row r="55" spans="1:26" x14ac:dyDescent="0.35">
      <c r="A55">
        <v>7</v>
      </c>
      <c r="B55">
        <v>2024</v>
      </c>
      <c r="C55" s="60">
        <f t="shared" si="9"/>
        <v>860148927.55696273</v>
      </c>
      <c r="D55" s="5">
        <v>0.57999999999999996</v>
      </c>
      <c r="E55" s="60">
        <f t="shared" si="8"/>
        <v>498886377.98303837</v>
      </c>
      <c r="F55">
        <f t="shared" si="17"/>
        <v>1995545.5119321535</v>
      </c>
      <c r="G55" s="60">
        <f t="shared" si="7"/>
        <v>23224021.044037994</v>
      </c>
      <c r="H55" s="4">
        <f t="shared" si="16"/>
        <v>1161201.0522018997</v>
      </c>
      <c r="I55" s="60">
        <f t="shared" si="10"/>
        <v>3156746.564134053</v>
      </c>
      <c r="J55" s="4"/>
      <c r="K55" s="60">
        <f t="shared" si="12"/>
        <v>3156746.564134053</v>
      </c>
      <c r="L55" s="60">
        <f t="shared" si="13"/>
        <v>2319667.2090170188</v>
      </c>
      <c r="M55" s="60">
        <f t="shared" si="14"/>
        <v>0</v>
      </c>
      <c r="N55" s="61">
        <f t="shared" si="15"/>
        <v>2319667.2090170188</v>
      </c>
      <c r="O55" s="59"/>
      <c r="Q55" s="59"/>
      <c r="V55" s="5"/>
      <c r="W55" s="53"/>
      <c r="X55" s="53"/>
      <c r="Y55" s="60"/>
      <c r="Z55" s="53"/>
    </row>
    <row r="56" spans="1:26" x14ac:dyDescent="0.35">
      <c r="A56">
        <v>8</v>
      </c>
      <c r="B56">
        <v>2025</v>
      </c>
      <c r="C56" s="60">
        <f t="shared" si="9"/>
        <v>946163820.31265903</v>
      </c>
      <c r="D56" s="5">
        <v>0.57999999999999996</v>
      </c>
      <c r="E56" s="60">
        <f t="shared" si="8"/>
        <v>548775015.78134215</v>
      </c>
      <c r="F56">
        <f t="shared" si="17"/>
        <v>2195100.0631253687</v>
      </c>
      <c r="G56" s="60">
        <f t="shared" si="7"/>
        <v>25546423.148441792</v>
      </c>
      <c r="H56" s="4">
        <f t="shared" si="16"/>
        <v>1277321.1574220897</v>
      </c>
      <c r="I56" s="60">
        <f t="shared" si="10"/>
        <v>3472421.2205474582</v>
      </c>
      <c r="J56" s="4"/>
      <c r="K56" s="60">
        <f t="shared" si="12"/>
        <v>3472421.2205474582</v>
      </c>
      <c r="L56" s="60">
        <f t="shared" si="13"/>
        <v>2441754.9568600208</v>
      </c>
      <c r="M56" s="60">
        <f t="shared" si="14"/>
        <v>0</v>
      </c>
      <c r="N56" s="61">
        <f t="shared" si="15"/>
        <v>2441754.9568600208</v>
      </c>
      <c r="O56" s="59"/>
      <c r="Q56" s="59"/>
      <c r="V56" s="5"/>
      <c r="W56" s="53"/>
      <c r="X56" s="53"/>
      <c r="Y56" s="60"/>
      <c r="Z56" s="53"/>
    </row>
    <row r="57" spans="1:26" x14ac:dyDescent="0.35">
      <c r="A57">
        <v>9</v>
      </c>
      <c r="B57">
        <v>2026</v>
      </c>
      <c r="C57" s="60">
        <f t="shared" si="9"/>
        <v>1040780202.343925</v>
      </c>
      <c r="D57" s="5">
        <v>0.57999999999999996</v>
      </c>
      <c r="E57" s="60">
        <f t="shared" si="8"/>
        <v>603652517.35947645</v>
      </c>
      <c r="F57">
        <f t="shared" si="17"/>
        <v>2414610.0694379057</v>
      </c>
      <c r="G57" s="60">
        <f t="shared" si="7"/>
        <v>28101065.463285975</v>
      </c>
      <c r="H57" s="4">
        <f t="shared" si="16"/>
        <v>1405053.2731642989</v>
      </c>
      <c r="I57" s="60">
        <f t="shared" si="10"/>
        <v>3819663.3426022045</v>
      </c>
      <c r="J57" s="4"/>
      <c r="K57" s="60">
        <f t="shared" si="12"/>
        <v>3819663.3426022045</v>
      </c>
      <c r="L57" s="60">
        <f t="shared" si="13"/>
        <v>2570268.3756421278</v>
      </c>
      <c r="M57" s="60">
        <f t="shared" si="14"/>
        <v>0</v>
      </c>
      <c r="N57" s="61">
        <f t="shared" si="15"/>
        <v>2570268.3756421278</v>
      </c>
      <c r="O57" s="59"/>
      <c r="Q57" s="59"/>
      <c r="V57" s="5"/>
      <c r="W57" s="53"/>
      <c r="X57" s="53"/>
      <c r="Y57" s="60"/>
      <c r="Z57" s="53"/>
    </row>
    <row r="58" spans="1:26" x14ac:dyDescent="0.35">
      <c r="A58">
        <v>10</v>
      </c>
      <c r="B58">
        <v>2027</v>
      </c>
      <c r="C58" s="60">
        <f t="shared" si="9"/>
        <v>1144858222.5783176</v>
      </c>
      <c r="D58" s="5">
        <v>0.57999999999999996</v>
      </c>
      <c r="E58" s="60">
        <f t="shared" si="8"/>
        <v>664017769.09542418</v>
      </c>
      <c r="F58">
        <f t="shared" si="17"/>
        <v>2656071.0763816969</v>
      </c>
      <c r="G58" s="60">
        <f t="shared" si="7"/>
        <v>30911172.009614576</v>
      </c>
      <c r="H58" s="4">
        <f t="shared" si="16"/>
        <v>1545558.6004807288</v>
      </c>
      <c r="I58" s="60">
        <f t="shared" si="10"/>
        <v>4201629.6768624261</v>
      </c>
      <c r="J58" s="4"/>
      <c r="K58" s="60">
        <f t="shared" si="12"/>
        <v>4201629.6768624261</v>
      </c>
      <c r="L58" s="60">
        <f t="shared" si="13"/>
        <v>2705545.6585706617</v>
      </c>
      <c r="M58" s="60">
        <f t="shared" si="14"/>
        <v>0</v>
      </c>
      <c r="N58" s="61">
        <f t="shared" si="15"/>
        <v>2705545.6585706617</v>
      </c>
      <c r="O58" s="59"/>
      <c r="Q58" s="59"/>
      <c r="V58" s="5"/>
      <c r="W58" s="53"/>
      <c r="X58" s="53"/>
      <c r="Y58" s="60"/>
      <c r="Z58" s="53"/>
    </row>
    <row r="59" spans="1:26" x14ac:dyDescent="0.35">
      <c r="A59">
        <v>11</v>
      </c>
      <c r="B59">
        <v>2028</v>
      </c>
      <c r="C59" s="60">
        <f t="shared" si="9"/>
        <v>1259344044.8361495</v>
      </c>
      <c r="D59" s="5">
        <v>0.57999999999999996</v>
      </c>
      <c r="E59" s="60">
        <f t="shared" si="8"/>
        <v>730419546.00496662</v>
      </c>
      <c r="F59">
        <f t="shared" si="17"/>
        <v>2921678.1840198664</v>
      </c>
      <c r="G59" s="60">
        <f t="shared" si="7"/>
        <v>34002289.210576035</v>
      </c>
      <c r="H59" s="4">
        <f t="shared" si="16"/>
        <v>1700114.4605288019</v>
      </c>
      <c r="I59" s="60">
        <f t="shared" si="10"/>
        <v>4621792.6445486685</v>
      </c>
      <c r="J59" s="4"/>
      <c r="K59" s="60">
        <f t="shared" si="12"/>
        <v>4621792.6445486685</v>
      </c>
      <c r="L59" s="60">
        <f t="shared" si="13"/>
        <v>2847942.7984954333</v>
      </c>
      <c r="M59" s="60">
        <f t="shared" si="14"/>
        <v>0</v>
      </c>
      <c r="N59" s="61">
        <f t="shared" si="15"/>
        <v>2847942.7984954333</v>
      </c>
      <c r="O59" s="59"/>
      <c r="Q59" s="59"/>
      <c r="V59" s="5"/>
      <c r="W59" s="53"/>
      <c r="X59" s="53"/>
      <c r="Y59" s="60"/>
      <c r="Z59" s="53"/>
    </row>
    <row r="60" spans="1:26" x14ac:dyDescent="0.35">
      <c r="A60">
        <v>12</v>
      </c>
      <c r="B60">
        <v>2029</v>
      </c>
      <c r="C60" s="60">
        <f t="shared" si="9"/>
        <v>1385278449.3197646</v>
      </c>
      <c r="D60" s="5">
        <v>0.57999999999999996</v>
      </c>
      <c r="E60" s="60">
        <f t="shared" si="8"/>
        <v>803461500.60546339</v>
      </c>
      <c r="F60">
        <f t="shared" si="17"/>
        <v>3213846.0024218536</v>
      </c>
      <c r="G60" s="60">
        <f t="shared" si="7"/>
        <v>37402518.131633647</v>
      </c>
      <c r="H60" s="4">
        <f t="shared" si="16"/>
        <v>1870125.9065816824</v>
      </c>
      <c r="I60" s="60">
        <f t="shared" si="10"/>
        <v>5083971.9090035362</v>
      </c>
      <c r="J60" s="4"/>
      <c r="K60" s="60">
        <f t="shared" si="12"/>
        <v>5083971.9090035362</v>
      </c>
      <c r="L60" s="60">
        <f t="shared" si="13"/>
        <v>2997834.5247320361</v>
      </c>
      <c r="M60" s="60">
        <f t="shared" si="14"/>
        <v>0</v>
      </c>
      <c r="N60" s="61">
        <f t="shared" si="15"/>
        <v>2997834.5247320361</v>
      </c>
      <c r="O60" s="59"/>
      <c r="Q60" s="59"/>
      <c r="V60" s="5"/>
      <c r="W60" s="53"/>
      <c r="X60" s="53"/>
      <c r="Y60" s="60"/>
      <c r="Z60" s="53"/>
    </row>
    <row r="61" spans="1:26" x14ac:dyDescent="0.35">
      <c r="A61">
        <v>13</v>
      </c>
      <c r="B61">
        <v>2030</v>
      </c>
      <c r="C61" s="60">
        <f t="shared" si="9"/>
        <v>1523806294.2517412</v>
      </c>
      <c r="D61" s="5">
        <v>0.57999999999999996</v>
      </c>
      <c r="E61" s="60">
        <f t="shared" si="8"/>
        <v>883807650.66600978</v>
      </c>
      <c r="F61">
        <f t="shared" si="17"/>
        <v>3535230.602664039</v>
      </c>
      <c r="G61" s="60">
        <f t="shared" si="7"/>
        <v>41142769.944797009</v>
      </c>
      <c r="H61" s="4">
        <f t="shared" si="16"/>
        <v>2057138.4972398505</v>
      </c>
      <c r="I61" s="60">
        <f t="shared" si="10"/>
        <v>5592369.099903889</v>
      </c>
      <c r="J61" s="4"/>
      <c r="K61" s="60">
        <f t="shared" si="12"/>
        <v>5592369.099903889</v>
      </c>
      <c r="L61" s="60">
        <f t="shared" si="13"/>
        <v>3155615.2891916162</v>
      </c>
      <c r="M61" s="60">
        <f t="shared" si="14"/>
        <v>0</v>
      </c>
      <c r="N61" s="61">
        <f t="shared" si="15"/>
        <v>3155615.2891916162</v>
      </c>
      <c r="O61" s="59"/>
      <c r="Q61" s="59"/>
      <c r="V61" s="5"/>
      <c r="W61" s="53"/>
      <c r="X61" s="53"/>
      <c r="Y61" s="60"/>
      <c r="Z61" s="53"/>
    </row>
    <row r="62" spans="1:26" x14ac:dyDescent="0.35">
      <c r="A62">
        <v>14</v>
      </c>
      <c r="B62">
        <v>2031</v>
      </c>
      <c r="C62" s="60">
        <f t="shared" si="9"/>
        <v>1676186923.6769154</v>
      </c>
      <c r="D62" s="5">
        <v>0.57999999999999996</v>
      </c>
      <c r="E62" s="60">
        <f t="shared" si="8"/>
        <v>972188415.73261082</v>
      </c>
      <c r="F62">
        <f t="shared" si="17"/>
        <v>3888753.6629304434</v>
      </c>
      <c r="G62" s="60">
        <f t="shared" si="7"/>
        <v>45257046.939276718</v>
      </c>
      <c r="H62" s="4">
        <f t="shared" si="16"/>
        <v>2262852.3469638359</v>
      </c>
      <c r="I62" s="60">
        <f t="shared" si="10"/>
        <v>6151606.0098942798</v>
      </c>
      <c r="J62" s="4"/>
      <c r="K62" s="60">
        <f t="shared" si="12"/>
        <v>6151606.0098942798</v>
      </c>
      <c r="L62" s="60">
        <f t="shared" si="13"/>
        <v>3321700.3044122295</v>
      </c>
      <c r="M62" s="60">
        <f t="shared" si="14"/>
        <v>0</v>
      </c>
      <c r="N62" s="61">
        <f t="shared" si="15"/>
        <v>3321700.3044122295</v>
      </c>
      <c r="O62" s="59"/>
      <c r="Q62" s="59"/>
      <c r="V62" s="5"/>
      <c r="W62" s="53"/>
      <c r="X62" s="53"/>
      <c r="Y62" s="60"/>
      <c r="Z62" s="53"/>
    </row>
    <row r="63" spans="1:26" x14ac:dyDescent="0.35">
      <c r="A63">
        <v>15</v>
      </c>
      <c r="B63">
        <v>2032</v>
      </c>
      <c r="C63" s="60">
        <f t="shared" si="9"/>
        <v>1843805616.0446072</v>
      </c>
      <c r="D63" s="5">
        <v>0.57999999999999996</v>
      </c>
      <c r="E63" s="60">
        <f t="shared" si="8"/>
        <v>1069407257.3058721</v>
      </c>
      <c r="F63">
        <f t="shared" si="17"/>
        <v>4277629.0292234886</v>
      </c>
      <c r="G63" s="60">
        <f t="shared" si="7"/>
        <v>49782751.633204393</v>
      </c>
      <c r="H63" s="4">
        <f t="shared" si="16"/>
        <v>2489137.5816602199</v>
      </c>
      <c r="I63" s="60">
        <f t="shared" si="10"/>
        <v>6766766.610883709</v>
      </c>
      <c r="J63" s="4"/>
      <c r="K63" s="60">
        <f t="shared" si="12"/>
        <v>6766766.610883709</v>
      </c>
      <c r="L63" s="60">
        <f t="shared" si="13"/>
        <v>3496526.6362234005</v>
      </c>
      <c r="M63" s="60">
        <f t="shared" si="14"/>
        <v>0</v>
      </c>
      <c r="N63" s="61">
        <f t="shared" si="15"/>
        <v>3496526.6362234005</v>
      </c>
      <c r="O63" s="59"/>
      <c r="Q63" s="59"/>
      <c r="V63" s="5"/>
      <c r="W63" s="53"/>
      <c r="X63" s="53"/>
      <c r="Y63" s="60"/>
      <c r="Z63" s="53"/>
    </row>
    <row r="64" spans="1:26" x14ac:dyDescent="0.35">
      <c r="G64" s="3"/>
      <c r="I64" s="4"/>
      <c r="J64" s="4"/>
      <c r="L64" s="4"/>
      <c r="O64" s="59"/>
      <c r="Q64" s="59"/>
      <c r="V64" s="5"/>
      <c r="W64" s="53"/>
      <c r="X64" s="53"/>
      <c r="Y64" s="60"/>
      <c r="Z64" s="53"/>
    </row>
    <row r="65" spans="3:26" x14ac:dyDescent="0.35">
      <c r="C65" s="73" t="s">
        <v>102</v>
      </c>
      <c r="D65" s="74">
        <f>SUM(I49:I63)/SUM(J49:J63)</f>
        <v>16.125028647646161</v>
      </c>
      <c r="G65" s="3"/>
      <c r="I65" s="4"/>
      <c r="J65" s="4"/>
      <c r="L65" s="4"/>
      <c r="O65" s="59"/>
      <c r="Q65" s="59"/>
      <c r="V65" s="5"/>
      <c r="W65" s="53"/>
      <c r="X65" s="53"/>
      <c r="Y65" s="60"/>
      <c r="Z65" s="53"/>
    </row>
    <row r="66" spans="3:26" x14ac:dyDescent="0.35">
      <c r="C66" s="76" t="s">
        <v>100</v>
      </c>
      <c r="D66" s="77">
        <f>IRR(K49:K63)</f>
        <v>0.54844348761859396</v>
      </c>
      <c r="Y66" s="5"/>
      <c r="Z66" s="5"/>
    </row>
    <row r="67" spans="3:26" x14ac:dyDescent="0.35">
      <c r="C67" s="75" t="s">
        <v>101</v>
      </c>
      <c r="D67" s="78">
        <f>SUM(N49:N63)</f>
        <v>26946719.061203409</v>
      </c>
    </row>
    <row r="69" spans="3:26" x14ac:dyDescent="0.35">
      <c r="C69" s="54"/>
    </row>
    <row r="70" spans="3:26" x14ac:dyDescent="0.35">
      <c r="C70" s="58"/>
    </row>
  </sheetData>
  <mergeCells count="2">
    <mergeCell ref="E22:E37"/>
    <mergeCell ref="A1:B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5" zoomScaleNormal="85" workbookViewId="0">
      <selection activeCell="E38" sqref="E38"/>
    </sheetView>
  </sheetViews>
  <sheetFormatPr defaultRowHeight="14.5" x14ac:dyDescent="0.35"/>
  <cols>
    <col min="1" max="1" width="56.26953125" bestFit="1" customWidth="1"/>
    <col min="3" max="3" width="18.90625" customWidth="1"/>
    <col min="4" max="4" width="15.7265625" customWidth="1"/>
    <col min="5" max="5" width="37.90625" customWidth="1"/>
    <col min="7" max="7" width="16.1796875" customWidth="1"/>
    <col min="8" max="8" width="12.1796875" customWidth="1"/>
    <col min="9" max="9" width="14.6328125" customWidth="1"/>
    <col min="10" max="10" width="12.90625" customWidth="1"/>
    <col min="11" max="11" width="16.90625" customWidth="1"/>
    <col min="12" max="12" width="20.36328125" customWidth="1"/>
    <col min="13" max="13" width="13.1796875" customWidth="1"/>
    <col min="14" max="14" width="15.26953125" customWidth="1"/>
    <col min="15" max="15" width="14.6328125" customWidth="1"/>
    <col min="16" max="16" width="22.6328125" customWidth="1"/>
    <col min="17" max="17" width="20.36328125" customWidth="1"/>
    <col min="18" max="18" width="34.81640625" customWidth="1"/>
    <col min="20" max="21" width="11.6328125" customWidth="1"/>
    <col min="22" max="22" width="10.6328125" customWidth="1"/>
    <col min="23" max="23" width="12.1796875" customWidth="1"/>
    <col min="24" max="24" width="11.08984375" customWidth="1"/>
    <col min="25" max="25" width="19.08984375" customWidth="1"/>
    <col min="26" max="26" width="15.81640625" customWidth="1"/>
  </cols>
  <sheetData>
    <row r="1" spans="1:2" x14ac:dyDescent="0.35">
      <c r="A1" s="56" t="s">
        <v>93</v>
      </c>
      <c r="B1" s="56"/>
    </row>
    <row r="2" spans="1:2" x14ac:dyDescent="0.35">
      <c r="A2" s="63" t="s">
        <v>94</v>
      </c>
      <c r="B2" s="64">
        <v>0.05</v>
      </c>
    </row>
    <row r="3" spans="1:2" x14ac:dyDescent="0.35">
      <c r="A3" s="65" t="s">
        <v>95</v>
      </c>
      <c r="B3" s="66">
        <v>4.4999999999999998E-2</v>
      </c>
    </row>
    <row r="4" spans="1:2" x14ac:dyDescent="0.35">
      <c r="A4" s="68" t="s">
        <v>96</v>
      </c>
      <c r="B4" s="69">
        <v>0.5</v>
      </c>
    </row>
    <row r="5" spans="1:2" x14ac:dyDescent="0.35">
      <c r="A5" s="67" t="s">
        <v>97</v>
      </c>
      <c r="B5" s="72">
        <v>1</v>
      </c>
    </row>
    <row r="6" spans="1:2" x14ac:dyDescent="0.35">
      <c r="A6" s="70" t="s">
        <v>107</v>
      </c>
      <c r="B6" s="71">
        <v>2.37</v>
      </c>
    </row>
    <row r="7" spans="1:2" x14ac:dyDescent="0.35">
      <c r="A7" s="63" t="s">
        <v>111</v>
      </c>
      <c r="B7" s="64">
        <v>2E-3</v>
      </c>
    </row>
    <row r="8" spans="1:2" x14ac:dyDescent="0.35">
      <c r="A8" s="65" t="s">
        <v>114</v>
      </c>
      <c r="B8" s="66">
        <v>0.1</v>
      </c>
    </row>
    <row r="9" spans="1:2" x14ac:dyDescent="0.35">
      <c r="A9" s="68" t="s">
        <v>117</v>
      </c>
      <c r="B9" s="69">
        <v>0.02</v>
      </c>
    </row>
    <row r="10" spans="1:2" x14ac:dyDescent="0.35">
      <c r="A10" s="67" t="s">
        <v>118</v>
      </c>
      <c r="B10" s="72">
        <v>2.7E-2</v>
      </c>
    </row>
    <row r="18" spans="1:23" x14ac:dyDescent="0.35">
      <c r="A18" s="54" t="s">
        <v>122</v>
      </c>
    </row>
    <row r="19" spans="1:23" x14ac:dyDescent="0.35">
      <c r="B19" s="54" t="s">
        <v>0</v>
      </c>
      <c r="C19" s="54" t="s">
        <v>87</v>
      </c>
      <c r="D19" s="54" t="s">
        <v>88</v>
      </c>
      <c r="E19" s="54" t="s">
        <v>1</v>
      </c>
      <c r="F19" s="54" t="s">
        <v>3</v>
      </c>
      <c r="G19" s="54" t="s">
        <v>1</v>
      </c>
      <c r="H19" s="54" t="s">
        <v>92</v>
      </c>
      <c r="I19" s="54" t="s">
        <v>48</v>
      </c>
      <c r="J19" s="54" t="s">
        <v>83</v>
      </c>
      <c r="K19" s="54" t="s">
        <v>89</v>
      </c>
      <c r="L19" s="54" t="s">
        <v>84</v>
      </c>
      <c r="M19" s="54" t="s">
        <v>90</v>
      </c>
      <c r="N19" s="54" t="s">
        <v>91</v>
      </c>
      <c r="O19" s="54" t="s">
        <v>85</v>
      </c>
      <c r="P19" s="54" t="s">
        <v>86</v>
      </c>
      <c r="Q19" s="54" t="s">
        <v>98</v>
      </c>
      <c r="R19" s="54" t="s">
        <v>99</v>
      </c>
    </row>
    <row r="20" spans="1:23" x14ac:dyDescent="0.35">
      <c r="B20">
        <v>2015</v>
      </c>
      <c r="C20">
        <v>1414764.9749400001</v>
      </c>
      <c r="D20">
        <v>1142174.4600500001</v>
      </c>
      <c r="F20" s="4">
        <v>3761.91</v>
      </c>
      <c r="G20" s="4"/>
      <c r="J20" s="59"/>
      <c r="K20" s="59"/>
      <c r="L20" s="59"/>
    </row>
    <row r="21" spans="1:23" x14ac:dyDescent="0.35">
      <c r="B21">
        <v>2016</v>
      </c>
      <c r="C21">
        <v>1392222.48545</v>
      </c>
      <c r="D21">
        <v>1130108.4447699999</v>
      </c>
      <c r="F21" s="4">
        <v>3842.431</v>
      </c>
      <c r="G21" s="4"/>
      <c r="J21" s="59"/>
      <c r="L21" s="59"/>
    </row>
    <row r="22" spans="1:23" x14ac:dyDescent="0.35">
      <c r="B22">
        <v>2017</v>
      </c>
      <c r="C22">
        <v>1376551.3817011754</v>
      </c>
      <c r="D22">
        <v>1119237.4968691845</v>
      </c>
      <c r="E22" s="2" t="s">
        <v>2</v>
      </c>
      <c r="F22" s="4">
        <v>3715.386</v>
      </c>
      <c r="G22" s="4" t="s">
        <v>4</v>
      </c>
      <c r="J22" s="59"/>
      <c r="L22" s="59"/>
    </row>
    <row r="23" spans="1:23" x14ac:dyDescent="0.35">
      <c r="A23">
        <v>1</v>
      </c>
      <c r="B23">
        <v>2018</v>
      </c>
      <c r="C23">
        <v>1361056.674681518</v>
      </c>
      <c r="D23">
        <v>1108471.1207984525</v>
      </c>
      <c r="E23" s="2"/>
      <c r="F23" s="4">
        <v>4021.1370000000002</v>
      </c>
      <c r="G23" s="4" t="s">
        <v>4</v>
      </c>
      <c r="H23">
        <v>3600000</v>
      </c>
      <c r="J23" s="59">
        <v>0</v>
      </c>
      <c r="K23">
        <v>0</v>
      </c>
      <c r="L23" s="59">
        <v>0</v>
      </c>
      <c r="M23">
        <v>0</v>
      </c>
      <c r="N23">
        <f>K23+M23</f>
        <v>0</v>
      </c>
      <c r="O23" s="60">
        <f>N23*$B$5*F23</f>
        <v>0</v>
      </c>
      <c r="P23" s="60">
        <f>O23*(1+$B$2)^-A23</f>
        <v>0</v>
      </c>
      <c r="Q23" s="60">
        <f>H23</f>
        <v>3600000</v>
      </c>
      <c r="R23" s="60">
        <f>P23-Q23</f>
        <v>-3600000</v>
      </c>
      <c r="S23" s="5"/>
      <c r="T23" s="53"/>
      <c r="U23" s="53"/>
      <c r="V23" s="60"/>
      <c r="W23" s="53"/>
    </row>
    <row r="24" spans="1:23" x14ac:dyDescent="0.35">
      <c r="A24">
        <v>2</v>
      </c>
      <c r="B24">
        <v>2019</v>
      </c>
      <c r="C24">
        <v>1345736.3788380916</v>
      </c>
      <c r="D24">
        <v>1097808.3106411397</v>
      </c>
      <c r="E24" s="2"/>
      <c r="F24" s="4">
        <v>4323.9229999999998</v>
      </c>
      <c r="G24" s="4" t="s">
        <v>4</v>
      </c>
      <c r="H24">
        <v>3600000</v>
      </c>
      <c r="J24" s="59">
        <v>1E-4</v>
      </c>
      <c r="K24">
        <f>D24*J24*$B$4</f>
        <v>54.890415532056991</v>
      </c>
      <c r="L24" s="59">
        <v>9.9999999999999995E-7</v>
      </c>
      <c r="M24">
        <f>D24*L24*$B$4</f>
        <v>0.5489041553205698</v>
      </c>
      <c r="N24">
        <f>K24+M24</f>
        <v>55.439319687377562</v>
      </c>
      <c r="O24" s="60">
        <f t="shared" ref="O24:O36" si="0">N24*$B$5*F24</f>
        <v>239715.34950060464</v>
      </c>
      <c r="P24" s="60">
        <f>O24*(1+$B$2)^-A24</f>
        <v>217428.88843592256</v>
      </c>
      <c r="Q24" s="60">
        <f>H24*(1+$B$3)^-A24</f>
        <v>3296627.8244545688</v>
      </c>
      <c r="R24" s="60">
        <f>P24-Q24</f>
        <v>-3079198.9360186462</v>
      </c>
      <c r="S24" s="5"/>
      <c r="T24" s="53"/>
      <c r="U24" s="53"/>
      <c r="V24" s="60"/>
      <c r="W24" s="53"/>
    </row>
    <row r="25" spans="1:23" x14ac:dyDescent="0.35">
      <c r="A25">
        <v>3</v>
      </c>
      <c r="B25">
        <v>2020</v>
      </c>
      <c r="C25">
        <v>1330588.530967697</v>
      </c>
      <c r="D25">
        <v>1087248.0701568816</v>
      </c>
      <c r="E25" s="2"/>
      <c r="F25" s="4">
        <v>4678.7929999999997</v>
      </c>
      <c r="G25" s="4" t="s">
        <v>4</v>
      </c>
      <c r="H25">
        <v>3600000</v>
      </c>
      <c r="J25" s="59">
        <v>4.0000000000000002E-4</v>
      </c>
      <c r="K25">
        <f>D25*J25*$B$4</f>
        <v>217.44961403137631</v>
      </c>
      <c r="L25" s="59">
        <v>2.9999999999999997E-4</v>
      </c>
      <c r="M25">
        <f>D25*L25*$B$4</f>
        <v>163.08721052353224</v>
      </c>
      <c r="N25">
        <f t="shared" ref="N25:N37" si="1">K25+M25</f>
        <v>380.53682455490855</v>
      </c>
      <c r="O25" s="60">
        <f t="shared" si="0"/>
        <v>1780453.0309697341</v>
      </c>
      <c r="P25" s="60">
        <f t="shared" ref="P25:P37" si="2">O25*(1+$B$2)^-A25</f>
        <v>1538022.2705709827</v>
      </c>
      <c r="Q25" s="60">
        <f t="shared" ref="Q25:Q37" si="3">H25*(1+$B$3)^-A25</f>
        <v>3154667.7745976732</v>
      </c>
      <c r="R25" s="60">
        <f>P25-Q25</f>
        <v>-1616645.5040266905</v>
      </c>
      <c r="S25" s="5"/>
      <c r="T25" s="53"/>
      <c r="U25" s="53"/>
      <c r="V25" s="60"/>
      <c r="W25" s="53"/>
    </row>
    <row r="26" spans="1:23" x14ac:dyDescent="0.35">
      <c r="A26">
        <v>4</v>
      </c>
      <c r="B26">
        <v>2021</v>
      </c>
      <c r="C26">
        <v>1315611.1899652989</v>
      </c>
      <c r="D26">
        <v>1076789.4126885328</v>
      </c>
      <c r="E26" s="2"/>
      <c r="F26" s="4">
        <v>5091.4059999999999</v>
      </c>
      <c r="G26" s="4" t="s">
        <v>4</v>
      </c>
      <c r="H26">
        <v>3600000</v>
      </c>
      <c r="J26" s="59">
        <v>6.8000000000000005E-4</v>
      </c>
      <c r="K26">
        <f>D26*J26*$B$4</f>
        <v>366.10840031410117</v>
      </c>
      <c r="L26" s="59">
        <v>5.0000000000000001E-4</v>
      </c>
      <c r="M26">
        <f>D26*L26*$B$4</f>
        <v>269.19735317213321</v>
      </c>
      <c r="N26">
        <f t="shared" si="1"/>
        <v>635.30575348623438</v>
      </c>
      <c r="O26" s="60">
        <f t="shared" si="0"/>
        <v>3234599.5251343348</v>
      </c>
      <c r="P26" s="60">
        <f t="shared" si="2"/>
        <v>2661113.0342886634</v>
      </c>
      <c r="Q26" s="60">
        <f t="shared" si="3"/>
        <v>3018820.8369355737</v>
      </c>
      <c r="R26" s="60">
        <f>P26-Q26</f>
        <v>-357707.80264691031</v>
      </c>
      <c r="S26" s="5"/>
      <c r="T26" s="53"/>
      <c r="U26" s="53"/>
      <c r="V26" s="60"/>
      <c r="W26" s="53"/>
    </row>
    <row r="27" spans="1:23" x14ac:dyDescent="0.35">
      <c r="A27">
        <v>5</v>
      </c>
      <c r="B27">
        <v>2022</v>
      </c>
      <c r="C27">
        <v>1300802.4365752852</v>
      </c>
      <c r="D27">
        <v>1066431.3610699831</v>
      </c>
      <c r="E27" s="2"/>
      <c r="F27" s="4">
        <v>5550.69</v>
      </c>
      <c r="G27" s="4" t="s">
        <v>4</v>
      </c>
      <c r="H27">
        <v>3600000</v>
      </c>
      <c r="J27" s="59">
        <v>1E-3</v>
      </c>
      <c r="K27">
        <f>D27*J27*$B$4</f>
        <v>533.21568053499152</v>
      </c>
      <c r="L27" s="59">
        <v>5.0000000000000001E-4</v>
      </c>
      <c r="M27">
        <f>D27*L27*$B$4</f>
        <v>266.60784026749576</v>
      </c>
      <c r="N27">
        <f t="shared" si="1"/>
        <v>799.82352080248734</v>
      </c>
      <c r="O27" s="60">
        <f t="shared" si="0"/>
        <v>4439572.4186831582</v>
      </c>
      <c r="P27" s="60">
        <f t="shared" si="2"/>
        <v>3478521.157969919</v>
      </c>
      <c r="Q27" s="60">
        <f t="shared" si="3"/>
        <v>2888823.7674024627</v>
      </c>
      <c r="R27" s="60">
        <f>P27-Q27</f>
        <v>589697.39056745637</v>
      </c>
      <c r="S27" s="5"/>
      <c r="T27" s="53"/>
      <c r="U27" s="53"/>
      <c r="V27" s="60"/>
      <c r="W27" s="53"/>
    </row>
    <row r="28" spans="1:23" x14ac:dyDescent="0.35">
      <c r="A28">
        <v>6</v>
      </c>
      <c r="B28">
        <v>2023</v>
      </c>
      <c r="C28">
        <v>1286160.3731455265</v>
      </c>
      <c r="D28">
        <v>1056172.9475348582</v>
      </c>
      <c r="E28" s="2"/>
      <c r="F28">
        <f>F27*(1+0.04652833)</f>
        <v>5808.9543360476991</v>
      </c>
      <c r="G28" s="4" t="s">
        <v>5</v>
      </c>
      <c r="H28">
        <v>0</v>
      </c>
      <c r="J28" s="59">
        <v>1E-3</v>
      </c>
      <c r="K28">
        <f>D28*J28*$B$4</f>
        <v>528.08647376742908</v>
      </c>
      <c r="L28" s="59">
        <v>5.0000000000000001E-4</v>
      </c>
      <c r="M28">
        <f>D28*L28*$B$4</f>
        <v>264.04323688371454</v>
      </c>
      <c r="N28">
        <f t="shared" si="1"/>
        <v>792.12971065114357</v>
      </c>
      <c r="O28" s="60">
        <f t="shared" si="0"/>
        <v>4601445.3173991693</v>
      </c>
      <c r="P28" s="60">
        <f t="shared" si="2"/>
        <v>3433669.3426247742</v>
      </c>
      <c r="Q28" s="60">
        <f t="shared" si="3"/>
        <v>0</v>
      </c>
      <c r="R28" s="60">
        <f>P28-Q28</f>
        <v>3433669.3426247742</v>
      </c>
      <c r="S28" s="5"/>
      <c r="T28" s="53"/>
      <c r="U28" s="53"/>
      <c r="V28" s="60"/>
      <c r="W28" s="53"/>
    </row>
    <row r="29" spans="1:23" x14ac:dyDescent="0.35">
      <c r="A29">
        <v>7</v>
      </c>
      <c r="B29">
        <v>2024</v>
      </c>
      <c r="C29">
        <v>1271683.1233842028</v>
      </c>
      <c r="D29">
        <v>1046013.2136261015</v>
      </c>
      <c r="E29" s="2"/>
      <c r="F29">
        <f t="shared" ref="F29:F36" si="4">F28*(1+0.04652833)</f>
        <v>6079.2352803502572</v>
      </c>
      <c r="G29" s="4" t="s">
        <v>5</v>
      </c>
      <c r="H29">
        <v>0</v>
      </c>
      <c r="J29" s="59">
        <v>1E-3</v>
      </c>
      <c r="K29">
        <f>D29*J29*$B$4</f>
        <v>523.00660681305078</v>
      </c>
      <c r="L29" s="59">
        <v>5.0000000000000001E-4</v>
      </c>
      <c r="M29">
        <f>D29*L29*$B$4</f>
        <v>261.50330340652539</v>
      </c>
      <c r="N29">
        <f t="shared" si="1"/>
        <v>784.50991021957611</v>
      </c>
      <c r="O29" s="60">
        <f t="shared" si="0"/>
        <v>4769220.3239912596</v>
      </c>
      <c r="P29" s="60">
        <f t="shared" si="2"/>
        <v>3389395.8435377171</v>
      </c>
      <c r="Q29" s="60">
        <f t="shared" si="3"/>
        <v>0</v>
      </c>
      <c r="R29" s="60">
        <f>P29-Q29</f>
        <v>3389395.8435377171</v>
      </c>
      <c r="S29" s="5"/>
      <c r="T29" s="53"/>
      <c r="U29" s="53"/>
      <c r="V29" s="60"/>
      <c r="W29" s="53"/>
    </row>
    <row r="30" spans="1:23" x14ac:dyDescent="0.35">
      <c r="A30">
        <v>8</v>
      </c>
      <c r="B30">
        <v>2025</v>
      </c>
      <c r="C30">
        <v>1257368.8321193682</v>
      </c>
      <c r="D30">
        <v>1035951.2101064232</v>
      </c>
      <c r="E30" s="2"/>
      <c r="F30">
        <f t="shared" si="4"/>
        <v>6362.0919456220363</v>
      </c>
      <c r="G30" s="4" t="s">
        <v>5</v>
      </c>
      <c r="H30">
        <v>0</v>
      </c>
      <c r="J30" s="59">
        <v>9.5E-4</v>
      </c>
      <c r="K30">
        <f>D30*J30*$B$4</f>
        <v>492.07682480055104</v>
      </c>
      <c r="L30" s="59">
        <v>5.0000000000000001E-4</v>
      </c>
      <c r="M30">
        <f>D30*L30*$B$4</f>
        <v>258.98780252660583</v>
      </c>
      <c r="N30">
        <f t="shared" si="1"/>
        <v>751.06462732715681</v>
      </c>
      <c r="O30" s="60">
        <f t="shared" si="0"/>
        <v>4778342.2161597209</v>
      </c>
      <c r="P30" s="60">
        <f t="shared" si="2"/>
        <v>3234170.0971402889</v>
      </c>
      <c r="Q30" s="60">
        <f t="shared" si="3"/>
        <v>0</v>
      </c>
      <c r="R30" s="60">
        <f>P30-Q30</f>
        <v>3234170.0971402889</v>
      </c>
      <c r="S30" s="5"/>
      <c r="T30" s="53"/>
      <c r="U30" s="53"/>
      <c r="V30" s="60"/>
      <c r="W30" s="53"/>
    </row>
    <row r="31" spans="1:23" x14ac:dyDescent="0.35">
      <c r="A31">
        <v>9</v>
      </c>
      <c r="B31">
        <v>2026</v>
      </c>
      <c r="C31">
        <v>1243215.6650612222</v>
      </c>
      <c r="D31">
        <v>1025985.9968696125</v>
      </c>
      <c r="E31" s="2"/>
      <c r="F31">
        <f t="shared" si="4"/>
        <v>6658.1094591582796</v>
      </c>
      <c r="G31" s="4" t="s">
        <v>5</v>
      </c>
      <c r="H31">
        <v>0</v>
      </c>
      <c r="J31" s="59">
        <v>8.9999999999999998E-4</v>
      </c>
      <c r="K31">
        <f>D31*J31*$B$4</f>
        <v>461.69369859132559</v>
      </c>
      <c r="L31" s="59">
        <v>4.4999999999999999E-4</v>
      </c>
      <c r="M31">
        <f>D31*L31*$B$4</f>
        <v>230.84684929566279</v>
      </c>
      <c r="N31">
        <f t="shared" si="1"/>
        <v>692.54054788698841</v>
      </c>
      <c r="O31" s="60">
        <f t="shared" si="0"/>
        <v>4611010.772737015</v>
      </c>
      <c r="P31" s="60">
        <f t="shared" si="2"/>
        <v>2972298.6568825953</v>
      </c>
      <c r="Q31" s="60">
        <f t="shared" si="3"/>
        <v>0</v>
      </c>
      <c r="R31" s="60">
        <f>P31-Q31</f>
        <v>2972298.6568825953</v>
      </c>
      <c r="S31" s="5"/>
      <c r="T31" s="53"/>
      <c r="U31" s="53"/>
      <c r="V31" s="60"/>
      <c r="W31" s="53"/>
    </row>
    <row r="32" spans="1:23" x14ac:dyDescent="0.35">
      <c r="A32">
        <v>10</v>
      </c>
      <c r="B32">
        <v>2027</v>
      </c>
      <c r="C32">
        <v>1229221.8085670562</v>
      </c>
      <c r="D32">
        <v>1016116.6428527016</v>
      </c>
      <c r="E32" s="2"/>
      <c r="F32">
        <f t="shared" si="4"/>
        <v>6967.9001732501165</v>
      </c>
      <c r="G32" s="4" t="s">
        <v>5</v>
      </c>
      <c r="H32">
        <v>0</v>
      </c>
      <c r="J32" s="59">
        <v>8.4999999999999995E-4</v>
      </c>
      <c r="K32">
        <f>D32*J32*$B$4</f>
        <v>431.84957321239813</v>
      </c>
      <c r="L32" s="59">
        <v>4.0000000000000002E-4</v>
      </c>
      <c r="M32">
        <f>D32*L32*$B$4</f>
        <v>203.22332857054033</v>
      </c>
      <c r="N32">
        <f t="shared" si="1"/>
        <v>635.07290178293852</v>
      </c>
      <c r="O32" s="60">
        <f t="shared" si="0"/>
        <v>4425124.5823597917</v>
      </c>
      <c r="P32" s="60">
        <f t="shared" si="2"/>
        <v>2716642.6296796934</v>
      </c>
      <c r="Q32" s="60">
        <f t="shared" si="3"/>
        <v>0</v>
      </c>
      <c r="R32" s="60">
        <f>P32-Q32</f>
        <v>2716642.6296796934</v>
      </c>
      <c r="S32" s="5"/>
      <c r="T32" s="53"/>
      <c r="U32" s="53"/>
      <c r="V32" s="60"/>
      <c r="W32" s="53"/>
    </row>
    <row r="33" spans="1:26" x14ac:dyDescent="0.35">
      <c r="A33">
        <v>11</v>
      </c>
      <c r="B33">
        <v>2028</v>
      </c>
      <c r="C33">
        <v>1215385.4694088462</v>
      </c>
      <c r="D33">
        <v>1006342.2259489758</v>
      </c>
      <c r="E33" s="2"/>
      <c r="F33">
        <f t="shared" si="4"/>
        <v>7292.1049319181548</v>
      </c>
      <c r="G33" s="4" t="s">
        <v>5</v>
      </c>
      <c r="H33">
        <v>0</v>
      </c>
      <c r="J33" s="59">
        <v>8.0000000000000004E-4</v>
      </c>
      <c r="K33">
        <f>D33*J33*$B$4</f>
        <v>402.53689037959032</v>
      </c>
      <c r="L33" s="59">
        <v>3.5E-4</v>
      </c>
      <c r="M33">
        <f>D33*L33*$B$4</f>
        <v>176.10988954107077</v>
      </c>
      <c r="N33">
        <f t="shared" si="1"/>
        <v>578.64677992066106</v>
      </c>
      <c r="O33" s="60">
        <f t="shared" si="0"/>
        <v>4219553.0376980118</v>
      </c>
      <c r="P33" s="60">
        <f t="shared" si="2"/>
        <v>2467085.2703437908</v>
      </c>
      <c r="Q33" s="60">
        <f t="shared" si="3"/>
        <v>0</v>
      </c>
      <c r="R33" s="60">
        <f>P33-Q33</f>
        <v>2467085.2703437908</v>
      </c>
      <c r="S33" s="5"/>
      <c r="T33" s="53"/>
      <c r="U33" s="53"/>
      <c r="V33" s="60"/>
      <c r="W33" s="53"/>
    </row>
    <row r="34" spans="1:26" x14ac:dyDescent="0.35">
      <c r="A34">
        <v>12</v>
      </c>
      <c r="B34">
        <v>2029</v>
      </c>
      <c r="C34">
        <v>1201704.8745434617</v>
      </c>
      <c r="D34">
        <v>996661.83292181941</v>
      </c>
      <c r="E34" s="2"/>
      <c r="F34">
        <f t="shared" si="4"/>
        <v>7631.3943965850694</v>
      </c>
      <c r="G34" s="4" t="s">
        <v>5</v>
      </c>
      <c r="H34">
        <v>0</v>
      </c>
      <c r="J34" s="59">
        <v>7.5000000000000002E-4</v>
      </c>
      <c r="K34">
        <f>D34*J34*$B$4</f>
        <v>373.74818734568231</v>
      </c>
      <c r="L34" s="59">
        <v>2.9999999999999997E-4</v>
      </c>
      <c r="M34">
        <f>D34*L34*$B$4</f>
        <v>149.49927493827289</v>
      </c>
      <c r="N34">
        <f t="shared" si="1"/>
        <v>523.2474622839552</v>
      </c>
      <c r="O34" s="60">
        <f t="shared" si="0"/>
        <v>3993107.7517011333</v>
      </c>
      <c r="P34" s="60">
        <f t="shared" si="2"/>
        <v>2223511.8109620586</v>
      </c>
      <c r="Q34" s="60">
        <f t="shared" si="3"/>
        <v>0</v>
      </c>
      <c r="R34" s="60">
        <f>P34-Q34</f>
        <v>2223511.8109620586</v>
      </c>
      <c r="S34" s="5"/>
      <c r="T34" s="53"/>
      <c r="U34" s="53"/>
      <c r="V34" s="60"/>
      <c r="W34" s="53"/>
    </row>
    <row r="35" spans="1:26" x14ac:dyDescent="0.35">
      <c r="A35">
        <v>13</v>
      </c>
      <c r="B35">
        <v>2030</v>
      </c>
      <c r="C35">
        <v>1188178.270885461</v>
      </c>
      <c r="D35">
        <v>987074.5593193915</v>
      </c>
      <c r="E35" s="2"/>
      <c r="F35">
        <f t="shared" si="4"/>
        <v>7986.4704334295293</v>
      </c>
      <c r="G35" s="4" t="s">
        <v>5</v>
      </c>
      <c r="H35">
        <v>0</v>
      </c>
      <c r="J35" s="59">
        <v>6.9999999999999999E-4</v>
      </c>
      <c r="K35">
        <f>D35*J35*$B$4</f>
        <v>345.47609576178701</v>
      </c>
      <c r="L35" s="59">
        <v>2.5000000000000001E-4</v>
      </c>
      <c r="M35">
        <f>D35*L35*$B$4</f>
        <v>123.38431991492394</v>
      </c>
      <c r="N35">
        <f t="shared" si="1"/>
        <v>468.86041567671094</v>
      </c>
      <c r="O35" s="60">
        <f t="shared" si="0"/>
        <v>3744539.8472075309</v>
      </c>
      <c r="P35" s="60">
        <f t="shared" si="2"/>
        <v>1985809.4293162229</v>
      </c>
      <c r="Q35" s="60">
        <f t="shared" si="3"/>
        <v>0</v>
      </c>
      <c r="R35" s="60">
        <f>P35-Q35</f>
        <v>1985809.4293162229</v>
      </c>
      <c r="S35" s="5"/>
      <c r="T35" s="53"/>
      <c r="U35" s="53"/>
      <c r="V35" s="60"/>
      <c r="W35" s="53"/>
    </row>
    <row r="36" spans="1:26" x14ac:dyDescent="0.35">
      <c r="A36">
        <v>14</v>
      </c>
      <c r="B36">
        <v>2031</v>
      </c>
      <c r="C36">
        <v>1174803.9250824433</v>
      </c>
      <c r="D36">
        <v>977579.50939012086</v>
      </c>
      <c r="E36" s="2"/>
      <c r="F36">
        <f t="shared" si="4"/>
        <v>8358.0675652913815</v>
      </c>
      <c r="G36" s="4" t="s">
        <v>5</v>
      </c>
      <c r="H36">
        <v>0</v>
      </c>
      <c r="J36" s="59">
        <v>6.4999999999999997E-4</v>
      </c>
      <c r="K36">
        <f>D36*J36*$B$4</f>
        <v>317.71334055178926</v>
      </c>
      <c r="L36" s="59">
        <v>2.0000000000000001E-4</v>
      </c>
      <c r="M36">
        <f>D36*L36*$B$4</f>
        <v>97.75795093901209</v>
      </c>
      <c r="N36">
        <f t="shared" si="1"/>
        <v>415.47129149080138</v>
      </c>
      <c r="O36" s="60">
        <f t="shared" si="0"/>
        <v>3472537.125718988</v>
      </c>
      <c r="P36" s="60">
        <f t="shared" si="2"/>
        <v>1753867.217787832</v>
      </c>
      <c r="Q36" s="60">
        <f t="shared" si="3"/>
        <v>0</v>
      </c>
      <c r="R36" s="60">
        <f>P36-Q36</f>
        <v>1753867.217787832</v>
      </c>
      <c r="S36" s="5"/>
      <c r="T36" s="53"/>
      <c r="U36" s="53"/>
      <c r="V36" s="60"/>
      <c r="W36" s="53"/>
    </row>
    <row r="37" spans="1:26" x14ac:dyDescent="0.35">
      <c r="A37">
        <v>15</v>
      </c>
      <c r="B37">
        <v>2032</v>
      </c>
      <c r="C37">
        <v>1161580.1232929307</v>
      </c>
      <c r="D37">
        <v>968175.79599901568</v>
      </c>
      <c r="E37" s="2"/>
      <c r="F37">
        <f>F36*(1+0.04652833)</f>
        <v>8746.9544911315552</v>
      </c>
      <c r="G37" s="4" t="s">
        <v>5</v>
      </c>
      <c r="H37">
        <v>0</v>
      </c>
      <c r="J37" s="59">
        <v>5.9999999999999995E-4</v>
      </c>
      <c r="K37">
        <f>D37*J37*$B$4</f>
        <v>290.45273879970466</v>
      </c>
      <c r="L37" s="59">
        <v>2.0000000000000001E-4</v>
      </c>
      <c r="M37">
        <f>D37*L37*$B$4</f>
        <v>96.817579599901578</v>
      </c>
      <c r="N37">
        <f t="shared" si="1"/>
        <v>387.27031839960625</v>
      </c>
      <c r="O37" s="60">
        <f>N37*$B$5*F37</f>
        <v>3387435.8508073832</v>
      </c>
      <c r="P37" s="60">
        <f t="shared" si="2"/>
        <v>1629414.5629246843</v>
      </c>
      <c r="Q37" s="60">
        <f t="shared" si="3"/>
        <v>0</v>
      </c>
      <c r="R37" s="60">
        <f>P37-Q37</f>
        <v>1629414.5629246843</v>
      </c>
      <c r="S37" s="5"/>
      <c r="T37" s="53"/>
      <c r="U37" s="53"/>
      <c r="V37" s="60"/>
      <c r="W37" s="53"/>
    </row>
    <row r="38" spans="1:26" x14ac:dyDescent="0.35">
      <c r="R38" s="61">
        <f>SUM(R23:R37)</f>
        <v>17742010.009074867</v>
      </c>
      <c r="Y38" s="5"/>
      <c r="Z38" s="5"/>
    </row>
    <row r="39" spans="1:26" x14ac:dyDescent="0.35">
      <c r="C39" s="73" t="s">
        <v>102</v>
      </c>
      <c r="D39" s="74">
        <f>SUM(P23:P37)/SUM(Q23:Q37)</f>
        <v>2.1117285849160465</v>
      </c>
    </row>
    <row r="40" spans="1:26" x14ac:dyDescent="0.35">
      <c r="C40" s="76" t="s">
        <v>100</v>
      </c>
      <c r="D40" s="77">
        <f>IRR(R23:R37)</f>
        <v>0.16477221864256286</v>
      </c>
    </row>
    <row r="41" spans="1:26" x14ac:dyDescent="0.35">
      <c r="C41" s="75" t="s">
        <v>101</v>
      </c>
      <c r="D41" s="78">
        <f>SUM(R23:R38)</f>
        <v>35484020.018149734</v>
      </c>
    </row>
    <row r="44" spans="1:26" x14ac:dyDescent="0.35">
      <c r="A44" s="54" t="s">
        <v>115</v>
      </c>
    </row>
    <row r="45" spans="1:26" x14ac:dyDescent="0.35">
      <c r="B45" s="54" t="s">
        <v>0</v>
      </c>
      <c r="C45" s="54" t="s">
        <v>110</v>
      </c>
      <c r="D45" s="54" t="s">
        <v>112</v>
      </c>
      <c r="E45" s="62" t="s">
        <v>113</v>
      </c>
      <c r="F45" s="54" t="s">
        <v>105</v>
      </c>
      <c r="G45" s="54" t="s">
        <v>116</v>
      </c>
      <c r="H45" s="54" t="s">
        <v>119</v>
      </c>
      <c r="I45" s="54" t="s">
        <v>120</v>
      </c>
      <c r="J45" s="54" t="s">
        <v>106</v>
      </c>
      <c r="K45" s="54" t="s">
        <v>121</v>
      </c>
      <c r="L45" s="54" t="s">
        <v>86</v>
      </c>
      <c r="M45" s="54" t="s">
        <v>98</v>
      </c>
      <c r="N45" s="54" t="s">
        <v>99</v>
      </c>
    </row>
    <row r="46" spans="1:26" x14ac:dyDescent="0.35">
      <c r="B46">
        <v>2015</v>
      </c>
      <c r="C46" s="60">
        <v>360337552.742616</v>
      </c>
      <c r="D46" s="5">
        <v>0.67</v>
      </c>
      <c r="E46" s="60">
        <f>C46*D46</f>
        <v>241426160.33755273</v>
      </c>
      <c r="G46" s="60">
        <f>C46*$B$10</f>
        <v>9729113.924050631</v>
      </c>
    </row>
    <row r="47" spans="1:26" x14ac:dyDescent="0.35">
      <c r="B47">
        <v>2016</v>
      </c>
      <c r="C47" s="60">
        <v>401265822.78481013</v>
      </c>
      <c r="D47" s="5">
        <v>0.67</v>
      </c>
      <c r="E47" s="60">
        <f>C47*D47</f>
        <v>268848101.26582283</v>
      </c>
      <c r="G47" s="60">
        <f t="shared" ref="G47:G63" si="5">C47*$B$10</f>
        <v>10834177.215189874</v>
      </c>
    </row>
    <row r="48" spans="1:26" x14ac:dyDescent="0.35">
      <c r="B48">
        <v>2017</v>
      </c>
      <c r="C48" s="60">
        <f>C47*1.1</f>
        <v>441392405.06329119</v>
      </c>
      <c r="D48" s="5">
        <v>0.67</v>
      </c>
      <c r="E48" s="60">
        <f t="shared" ref="E48:E63" si="6">C48*D48</f>
        <v>295732911.39240509</v>
      </c>
      <c r="G48" s="60">
        <f t="shared" si="5"/>
        <v>11917594.936708862</v>
      </c>
      <c r="H48" s="4"/>
      <c r="I48" s="4"/>
      <c r="K48" s="4"/>
      <c r="O48" s="59"/>
      <c r="P48" s="59"/>
      <c r="Q48" s="59"/>
    </row>
    <row r="49" spans="1:26" x14ac:dyDescent="0.35">
      <c r="A49">
        <v>1</v>
      </c>
      <c r="B49">
        <v>2018</v>
      </c>
      <c r="C49" s="60">
        <f t="shared" ref="C49:C63" si="7">C48*1.1</f>
        <v>485531645.56962037</v>
      </c>
      <c r="D49" s="5">
        <v>0.67</v>
      </c>
      <c r="E49" s="60">
        <f t="shared" si="6"/>
        <v>325306202.53164566</v>
      </c>
      <c r="F49">
        <f>0</f>
        <v>0</v>
      </c>
      <c r="G49" s="60">
        <f t="shared" si="5"/>
        <v>13109354.43037975</v>
      </c>
      <c r="H49" s="4">
        <v>0</v>
      </c>
      <c r="I49" s="60">
        <f>F49+H49</f>
        <v>0</v>
      </c>
      <c r="J49" s="60">
        <f>2950000/5</f>
        <v>590000</v>
      </c>
      <c r="K49" s="60">
        <f>I49-J49</f>
        <v>-590000</v>
      </c>
      <c r="L49" s="60">
        <f>I49*(1+$B$3)^-A49</f>
        <v>0</v>
      </c>
      <c r="M49" s="60">
        <f>J49</f>
        <v>590000</v>
      </c>
      <c r="N49" s="61">
        <f>L49-M49</f>
        <v>-590000</v>
      </c>
      <c r="O49" s="59"/>
      <c r="Q49" s="59"/>
    </row>
    <row r="50" spans="1:26" x14ac:dyDescent="0.35">
      <c r="A50">
        <v>2</v>
      </c>
      <c r="B50">
        <v>2019</v>
      </c>
      <c r="C50" s="60">
        <f t="shared" si="7"/>
        <v>534084810.12658244</v>
      </c>
      <c r="D50" s="5">
        <v>0.66</v>
      </c>
      <c r="E50" s="60">
        <f t="shared" si="6"/>
        <v>352495974.68354446</v>
      </c>
      <c r="F50">
        <f>0</f>
        <v>0</v>
      </c>
      <c r="G50" s="60">
        <f t="shared" si="5"/>
        <v>14420289.873417726</v>
      </c>
      <c r="H50" s="4">
        <v>0</v>
      </c>
      <c r="I50" s="60">
        <f t="shared" ref="I50:I63" si="8">F50+H50</f>
        <v>0</v>
      </c>
      <c r="J50" s="60">
        <f t="shared" ref="J50:J53" si="9">2950000/5</f>
        <v>590000</v>
      </c>
      <c r="K50" s="60">
        <f t="shared" ref="K50:K63" si="10">I50-J50</f>
        <v>-590000</v>
      </c>
      <c r="L50" s="60">
        <f t="shared" ref="L50:L63" si="11">I50*(1+$B$3)^-A50</f>
        <v>0</v>
      </c>
      <c r="M50" s="60">
        <f t="shared" ref="M50:M63" si="12">J50*(1+$B$3)^-A50</f>
        <v>540280.67123005434</v>
      </c>
      <c r="N50" s="61">
        <f t="shared" ref="N50:N63" si="13">L50-M50</f>
        <v>-540280.67123005434</v>
      </c>
      <c r="O50" s="59"/>
      <c r="Q50" s="59"/>
    </row>
    <row r="51" spans="1:26" x14ac:dyDescent="0.35">
      <c r="A51">
        <v>3</v>
      </c>
      <c r="B51">
        <v>2020</v>
      </c>
      <c r="C51" s="60">
        <f t="shared" si="7"/>
        <v>587493291.13924074</v>
      </c>
      <c r="D51" s="5">
        <v>0.65</v>
      </c>
      <c r="E51" s="60">
        <f t="shared" si="6"/>
        <v>381870639.24050647</v>
      </c>
      <c r="F51">
        <v>0</v>
      </c>
      <c r="G51" s="60">
        <f t="shared" si="5"/>
        <v>15862318.8607595</v>
      </c>
      <c r="H51" s="4">
        <v>0</v>
      </c>
      <c r="I51" s="60">
        <f t="shared" si="8"/>
        <v>0</v>
      </c>
      <c r="J51" s="60">
        <f t="shared" si="9"/>
        <v>590000</v>
      </c>
      <c r="K51" s="60">
        <f t="shared" si="10"/>
        <v>-590000</v>
      </c>
      <c r="L51" s="60">
        <f t="shared" si="11"/>
        <v>0</v>
      </c>
      <c r="M51" s="60">
        <f t="shared" si="12"/>
        <v>517014.99639239645</v>
      </c>
      <c r="N51" s="61">
        <f t="shared" si="13"/>
        <v>-517014.99639239645</v>
      </c>
      <c r="O51" s="59"/>
      <c r="Q51" s="59"/>
      <c r="V51" s="5"/>
      <c r="W51" s="53"/>
      <c r="X51" s="53"/>
      <c r="Y51" s="60"/>
      <c r="Z51" s="53"/>
    </row>
    <row r="52" spans="1:26" x14ac:dyDescent="0.35">
      <c r="A52">
        <v>4</v>
      </c>
      <c r="B52">
        <v>2021</v>
      </c>
      <c r="C52" s="60">
        <f t="shared" si="7"/>
        <v>646242620.25316489</v>
      </c>
      <c r="D52" s="5">
        <v>0.62</v>
      </c>
      <c r="E52" s="60">
        <f t="shared" si="6"/>
        <v>400670424.55696225</v>
      </c>
      <c r="F52">
        <v>0</v>
      </c>
      <c r="G52" s="60">
        <f t="shared" si="5"/>
        <v>17448550.746835452</v>
      </c>
      <c r="H52" s="4">
        <f>G52*$B$9</f>
        <v>348971.01493670902</v>
      </c>
      <c r="I52" s="60">
        <f t="shared" si="8"/>
        <v>348971.01493670902</v>
      </c>
      <c r="J52" s="60">
        <f t="shared" si="9"/>
        <v>590000</v>
      </c>
      <c r="K52" s="60">
        <f t="shared" si="10"/>
        <v>-241028.98506329098</v>
      </c>
      <c r="L52" s="60">
        <f t="shared" si="11"/>
        <v>292633.60316041455</v>
      </c>
      <c r="M52" s="60">
        <f t="shared" si="12"/>
        <v>494751.19271999679</v>
      </c>
      <c r="N52" s="61">
        <f t="shared" si="13"/>
        <v>-202117.58955958224</v>
      </c>
      <c r="O52" s="59"/>
      <c r="Q52" s="59"/>
      <c r="V52" s="5"/>
      <c r="W52" s="53"/>
      <c r="X52" s="53"/>
      <c r="Y52" s="60"/>
      <c r="Z52" s="53"/>
    </row>
    <row r="53" spans="1:26" x14ac:dyDescent="0.35">
      <c r="A53">
        <v>5</v>
      </c>
      <c r="B53">
        <v>2022</v>
      </c>
      <c r="C53" s="60">
        <f t="shared" si="7"/>
        <v>710866882.27848148</v>
      </c>
      <c r="D53" s="5">
        <v>0.6</v>
      </c>
      <c r="E53" s="60">
        <f t="shared" si="6"/>
        <v>426520129.36708885</v>
      </c>
      <c r="F53">
        <v>0</v>
      </c>
      <c r="G53" s="60">
        <f t="shared" si="5"/>
        <v>19193405.821518999</v>
      </c>
      <c r="H53" s="4">
        <f t="shared" ref="H53:H63" si="14">G53*$B$9</f>
        <v>383868.11643037997</v>
      </c>
      <c r="I53" s="60">
        <f t="shared" si="8"/>
        <v>383868.11643037997</v>
      </c>
      <c r="J53" s="60">
        <f>2950000/5</f>
        <v>590000</v>
      </c>
      <c r="K53" s="60">
        <f t="shared" si="10"/>
        <v>-206131.88356962003</v>
      </c>
      <c r="L53" s="60">
        <f t="shared" si="11"/>
        <v>308035.37174780486</v>
      </c>
      <c r="M53" s="60">
        <f t="shared" si="12"/>
        <v>473446.11743540363</v>
      </c>
      <c r="N53" s="61">
        <f t="shared" si="13"/>
        <v>-165410.74568759877</v>
      </c>
      <c r="O53" s="59"/>
      <c r="Q53" s="59"/>
      <c r="V53" s="5"/>
      <c r="W53" s="53"/>
      <c r="X53" s="53"/>
      <c r="Y53" s="60"/>
      <c r="Z53" s="53"/>
    </row>
    <row r="54" spans="1:26" x14ac:dyDescent="0.35">
      <c r="A54">
        <v>6</v>
      </c>
      <c r="B54">
        <v>2023</v>
      </c>
      <c r="C54" s="60">
        <f t="shared" si="7"/>
        <v>781953570.50632966</v>
      </c>
      <c r="D54" s="5">
        <v>0.57999999999999996</v>
      </c>
      <c r="E54" s="60">
        <f t="shared" si="6"/>
        <v>453533070.89367115</v>
      </c>
      <c r="F54">
        <f t="shared" ref="F54:F63" si="15">E54*$B$7</f>
        <v>907066.14178734238</v>
      </c>
      <c r="G54" s="60">
        <f t="shared" si="5"/>
        <v>21112746.4036709</v>
      </c>
      <c r="H54" s="4">
        <f t="shared" si="14"/>
        <v>422254.92807341798</v>
      </c>
      <c r="I54" s="60">
        <f t="shared" si="8"/>
        <v>1329321.0698607604</v>
      </c>
      <c r="J54" s="4"/>
      <c r="K54" s="60">
        <f t="shared" si="10"/>
        <v>1329321.0698607604</v>
      </c>
      <c r="L54" s="60">
        <f t="shared" si="11"/>
        <v>1020779.9843494511</v>
      </c>
      <c r="M54" s="60">
        <f t="shared" si="12"/>
        <v>0</v>
      </c>
      <c r="N54" s="61">
        <f t="shared" si="13"/>
        <v>1020779.9843494511</v>
      </c>
      <c r="O54" s="59"/>
      <c r="Q54" s="59"/>
      <c r="V54" s="5"/>
      <c r="W54" s="53"/>
      <c r="X54" s="53"/>
      <c r="Y54" s="60"/>
      <c r="Z54" s="53"/>
    </row>
    <row r="55" spans="1:26" x14ac:dyDescent="0.35">
      <c r="A55">
        <v>7</v>
      </c>
      <c r="B55">
        <v>2024</v>
      </c>
      <c r="C55" s="60">
        <f t="shared" si="7"/>
        <v>860148927.55696273</v>
      </c>
      <c r="D55" s="5">
        <v>0.57999999999999996</v>
      </c>
      <c r="E55" s="60">
        <f t="shared" si="6"/>
        <v>498886377.98303837</v>
      </c>
      <c r="F55">
        <f t="shared" si="15"/>
        <v>997772.75596607674</v>
      </c>
      <c r="G55" s="60">
        <f t="shared" si="5"/>
        <v>23224021.044037994</v>
      </c>
      <c r="H55" s="4">
        <f t="shared" si="14"/>
        <v>464480.42088075989</v>
      </c>
      <c r="I55" s="60">
        <f t="shared" si="8"/>
        <v>1462253.1768468367</v>
      </c>
      <c r="J55" s="4"/>
      <c r="K55" s="60">
        <f t="shared" si="10"/>
        <v>1462253.1768468367</v>
      </c>
      <c r="L55" s="60">
        <f t="shared" si="11"/>
        <v>1074505.246683633</v>
      </c>
      <c r="M55" s="60">
        <f t="shared" si="12"/>
        <v>0</v>
      </c>
      <c r="N55" s="61">
        <f t="shared" si="13"/>
        <v>1074505.246683633</v>
      </c>
      <c r="O55" s="59"/>
      <c r="Q55" s="59"/>
      <c r="V55" s="5"/>
      <c r="W55" s="53"/>
      <c r="X55" s="53"/>
      <c r="Y55" s="60"/>
      <c r="Z55" s="53"/>
    </row>
    <row r="56" spans="1:26" x14ac:dyDescent="0.35">
      <c r="A56">
        <v>8</v>
      </c>
      <c r="B56">
        <v>2025</v>
      </c>
      <c r="C56" s="60">
        <f t="shared" si="7"/>
        <v>946163820.31265903</v>
      </c>
      <c r="D56" s="5">
        <v>0.57999999999999996</v>
      </c>
      <c r="E56" s="60">
        <f t="shared" si="6"/>
        <v>548775015.78134215</v>
      </c>
      <c r="F56">
        <f t="shared" si="15"/>
        <v>1097550.0315626843</v>
      </c>
      <c r="G56" s="60">
        <f t="shared" si="5"/>
        <v>25546423.148441792</v>
      </c>
      <c r="H56" s="4">
        <f t="shared" si="14"/>
        <v>510928.46296883584</v>
      </c>
      <c r="I56" s="60">
        <f t="shared" si="8"/>
        <v>1608478.4945315202</v>
      </c>
      <c r="J56" s="4"/>
      <c r="K56" s="60">
        <f t="shared" si="10"/>
        <v>1608478.4945315202</v>
      </c>
      <c r="L56" s="60">
        <f t="shared" si="11"/>
        <v>1131058.1544038244</v>
      </c>
      <c r="M56" s="60">
        <f t="shared" si="12"/>
        <v>0</v>
      </c>
      <c r="N56" s="61">
        <f t="shared" si="13"/>
        <v>1131058.1544038244</v>
      </c>
      <c r="O56" s="59"/>
      <c r="Q56" s="59"/>
      <c r="V56" s="5"/>
      <c r="W56" s="53"/>
      <c r="X56" s="53"/>
      <c r="Y56" s="60"/>
      <c r="Z56" s="53"/>
    </row>
    <row r="57" spans="1:26" x14ac:dyDescent="0.35">
      <c r="A57">
        <v>9</v>
      </c>
      <c r="B57">
        <v>2026</v>
      </c>
      <c r="C57" s="60">
        <f t="shared" si="7"/>
        <v>1040780202.343925</v>
      </c>
      <c r="D57" s="5">
        <v>0.57999999999999996</v>
      </c>
      <c r="E57" s="60">
        <f t="shared" si="6"/>
        <v>603652517.35947645</v>
      </c>
      <c r="F57">
        <f t="shared" si="15"/>
        <v>1207305.0347189528</v>
      </c>
      <c r="G57" s="60">
        <f t="shared" si="5"/>
        <v>28101065.463285975</v>
      </c>
      <c r="H57" s="4">
        <f t="shared" si="14"/>
        <v>562021.30926571949</v>
      </c>
      <c r="I57" s="60">
        <f t="shared" si="8"/>
        <v>1769326.3439846723</v>
      </c>
      <c r="J57" s="4"/>
      <c r="K57" s="60">
        <f t="shared" si="10"/>
        <v>1769326.3439846723</v>
      </c>
      <c r="L57" s="60">
        <f t="shared" si="11"/>
        <v>1190587.5309513942</v>
      </c>
      <c r="M57" s="60">
        <f t="shared" si="12"/>
        <v>0</v>
      </c>
      <c r="N57" s="61">
        <f t="shared" si="13"/>
        <v>1190587.5309513942</v>
      </c>
      <c r="O57" s="59"/>
      <c r="Q57" s="59"/>
      <c r="V57" s="5"/>
      <c r="W57" s="53"/>
      <c r="X57" s="53"/>
      <c r="Y57" s="60"/>
      <c r="Z57" s="53"/>
    </row>
    <row r="58" spans="1:26" x14ac:dyDescent="0.35">
      <c r="A58">
        <v>10</v>
      </c>
      <c r="B58">
        <v>2027</v>
      </c>
      <c r="C58" s="60">
        <f t="shared" si="7"/>
        <v>1144858222.5783176</v>
      </c>
      <c r="D58" s="5">
        <v>0.57999999999999996</v>
      </c>
      <c r="E58" s="60">
        <f t="shared" si="6"/>
        <v>664017769.09542418</v>
      </c>
      <c r="F58">
        <f t="shared" si="15"/>
        <v>1328035.5381908484</v>
      </c>
      <c r="G58" s="60">
        <f t="shared" si="5"/>
        <v>30911172.009614576</v>
      </c>
      <c r="H58" s="4">
        <f t="shared" si="14"/>
        <v>618223.44019229151</v>
      </c>
      <c r="I58" s="60">
        <f t="shared" si="8"/>
        <v>1946258.9783831399</v>
      </c>
      <c r="J58" s="4"/>
      <c r="K58" s="60">
        <f t="shared" si="10"/>
        <v>1946258.9783831399</v>
      </c>
      <c r="L58" s="60">
        <f t="shared" si="11"/>
        <v>1253250.0325804153</v>
      </c>
      <c r="M58" s="60">
        <f t="shared" si="12"/>
        <v>0</v>
      </c>
      <c r="N58" s="61">
        <f t="shared" si="13"/>
        <v>1253250.0325804153</v>
      </c>
      <c r="O58" s="59"/>
      <c r="Q58" s="59"/>
      <c r="V58" s="5"/>
      <c r="W58" s="53"/>
      <c r="X58" s="53"/>
      <c r="Y58" s="60"/>
      <c r="Z58" s="53"/>
    </row>
    <row r="59" spans="1:26" x14ac:dyDescent="0.35">
      <c r="A59">
        <v>11</v>
      </c>
      <c r="B59">
        <v>2028</v>
      </c>
      <c r="C59" s="60">
        <f t="shared" si="7"/>
        <v>1259344044.8361495</v>
      </c>
      <c r="D59" s="5">
        <v>0.57999999999999996</v>
      </c>
      <c r="E59" s="60">
        <f t="shared" si="6"/>
        <v>730419546.00496662</v>
      </c>
      <c r="F59">
        <f t="shared" si="15"/>
        <v>1460839.0920099332</v>
      </c>
      <c r="G59" s="60">
        <f t="shared" si="5"/>
        <v>34002289.210576035</v>
      </c>
      <c r="H59" s="4">
        <f t="shared" si="14"/>
        <v>680045.78421152069</v>
      </c>
      <c r="I59" s="60">
        <f t="shared" si="8"/>
        <v>2140884.8762214538</v>
      </c>
      <c r="J59" s="4"/>
      <c r="K59" s="60">
        <f t="shared" si="10"/>
        <v>2140884.8762214538</v>
      </c>
      <c r="L59" s="60">
        <f t="shared" si="11"/>
        <v>1319210.5606109635</v>
      </c>
      <c r="M59" s="60">
        <f t="shared" si="12"/>
        <v>0</v>
      </c>
      <c r="N59" s="61">
        <f t="shared" si="13"/>
        <v>1319210.5606109635</v>
      </c>
      <c r="O59" s="59"/>
      <c r="Q59" s="59"/>
      <c r="V59" s="5"/>
      <c r="W59" s="53"/>
      <c r="X59" s="53"/>
      <c r="Y59" s="60"/>
      <c r="Z59" s="53"/>
    </row>
    <row r="60" spans="1:26" x14ac:dyDescent="0.35">
      <c r="A60">
        <v>12</v>
      </c>
      <c r="B60">
        <v>2029</v>
      </c>
      <c r="C60" s="60">
        <f t="shared" si="7"/>
        <v>1385278449.3197646</v>
      </c>
      <c r="D60" s="5">
        <v>0.57999999999999996</v>
      </c>
      <c r="E60" s="60">
        <f t="shared" si="6"/>
        <v>803461500.60546339</v>
      </c>
      <c r="F60">
        <f t="shared" si="15"/>
        <v>1606923.0012109268</v>
      </c>
      <c r="G60" s="60">
        <f t="shared" si="5"/>
        <v>37402518.131633647</v>
      </c>
      <c r="H60" s="4">
        <f t="shared" si="14"/>
        <v>748050.362632673</v>
      </c>
      <c r="I60" s="60">
        <f t="shared" si="8"/>
        <v>2354973.3638435998</v>
      </c>
      <c r="J60" s="4"/>
      <c r="K60" s="60">
        <f t="shared" si="10"/>
        <v>2354973.3638435998</v>
      </c>
      <c r="L60" s="60">
        <f t="shared" si="11"/>
        <v>1388642.6953799622</v>
      </c>
      <c r="M60" s="60">
        <f t="shared" si="12"/>
        <v>0</v>
      </c>
      <c r="N60" s="61">
        <f t="shared" si="13"/>
        <v>1388642.6953799622</v>
      </c>
      <c r="O60" s="59"/>
      <c r="Q60" s="59"/>
      <c r="V60" s="5"/>
      <c r="W60" s="53"/>
      <c r="X60" s="53"/>
      <c r="Y60" s="60"/>
      <c r="Z60" s="53"/>
    </row>
    <row r="61" spans="1:26" x14ac:dyDescent="0.35">
      <c r="A61">
        <v>13</v>
      </c>
      <c r="B61">
        <v>2030</v>
      </c>
      <c r="C61" s="60">
        <f t="shared" si="7"/>
        <v>1523806294.2517412</v>
      </c>
      <c r="D61" s="5">
        <v>0.57999999999999996</v>
      </c>
      <c r="E61" s="60">
        <f t="shared" si="6"/>
        <v>883807650.66600978</v>
      </c>
      <c r="F61">
        <f t="shared" si="15"/>
        <v>1767615.3013320195</v>
      </c>
      <c r="G61" s="60">
        <f t="shared" si="5"/>
        <v>41142769.944797009</v>
      </c>
      <c r="H61" s="4">
        <f t="shared" si="14"/>
        <v>822855.39889594016</v>
      </c>
      <c r="I61" s="60">
        <f t="shared" si="8"/>
        <v>2590470.7002279595</v>
      </c>
      <c r="J61" s="4"/>
      <c r="K61" s="60">
        <f t="shared" si="10"/>
        <v>2590470.7002279595</v>
      </c>
      <c r="L61" s="60">
        <f t="shared" si="11"/>
        <v>1461729.1530315389</v>
      </c>
      <c r="M61" s="60">
        <f t="shared" si="12"/>
        <v>0</v>
      </c>
      <c r="N61" s="61">
        <f t="shared" si="13"/>
        <v>1461729.1530315389</v>
      </c>
      <c r="O61" s="59"/>
      <c r="Q61" s="59"/>
      <c r="V61" s="5"/>
      <c r="W61" s="53"/>
      <c r="X61" s="53"/>
      <c r="Y61" s="60"/>
      <c r="Z61" s="53"/>
    </row>
    <row r="62" spans="1:26" x14ac:dyDescent="0.35">
      <c r="A62">
        <v>14</v>
      </c>
      <c r="B62">
        <v>2031</v>
      </c>
      <c r="C62" s="60">
        <f t="shared" si="7"/>
        <v>1676186923.6769154</v>
      </c>
      <c r="D62" s="5">
        <v>0.57999999999999996</v>
      </c>
      <c r="E62" s="60">
        <f t="shared" si="6"/>
        <v>972188415.73261082</v>
      </c>
      <c r="F62">
        <f t="shared" si="15"/>
        <v>1944376.8314652217</v>
      </c>
      <c r="G62" s="60">
        <f t="shared" si="5"/>
        <v>45257046.939276718</v>
      </c>
      <c r="H62" s="4">
        <f t="shared" si="14"/>
        <v>905140.93878553435</v>
      </c>
      <c r="I62" s="60">
        <f t="shared" si="8"/>
        <v>2849517.7702507563</v>
      </c>
      <c r="J62" s="4"/>
      <c r="K62" s="60">
        <f t="shared" si="10"/>
        <v>2849517.7702507563</v>
      </c>
      <c r="L62" s="60">
        <f t="shared" si="11"/>
        <v>1538662.2663489892</v>
      </c>
      <c r="M62" s="60">
        <f t="shared" si="12"/>
        <v>0</v>
      </c>
      <c r="N62" s="61">
        <f t="shared" si="13"/>
        <v>1538662.2663489892</v>
      </c>
      <c r="O62" s="59"/>
      <c r="Q62" s="59"/>
      <c r="V62" s="5"/>
      <c r="W62" s="53"/>
      <c r="X62" s="53"/>
      <c r="Y62" s="60"/>
      <c r="Z62" s="53"/>
    </row>
    <row r="63" spans="1:26" x14ac:dyDescent="0.35">
      <c r="A63">
        <v>15</v>
      </c>
      <c r="B63">
        <v>2032</v>
      </c>
      <c r="C63" s="60">
        <f t="shared" si="7"/>
        <v>1843805616.0446072</v>
      </c>
      <c r="D63" s="5">
        <v>0.57999999999999996</v>
      </c>
      <c r="E63" s="60">
        <f t="shared" si="6"/>
        <v>1069407257.3058721</v>
      </c>
      <c r="F63">
        <f t="shared" si="15"/>
        <v>2138814.5146117443</v>
      </c>
      <c r="G63" s="60">
        <f t="shared" si="5"/>
        <v>49782751.633204393</v>
      </c>
      <c r="H63" s="4">
        <f t="shared" si="14"/>
        <v>995655.03266408783</v>
      </c>
      <c r="I63" s="60">
        <f t="shared" si="8"/>
        <v>3134469.5472758319</v>
      </c>
      <c r="J63" s="4"/>
      <c r="K63" s="60">
        <f t="shared" si="10"/>
        <v>3134469.5472758319</v>
      </c>
      <c r="L63" s="60">
        <f t="shared" si="11"/>
        <v>1619644.4908936729</v>
      </c>
      <c r="M63" s="60">
        <f t="shared" si="12"/>
        <v>0</v>
      </c>
      <c r="N63" s="61">
        <f t="shared" si="13"/>
        <v>1619644.4908936729</v>
      </c>
      <c r="O63" s="59"/>
      <c r="Q63" s="59"/>
      <c r="V63" s="5"/>
      <c r="W63" s="53"/>
      <c r="X63" s="53"/>
      <c r="Y63" s="60"/>
      <c r="Z63" s="53"/>
    </row>
    <row r="64" spans="1:26" x14ac:dyDescent="0.35">
      <c r="G64" s="3"/>
      <c r="I64" s="4"/>
      <c r="J64" s="4"/>
      <c r="L64" s="4"/>
      <c r="O64" s="59"/>
      <c r="Q64" s="59"/>
      <c r="V64" s="5"/>
      <c r="W64" s="53"/>
      <c r="X64" s="53"/>
      <c r="Y64" s="60"/>
      <c r="Z64" s="53"/>
    </row>
    <row r="65" spans="3:26" x14ac:dyDescent="0.35">
      <c r="C65" s="73" t="s">
        <v>102</v>
      </c>
      <c r="D65" s="74">
        <f>SUM(I49:I63)/SUM(J49:J63)</f>
        <v>7.430099475523261</v>
      </c>
      <c r="G65" s="3"/>
      <c r="I65" s="4"/>
      <c r="J65" s="4"/>
      <c r="L65" s="4"/>
      <c r="O65" s="59"/>
      <c r="Q65" s="59"/>
      <c r="V65" s="5"/>
      <c r="W65" s="53"/>
      <c r="X65" s="53"/>
      <c r="Y65" s="60"/>
      <c r="Z65" s="53"/>
    </row>
    <row r="66" spans="3:26" x14ac:dyDescent="0.35">
      <c r="C66" s="76" t="s">
        <v>100</v>
      </c>
      <c r="D66" s="77">
        <f>IRR(K49:K63)</f>
        <v>0.33434203875303736</v>
      </c>
      <c r="Y66" s="5"/>
      <c r="Z66" s="5"/>
    </row>
    <row r="67" spans="3:26" x14ac:dyDescent="0.35">
      <c r="C67" s="75" t="s">
        <v>101</v>
      </c>
      <c r="D67" s="78">
        <f>SUM(N49:N63)</f>
        <v>10983246.112364212</v>
      </c>
    </row>
    <row r="69" spans="3:26" x14ac:dyDescent="0.35">
      <c r="C69" s="54"/>
    </row>
    <row r="70" spans="3:26" x14ac:dyDescent="0.35">
      <c r="C70" s="58"/>
    </row>
  </sheetData>
  <mergeCells count="2">
    <mergeCell ref="E22:E37"/>
    <mergeCell ref="A1:B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5" zoomScaleNormal="85" workbookViewId="0">
      <selection activeCell="C65" sqref="C65:D67"/>
    </sheetView>
  </sheetViews>
  <sheetFormatPr defaultRowHeight="14.5" x14ac:dyDescent="0.35"/>
  <cols>
    <col min="1" max="1" width="56.26953125" bestFit="1" customWidth="1"/>
    <col min="3" max="3" width="18.90625" customWidth="1"/>
    <col min="4" max="4" width="19.90625" customWidth="1"/>
    <col min="5" max="5" width="37.90625" customWidth="1"/>
    <col min="7" max="7" width="16.1796875" customWidth="1"/>
    <col min="8" max="8" width="12.1796875" customWidth="1"/>
    <col min="9" max="9" width="14.6328125" customWidth="1"/>
    <col min="10" max="10" width="12.90625" customWidth="1"/>
    <col min="11" max="11" width="16.90625" customWidth="1"/>
    <col min="12" max="12" width="20.36328125" customWidth="1"/>
    <col min="13" max="13" width="13.1796875" customWidth="1"/>
    <col min="14" max="14" width="15.26953125" customWidth="1"/>
    <col min="15" max="15" width="14.6328125" customWidth="1"/>
    <col min="16" max="16" width="22.6328125" customWidth="1"/>
    <col min="17" max="17" width="20.36328125" customWidth="1"/>
    <col min="18" max="18" width="34.81640625" customWidth="1"/>
    <col min="20" max="21" width="11.6328125" customWidth="1"/>
    <col min="22" max="22" width="10.6328125" customWidth="1"/>
    <col min="23" max="23" width="12.1796875" customWidth="1"/>
    <col min="24" max="24" width="11.08984375" customWidth="1"/>
    <col min="25" max="25" width="19.08984375" customWidth="1"/>
    <col min="26" max="26" width="15.81640625" customWidth="1"/>
  </cols>
  <sheetData>
    <row r="1" spans="1:2" x14ac:dyDescent="0.35">
      <c r="A1" s="56" t="s">
        <v>93</v>
      </c>
      <c r="B1" s="56"/>
    </row>
    <row r="2" spans="1:2" x14ac:dyDescent="0.35">
      <c r="A2" s="63" t="s">
        <v>94</v>
      </c>
      <c r="B2" s="64">
        <v>0.03</v>
      </c>
    </row>
    <row r="3" spans="1:2" x14ac:dyDescent="0.35">
      <c r="A3" s="65" t="s">
        <v>95</v>
      </c>
      <c r="B3" s="66">
        <v>6.5000000000000002E-2</v>
      </c>
    </row>
    <row r="4" spans="1:2" x14ac:dyDescent="0.35">
      <c r="A4" s="68" t="s">
        <v>96</v>
      </c>
      <c r="B4" s="69">
        <v>0.5</v>
      </c>
    </row>
    <row r="5" spans="1:2" x14ac:dyDescent="0.35">
      <c r="A5" s="67" t="s">
        <v>97</v>
      </c>
      <c r="B5" s="72">
        <v>3</v>
      </c>
    </row>
    <row r="6" spans="1:2" x14ac:dyDescent="0.35">
      <c r="A6" s="70" t="s">
        <v>107</v>
      </c>
      <c r="B6" s="71">
        <v>2.37</v>
      </c>
    </row>
    <row r="7" spans="1:2" x14ac:dyDescent="0.35">
      <c r="A7" s="63" t="s">
        <v>111</v>
      </c>
      <c r="B7" s="64">
        <v>6.0000000000000001E-3</v>
      </c>
    </row>
    <row r="8" spans="1:2" x14ac:dyDescent="0.35">
      <c r="A8" s="65" t="s">
        <v>114</v>
      </c>
      <c r="B8" s="66">
        <v>0.1</v>
      </c>
    </row>
    <row r="9" spans="1:2" x14ac:dyDescent="0.35">
      <c r="A9" s="68" t="s">
        <v>117</v>
      </c>
      <c r="B9" s="69">
        <v>7.0000000000000007E-2</v>
      </c>
    </row>
    <row r="10" spans="1:2" x14ac:dyDescent="0.35">
      <c r="A10" s="67" t="s">
        <v>118</v>
      </c>
      <c r="B10" s="72">
        <v>2.7E-2</v>
      </c>
    </row>
    <row r="18" spans="1:23" x14ac:dyDescent="0.35">
      <c r="A18" s="54" t="s">
        <v>122</v>
      </c>
    </row>
    <row r="19" spans="1:23" x14ac:dyDescent="0.35">
      <c r="B19" s="54" t="s">
        <v>0</v>
      </c>
      <c r="C19" s="54" t="s">
        <v>87</v>
      </c>
      <c r="D19" s="54" t="s">
        <v>88</v>
      </c>
      <c r="E19" s="54" t="s">
        <v>1</v>
      </c>
      <c r="F19" s="54" t="s">
        <v>3</v>
      </c>
      <c r="G19" s="54" t="s">
        <v>1</v>
      </c>
      <c r="H19" s="54" t="s">
        <v>92</v>
      </c>
      <c r="I19" s="54" t="s">
        <v>48</v>
      </c>
      <c r="J19" s="54" t="s">
        <v>83</v>
      </c>
      <c r="K19" s="54" t="s">
        <v>89</v>
      </c>
      <c r="L19" s="54" t="s">
        <v>84</v>
      </c>
      <c r="M19" s="54" t="s">
        <v>90</v>
      </c>
      <c r="N19" s="54" t="s">
        <v>91</v>
      </c>
      <c r="O19" s="54" t="s">
        <v>85</v>
      </c>
      <c r="P19" s="54" t="s">
        <v>86</v>
      </c>
      <c r="Q19" s="54" t="s">
        <v>98</v>
      </c>
      <c r="R19" s="54" t="s">
        <v>99</v>
      </c>
    </row>
    <row r="20" spans="1:23" x14ac:dyDescent="0.35">
      <c r="B20">
        <v>2015</v>
      </c>
      <c r="C20">
        <v>1414764.9749400001</v>
      </c>
      <c r="D20">
        <v>1142174.4600500001</v>
      </c>
      <c r="F20" s="4">
        <v>3761.91</v>
      </c>
      <c r="G20" s="4"/>
      <c r="J20" s="59"/>
      <c r="K20" s="59"/>
      <c r="L20" s="59"/>
    </row>
    <row r="21" spans="1:23" x14ac:dyDescent="0.35">
      <c r="B21">
        <v>2016</v>
      </c>
      <c r="C21">
        <v>1392222.48545</v>
      </c>
      <c r="D21">
        <v>1130108.4447699999</v>
      </c>
      <c r="F21" s="4">
        <v>3842.431</v>
      </c>
      <c r="G21" s="4"/>
      <c r="J21" s="59"/>
      <c r="L21" s="59"/>
    </row>
    <row r="22" spans="1:23" x14ac:dyDescent="0.35">
      <c r="B22">
        <v>2017</v>
      </c>
      <c r="C22">
        <v>1376551.3817011754</v>
      </c>
      <c r="D22">
        <v>1119237.4968691845</v>
      </c>
      <c r="E22" s="2" t="s">
        <v>2</v>
      </c>
      <c r="F22" s="4">
        <v>3715.386</v>
      </c>
      <c r="G22" s="4" t="s">
        <v>4</v>
      </c>
      <c r="J22" s="59"/>
      <c r="L22" s="59"/>
    </row>
    <row r="23" spans="1:23" x14ac:dyDescent="0.35">
      <c r="A23">
        <v>1</v>
      </c>
      <c r="B23">
        <v>2018</v>
      </c>
      <c r="C23">
        <v>1361056.674681518</v>
      </c>
      <c r="D23">
        <v>1108471.1207984525</v>
      </c>
      <c r="E23" s="2"/>
      <c r="F23" s="4">
        <v>4021.1370000000002</v>
      </c>
      <c r="G23" s="4" t="s">
        <v>4</v>
      </c>
      <c r="H23">
        <v>3600000</v>
      </c>
      <c r="J23" s="59">
        <v>0</v>
      </c>
      <c r="K23">
        <v>0</v>
      </c>
      <c r="L23" s="59">
        <v>0</v>
      </c>
      <c r="M23">
        <v>0</v>
      </c>
      <c r="N23">
        <f>K23+M23</f>
        <v>0</v>
      </c>
      <c r="O23" s="60">
        <f>N23*$B$5*F23</f>
        <v>0</v>
      </c>
      <c r="P23" s="60">
        <f>O23*(1+$B$2)^-A23</f>
        <v>0</v>
      </c>
      <c r="Q23" s="60">
        <f>H23</f>
        <v>3600000</v>
      </c>
      <c r="R23" s="60">
        <f>P23-Q23</f>
        <v>-3600000</v>
      </c>
      <c r="S23" s="5"/>
      <c r="T23" s="53"/>
      <c r="U23" s="53"/>
      <c r="V23" s="60"/>
      <c r="W23" s="53"/>
    </row>
    <row r="24" spans="1:23" x14ac:dyDescent="0.35">
      <c r="A24">
        <v>2</v>
      </c>
      <c r="B24">
        <v>2019</v>
      </c>
      <c r="C24">
        <v>1345736.3788380916</v>
      </c>
      <c r="D24">
        <v>1097808.3106411397</v>
      </c>
      <c r="E24" s="2"/>
      <c r="F24" s="4">
        <v>4323.9229999999998</v>
      </c>
      <c r="G24" s="4" t="s">
        <v>4</v>
      </c>
      <c r="H24">
        <v>3600000</v>
      </c>
      <c r="J24" s="59">
        <v>1E-4</v>
      </c>
      <c r="K24">
        <f>D24*J24*$B$4</f>
        <v>54.890415532056991</v>
      </c>
      <c r="L24" s="59">
        <v>9.9999999999999995E-7</v>
      </c>
      <c r="M24">
        <f>D24*L24*$B$4</f>
        <v>0.5489041553205698</v>
      </c>
      <c r="N24">
        <f>K24+M24</f>
        <v>55.439319687377562</v>
      </c>
      <c r="O24" s="60">
        <f t="shared" ref="O24:O36" si="0">N24*$B$5*F24</f>
        <v>719146.0485018139</v>
      </c>
      <c r="P24" s="60">
        <f>O24*(1+$B$2)^-A24</f>
        <v>677864.12338751426</v>
      </c>
      <c r="Q24" s="60">
        <f>H24*(1+$B$3)^-A24</f>
        <v>3173973.4179726248</v>
      </c>
      <c r="R24" s="60">
        <f>P24-Q24</f>
        <v>-2496109.2945851106</v>
      </c>
      <c r="S24" s="5"/>
      <c r="T24" s="53"/>
      <c r="U24" s="53"/>
      <c r="V24" s="60"/>
      <c r="W24" s="53"/>
    </row>
    <row r="25" spans="1:23" x14ac:dyDescent="0.35">
      <c r="A25">
        <v>3</v>
      </c>
      <c r="B25">
        <v>2020</v>
      </c>
      <c r="C25">
        <v>1330588.530967697</v>
      </c>
      <c r="D25">
        <v>1087248.0701568816</v>
      </c>
      <c r="E25" s="2"/>
      <c r="F25" s="4">
        <v>4678.7929999999997</v>
      </c>
      <c r="G25" s="4" t="s">
        <v>4</v>
      </c>
      <c r="H25">
        <v>3600000</v>
      </c>
      <c r="J25" s="59">
        <v>4.0000000000000002E-4</v>
      </c>
      <c r="K25">
        <f t="shared" ref="K25:K37" si="1">D25*J25*$B$4</f>
        <v>217.44961403137631</v>
      </c>
      <c r="L25" s="59">
        <v>2.9999999999999997E-4</v>
      </c>
      <c r="M25">
        <f t="shared" ref="M25:M37" si="2">D25*L25*$B$4</f>
        <v>163.08721052353224</v>
      </c>
      <c r="N25">
        <f t="shared" ref="N25:N37" si="3">K25+M25</f>
        <v>380.53682455490855</v>
      </c>
      <c r="O25" s="60">
        <f t="shared" si="0"/>
        <v>5341359.0929092029</v>
      </c>
      <c r="P25" s="60">
        <f t="shared" ref="P25:P37" si="4">O25*(1+$B$2)^-A25</f>
        <v>4888100.2234860156</v>
      </c>
      <c r="Q25" s="60">
        <f t="shared" ref="Q25:Q37" si="5">H25*(1+$B$3)^-A25</f>
        <v>2980256.7304907278</v>
      </c>
      <c r="R25" s="60">
        <f>P25-Q25</f>
        <v>1907843.4929952878</v>
      </c>
      <c r="S25" s="5"/>
      <c r="T25" s="53"/>
      <c r="U25" s="53"/>
      <c r="V25" s="60"/>
      <c r="W25" s="53"/>
    </row>
    <row r="26" spans="1:23" x14ac:dyDescent="0.35">
      <c r="A26">
        <v>4</v>
      </c>
      <c r="B26">
        <v>2021</v>
      </c>
      <c r="C26">
        <v>1315611.1899652989</v>
      </c>
      <c r="D26">
        <v>1076789.4126885328</v>
      </c>
      <c r="E26" s="2"/>
      <c r="F26" s="4">
        <v>5091.4059999999999</v>
      </c>
      <c r="G26" s="4" t="s">
        <v>4</v>
      </c>
      <c r="H26">
        <v>3600000</v>
      </c>
      <c r="J26" s="59">
        <v>6.8000000000000005E-4</v>
      </c>
      <c r="K26">
        <f t="shared" si="1"/>
        <v>366.10840031410117</v>
      </c>
      <c r="L26" s="59">
        <v>5.0000000000000001E-4</v>
      </c>
      <c r="M26">
        <f t="shared" si="2"/>
        <v>269.19735317213321</v>
      </c>
      <c r="N26">
        <f t="shared" si="3"/>
        <v>635.30575348623438</v>
      </c>
      <c r="O26" s="60">
        <f t="shared" si="0"/>
        <v>9703798.575403003</v>
      </c>
      <c r="P26" s="60">
        <f t="shared" si="4"/>
        <v>8621699.3498282824</v>
      </c>
      <c r="Q26" s="60">
        <f t="shared" si="5"/>
        <v>2798363.1272213412</v>
      </c>
      <c r="R26" s="60">
        <f>P26-Q26</f>
        <v>5823336.2226069411</v>
      </c>
      <c r="S26" s="5"/>
      <c r="T26" s="53"/>
      <c r="U26" s="53"/>
      <c r="V26" s="60"/>
      <c r="W26" s="53"/>
    </row>
    <row r="27" spans="1:23" x14ac:dyDescent="0.35">
      <c r="A27">
        <v>5</v>
      </c>
      <c r="B27">
        <v>2022</v>
      </c>
      <c r="C27">
        <v>1300802.4365752852</v>
      </c>
      <c r="D27">
        <v>1066431.3610699831</v>
      </c>
      <c r="E27" s="2"/>
      <c r="F27" s="4">
        <v>5550.69</v>
      </c>
      <c r="G27" s="4" t="s">
        <v>4</v>
      </c>
      <c r="H27">
        <v>3600000</v>
      </c>
      <c r="J27" s="59">
        <v>1E-3</v>
      </c>
      <c r="K27">
        <f t="shared" si="1"/>
        <v>533.21568053499152</v>
      </c>
      <c r="L27" s="59">
        <v>5.0000000000000001E-4</v>
      </c>
      <c r="M27">
        <f t="shared" si="2"/>
        <v>266.60784026749576</v>
      </c>
      <c r="N27">
        <f t="shared" si="3"/>
        <v>799.82352080248734</v>
      </c>
      <c r="O27" s="60">
        <f t="shared" si="0"/>
        <v>13318717.256049475</v>
      </c>
      <c r="P27" s="60">
        <f t="shared" si="4"/>
        <v>11488842.501797227</v>
      </c>
      <c r="Q27" s="60">
        <f t="shared" si="5"/>
        <v>2627571.0114754378</v>
      </c>
      <c r="R27" s="60">
        <f>P27-Q27</f>
        <v>8861271.4903217889</v>
      </c>
      <c r="S27" s="5"/>
      <c r="T27" s="53"/>
      <c r="U27" s="53"/>
      <c r="V27" s="60"/>
      <c r="W27" s="53"/>
    </row>
    <row r="28" spans="1:23" x14ac:dyDescent="0.35">
      <c r="A28">
        <v>6</v>
      </c>
      <c r="B28">
        <v>2023</v>
      </c>
      <c r="C28">
        <v>1286160.3731455265</v>
      </c>
      <c r="D28">
        <v>1056172.9475348582</v>
      </c>
      <c r="E28" s="2"/>
      <c r="F28">
        <f>F27*(1+0.04652833)</f>
        <v>5808.9543360476991</v>
      </c>
      <c r="G28" s="4" t="s">
        <v>5</v>
      </c>
      <c r="H28">
        <v>0</v>
      </c>
      <c r="J28" s="59">
        <v>1E-3</v>
      </c>
      <c r="K28">
        <f t="shared" si="1"/>
        <v>528.08647376742908</v>
      </c>
      <c r="L28" s="59">
        <v>5.0000000000000001E-4</v>
      </c>
      <c r="M28">
        <f t="shared" si="2"/>
        <v>264.04323688371454</v>
      </c>
      <c r="N28">
        <f t="shared" si="3"/>
        <v>792.12971065114357</v>
      </c>
      <c r="O28" s="60">
        <f t="shared" si="0"/>
        <v>13804335.952197507</v>
      </c>
      <c r="P28" s="60">
        <f t="shared" si="4"/>
        <v>11560914.033937577</v>
      </c>
      <c r="Q28" s="60">
        <f t="shared" si="5"/>
        <v>0</v>
      </c>
      <c r="R28" s="60">
        <f>P28-Q28</f>
        <v>11560914.033937577</v>
      </c>
      <c r="S28" s="5"/>
      <c r="T28" s="53"/>
      <c r="U28" s="53"/>
      <c r="V28" s="60"/>
      <c r="W28" s="53"/>
    </row>
    <row r="29" spans="1:23" x14ac:dyDescent="0.35">
      <c r="A29">
        <v>7</v>
      </c>
      <c r="B29">
        <v>2024</v>
      </c>
      <c r="C29">
        <v>1271683.1233842028</v>
      </c>
      <c r="D29">
        <v>1046013.2136261015</v>
      </c>
      <c r="E29" s="2"/>
      <c r="F29">
        <f t="shared" ref="F29:F36" si="6">F28*(1+0.04652833)</f>
        <v>6079.2352803502572</v>
      </c>
      <c r="G29" s="4" t="s">
        <v>5</v>
      </c>
      <c r="H29">
        <v>0</v>
      </c>
      <c r="J29" s="59">
        <v>1E-3</v>
      </c>
      <c r="K29">
        <f t="shared" si="1"/>
        <v>523.00660681305078</v>
      </c>
      <c r="L29" s="59">
        <v>5.0000000000000001E-4</v>
      </c>
      <c r="M29">
        <f t="shared" si="2"/>
        <v>261.50330340652539</v>
      </c>
      <c r="N29">
        <f t="shared" si="3"/>
        <v>784.50991021957611</v>
      </c>
      <c r="O29" s="60">
        <f t="shared" si="0"/>
        <v>14307660.971973779</v>
      </c>
      <c r="P29" s="60">
        <f t="shared" si="4"/>
        <v>11633437.683490478</v>
      </c>
      <c r="Q29" s="60">
        <f t="shared" si="5"/>
        <v>0</v>
      </c>
      <c r="R29" s="60">
        <f>P29-Q29</f>
        <v>11633437.683490478</v>
      </c>
      <c r="S29" s="5"/>
      <c r="T29" s="53"/>
      <c r="U29" s="53"/>
      <c r="V29" s="60"/>
      <c r="W29" s="53"/>
    </row>
    <row r="30" spans="1:23" x14ac:dyDescent="0.35">
      <c r="A30">
        <v>8</v>
      </c>
      <c r="B30">
        <v>2025</v>
      </c>
      <c r="C30">
        <v>1257368.8321193682</v>
      </c>
      <c r="D30">
        <v>1035951.2101064232</v>
      </c>
      <c r="E30" s="2"/>
      <c r="F30">
        <f t="shared" si="6"/>
        <v>6362.0919456220363</v>
      </c>
      <c r="G30" s="4" t="s">
        <v>5</v>
      </c>
      <c r="H30">
        <v>0</v>
      </c>
      <c r="J30" s="59">
        <v>9.5E-4</v>
      </c>
      <c r="K30">
        <f t="shared" si="1"/>
        <v>492.07682480055104</v>
      </c>
      <c r="L30" s="59">
        <v>5.0000000000000001E-4</v>
      </c>
      <c r="M30">
        <f t="shared" si="2"/>
        <v>258.98780252660583</v>
      </c>
      <c r="N30">
        <f t="shared" si="3"/>
        <v>751.06462732715681</v>
      </c>
      <c r="O30" s="60">
        <f t="shared" si="0"/>
        <v>14335026.648479162</v>
      </c>
      <c r="P30" s="60">
        <f t="shared" si="4"/>
        <v>11316202.4104458</v>
      </c>
      <c r="Q30" s="60">
        <f t="shared" si="5"/>
        <v>0</v>
      </c>
      <c r="R30" s="60">
        <f>P30-Q30</f>
        <v>11316202.4104458</v>
      </c>
      <c r="S30" s="5"/>
      <c r="T30" s="53"/>
      <c r="U30" s="53"/>
      <c r="V30" s="60"/>
      <c r="W30" s="53"/>
    </row>
    <row r="31" spans="1:23" x14ac:dyDescent="0.35">
      <c r="A31">
        <v>9</v>
      </c>
      <c r="B31">
        <v>2026</v>
      </c>
      <c r="C31">
        <v>1243215.6650612222</v>
      </c>
      <c r="D31">
        <v>1025985.9968696125</v>
      </c>
      <c r="E31" s="2"/>
      <c r="F31">
        <f t="shared" si="6"/>
        <v>6658.1094591582796</v>
      </c>
      <c r="G31" s="4" t="s">
        <v>5</v>
      </c>
      <c r="H31">
        <v>0</v>
      </c>
      <c r="J31" s="59">
        <v>8.9999999999999998E-4</v>
      </c>
      <c r="K31">
        <f t="shared" si="1"/>
        <v>461.69369859132559</v>
      </c>
      <c r="L31" s="59">
        <v>4.4999999999999999E-4</v>
      </c>
      <c r="M31">
        <f t="shared" si="2"/>
        <v>230.84684929566279</v>
      </c>
      <c r="N31">
        <f t="shared" si="3"/>
        <v>692.54054788698841</v>
      </c>
      <c r="O31" s="60">
        <f t="shared" si="0"/>
        <v>13833032.318211045</v>
      </c>
      <c r="P31" s="60">
        <f t="shared" si="4"/>
        <v>10601867.427727096</v>
      </c>
      <c r="Q31" s="60">
        <f t="shared" si="5"/>
        <v>0</v>
      </c>
      <c r="R31" s="60">
        <f>P31-Q31</f>
        <v>10601867.427727096</v>
      </c>
      <c r="S31" s="5"/>
      <c r="T31" s="53"/>
      <c r="U31" s="53"/>
      <c r="V31" s="60"/>
      <c r="W31" s="53"/>
    </row>
    <row r="32" spans="1:23" x14ac:dyDescent="0.35">
      <c r="A32">
        <v>10</v>
      </c>
      <c r="B32">
        <v>2027</v>
      </c>
      <c r="C32">
        <v>1229221.8085670562</v>
      </c>
      <c r="D32">
        <v>1016116.6428527016</v>
      </c>
      <c r="E32" s="2"/>
      <c r="F32">
        <f t="shared" si="6"/>
        <v>6967.9001732501165</v>
      </c>
      <c r="G32" s="4" t="s">
        <v>5</v>
      </c>
      <c r="H32">
        <v>0</v>
      </c>
      <c r="J32" s="59">
        <v>8.4999999999999995E-4</v>
      </c>
      <c r="K32">
        <f t="shared" si="1"/>
        <v>431.84957321239813</v>
      </c>
      <c r="L32" s="59">
        <v>4.0000000000000002E-4</v>
      </c>
      <c r="M32">
        <f t="shared" si="2"/>
        <v>203.22332857054033</v>
      </c>
      <c r="N32">
        <f t="shared" si="3"/>
        <v>635.07290178293852</v>
      </c>
      <c r="O32" s="60">
        <f t="shared" si="0"/>
        <v>13275373.747079374</v>
      </c>
      <c r="P32" s="60">
        <f t="shared" si="4"/>
        <v>9878124.8231814988</v>
      </c>
      <c r="Q32" s="60">
        <f t="shared" si="5"/>
        <v>0</v>
      </c>
      <c r="R32" s="60">
        <f>P32-Q32</f>
        <v>9878124.8231814988</v>
      </c>
      <c r="S32" s="5"/>
      <c r="T32" s="53"/>
      <c r="U32" s="53"/>
      <c r="V32" s="60"/>
      <c r="W32" s="53"/>
    </row>
    <row r="33" spans="1:26" x14ac:dyDescent="0.35">
      <c r="A33">
        <v>11</v>
      </c>
      <c r="B33">
        <v>2028</v>
      </c>
      <c r="C33">
        <v>1215385.4694088462</v>
      </c>
      <c r="D33">
        <v>1006342.2259489758</v>
      </c>
      <c r="E33" s="2"/>
      <c r="F33">
        <f t="shared" si="6"/>
        <v>7292.1049319181548</v>
      </c>
      <c r="G33" s="4" t="s">
        <v>5</v>
      </c>
      <c r="H33">
        <v>0</v>
      </c>
      <c r="J33" s="59">
        <v>8.0000000000000004E-4</v>
      </c>
      <c r="K33">
        <f t="shared" si="1"/>
        <v>402.53689037959032</v>
      </c>
      <c r="L33" s="59">
        <v>3.5E-4</v>
      </c>
      <c r="M33">
        <f t="shared" si="2"/>
        <v>176.10988954107077</v>
      </c>
      <c r="N33">
        <f t="shared" si="3"/>
        <v>578.64677992066106</v>
      </c>
      <c r="O33" s="60">
        <f t="shared" si="0"/>
        <v>12658659.113094034</v>
      </c>
      <c r="P33" s="60">
        <f t="shared" si="4"/>
        <v>9144884.6765099484</v>
      </c>
      <c r="Q33" s="60">
        <f t="shared" si="5"/>
        <v>0</v>
      </c>
      <c r="R33" s="60">
        <f>P33-Q33</f>
        <v>9144884.6765099484</v>
      </c>
      <c r="S33" s="5"/>
      <c r="T33" s="53"/>
      <c r="U33" s="53"/>
      <c r="V33" s="60"/>
      <c r="W33" s="53"/>
    </row>
    <row r="34" spans="1:26" x14ac:dyDescent="0.35">
      <c r="A34">
        <v>12</v>
      </c>
      <c r="B34">
        <v>2029</v>
      </c>
      <c r="C34">
        <v>1201704.8745434617</v>
      </c>
      <c r="D34">
        <v>996661.83292181941</v>
      </c>
      <c r="E34" s="2"/>
      <c r="F34">
        <f t="shared" si="6"/>
        <v>7631.3943965850694</v>
      </c>
      <c r="G34" s="4" t="s">
        <v>5</v>
      </c>
      <c r="H34">
        <v>0</v>
      </c>
      <c r="J34" s="59">
        <v>7.5000000000000002E-4</v>
      </c>
      <c r="K34">
        <f t="shared" si="1"/>
        <v>373.74818734568231</v>
      </c>
      <c r="L34" s="59">
        <v>2.9999999999999997E-4</v>
      </c>
      <c r="M34">
        <f t="shared" si="2"/>
        <v>149.49927493827289</v>
      </c>
      <c r="N34">
        <f t="shared" si="3"/>
        <v>523.2474622839552</v>
      </c>
      <c r="O34" s="60">
        <f t="shared" si="0"/>
        <v>11979323.2551034</v>
      </c>
      <c r="P34" s="60">
        <f t="shared" si="4"/>
        <v>8402056.3094573207</v>
      </c>
      <c r="Q34" s="60">
        <f t="shared" si="5"/>
        <v>0</v>
      </c>
      <c r="R34" s="60">
        <f>P34-Q34</f>
        <v>8402056.3094573207</v>
      </c>
      <c r="S34" s="5"/>
      <c r="T34" s="53"/>
      <c r="U34" s="53"/>
      <c r="V34" s="60"/>
      <c r="W34" s="53"/>
    </row>
    <row r="35" spans="1:26" x14ac:dyDescent="0.35">
      <c r="A35">
        <v>13</v>
      </c>
      <c r="B35">
        <v>2030</v>
      </c>
      <c r="C35">
        <v>1188178.270885461</v>
      </c>
      <c r="D35">
        <v>987074.5593193915</v>
      </c>
      <c r="E35" s="2"/>
      <c r="F35">
        <f t="shared" si="6"/>
        <v>7986.4704334295293</v>
      </c>
      <c r="G35" s="4" t="s">
        <v>5</v>
      </c>
      <c r="H35">
        <v>0</v>
      </c>
      <c r="J35" s="59">
        <v>6.9999999999999999E-4</v>
      </c>
      <c r="K35">
        <f t="shared" si="1"/>
        <v>345.47609576178701</v>
      </c>
      <c r="L35" s="59">
        <v>2.5000000000000001E-4</v>
      </c>
      <c r="M35">
        <f t="shared" si="2"/>
        <v>123.38431991492394</v>
      </c>
      <c r="N35">
        <f t="shared" si="3"/>
        <v>468.86041567671094</v>
      </c>
      <c r="O35" s="60">
        <f t="shared" si="0"/>
        <v>11233619.541622592</v>
      </c>
      <c r="P35" s="60">
        <f t="shared" si="4"/>
        <v>7649548.2798414528</v>
      </c>
      <c r="Q35" s="60">
        <f t="shared" si="5"/>
        <v>0</v>
      </c>
      <c r="R35" s="60">
        <f>P35-Q35</f>
        <v>7649548.2798414528</v>
      </c>
      <c r="S35" s="5"/>
      <c r="T35" s="53"/>
      <c r="U35" s="53"/>
      <c r="V35" s="60"/>
      <c r="W35" s="53"/>
    </row>
    <row r="36" spans="1:26" x14ac:dyDescent="0.35">
      <c r="A36">
        <v>14</v>
      </c>
      <c r="B36">
        <v>2031</v>
      </c>
      <c r="C36">
        <v>1174803.9250824433</v>
      </c>
      <c r="D36">
        <v>977579.50939012086</v>
      </c>
      <c r="E36" s="2"/>
      <c r="F36">
        <f t="shared" si="6"/>
        <v>8358.0675652913815</v>
      </c>
      <c r="G36" s="4" t="s">
        <v>5</v>
      </c>
      <c r="H36">
        <v>0</v>
      </c>
      <c r="J36" s="59">
        <v>6.4999999999999997E-4</v>
      </c>
      <c r="K36">
        <f t="shared" si="1"/>
        <v>317.71334055178926</v>
      </c>
      <c r="L36" s="59">
        <v>2.0000000000000001E-4</v>
      </c>
      <c r="M36">
        <f t="shared" si="2"/>
        <v>97.75795093901209</v>
      </c>
      <c r="N36">
        <f t="shared" si="3"/>
        <v>415.47129149080138</v>
      </c>
      <c r="O36" s="60">
        <f t="shared" si="0"/>
        <v>10417611.377156964</v>
      </c>
      <c r="P36" s="60">
        <f t="shared" si="4"/>
        <v>6887268.3755370956</v>
      </c>
      <c r="Q36" s="60">
        <f t="shared" si="5"/>
        <v>0</v>
      </c>
      <c r="R36" s="60">
        <f>P36-Q36</f>
        <v>6887268.3755370956</v>
      </c>
      <c r="S36" s="5"/>
      <c r="T36" s="53"/>
      <c r="U36" s="53"/>
      <c r="V36" s="60"/>
      <c r="W36" s="53"/>
    </row>
    <row r="37" spans="1:26" x14ac:dyDescent="0.35">
      <c r="A37">
        <v>15</v>
      </c>
      <c r="B37">
        <v>2032</v>
      </c>
      <c r="C37">
        <v>1161580.1232929307</v>
      </c>
      <c r="D37">
        <v>968175.79599901568</v>
      </c>
      <c r="E37" s="2"/>
      <c r="F37">
        <f>F36*(1+0.04652833)</f>
        <v>8746.9544911315552</v>
      </c>
      <c r="G37" s="4" t="s">
        <v>5</v>
      </c>
      <c r="H37">
        <v>0</v>
      </c>
      <c r="J37" s="59">
        <v>5.9999999999999995E-4</v>
      </c>
      <c r="K37">
        <f t="shared" si="1"/>
        <v>290.45273879970466</v>
      </c>
      <c r="L37" s="59">
        <v>2.0000000000000001E-4</v>
      </c>
      <c r="M37">
        <f t="shared" si="2"/>
        <v>96.817579599901578</v>
      </c>
      <c r="N37">
        <f t="shared" si="3"/>
        <v>387.27031839960625</v>
      </c>
      <c r="O37" s="60">
        <f>N37*$B$5*F37</f>
        <v>10162307.552422149</v>
      </c>
      <c r="P37" s="60">
        <f t="shared" si="4"/>
        <v>6522798.5156420516</v>
      </c>
      <c r="Q37" s="60">
        <f t="shared" si="5"/>
        <v>0</v>
      </c>
      <c r="R37" s="60">
        <f>P37-Q37</f>
        <v>6522798.5156420516</v>
      </c>
      <c r="S37" s="5"/>
      <c r="T37" s="53"/>
      <c r="U37" s="53"/>
      <c r="V37" s="60"/>
      <c r="W37" s="53"/>
    </row>
    <row r="38" spans="1:26" x14ac:dyDescent="0.35">
      <c r="R38" s="61">
        <f>SUM(R23:R37)</f>
        <v>104093444.44710922</v>
      </c>
      <c r="Y38" s="5"/>
      <c r="Z38" s="5"/>
    </row>
    <row r="39" spans="1:26" x14ac:dyDescent="0.35">
      <c r="C39" s="73" t="s">
        <v>102</v>
      </c>
      <c r="D39" s="74">
        <f>SUM(P23:P37)/SUM(Q23:Q37)</f>
        <v>7.8572014424873382</v>
      </c>
    </row>
    <row r="40" spans="1:26" x14ac:dyDescent="0.35">
      <c r="C40" s="76" t="s">
        <v>100</v>
      </c>
      <c r="D40" s="77">
        <f>IRR(R23:R37)</f>
        <v>0.67824508622926682</v>
      </c>
    </row>
    <row r="41" spans="1:26" x14ac:dyDescent="0.35">
      <c r="C41" s="75" t="s">
        <v>101</v>
      </c>
      <c r="D41" s="78">
        <f>SUM(R23:R38)</f>
        <v>208186888.89421844</v>
      </c>
    </row>
    <row r="44" spans="1:26" x14ac:dyDescent="0.35">
      <c r="A44" s="54" t="s">
        <v>115</v>
      </c>
    </row>
    <row r="45" spans="1:26" x14ac:dyDescent="0.35">
      <c r="B45" s="54" t="s">
        <v>0</v>
      </c>
      <c r="C45" s="54" t="s">
        <v>110</v>
      </c>
      <c r="D45" s="54" t="s">
        <v>112</v>
      </c>
      <c r="E45" s="62" t="s">
        <v>113</v>
      </c>
      <c r="F45" s="54" t="s">
        <v>105</v>
      </c>
      <c r="G45" s="54" t="s">
        <v>116</v>
      </c>
      <c r="H45" s="54" t="s">
        <v>119</v>
      </c>
      <c r="I45" s="54" t="s">
        <v>120</v>
      </c>
      <c r="J45" s="54" t="s">
        <v>106</v>
      </c>
      <c r="K45" s="54" t="s">
        <v>121</v>
      </c>
      <c r="L45" s="54" t="s">
        <v>86</v>
      </c>
      <c r="M45" s="54" t="s">
        <v>98</v>
      </c>
      <c r="N45" s="54" t="s">
        <v>99</v>
      </c>
    </row>
    <row r="46" spans="1:26" x14ac:dyDescent="0.35">
      <c r="B46">
        <v>2015</v>
      </c>
      <c r="C46" s="60">
        <v>360337552.742616</v>
      </c>
      <c r="D46" s="5">
        <v>0.67</v>
      </c>
      <c r="E46" s="60">
        <f>C46*D46</f>
        <v>241426160.33755273</v>
      </c>
      <c r="G46" s="60">
        <f>C46*$B$10</f>
        <v>9729113.924050631</v>
      </c>
    </row>
    <row r="47" spans="1:26" x14ac:dyDescent="0.35">
      <c r="B47">
        <v>2016</v>
      </c>
      <c r="C47" s="60">
        <v>401265822.78481013</v>
      </c>
      <c r="D47" s="5">
        <v>0.67</v>
      </c>
      <c r="E47" s="60">
        <f>C47*D47</f>
        <v>268848101.26582283</v>
      </c>
      <c r="G47" s="60">
        <f t="shared" ref="G47:G63" si="7">C47*$B$10</f>
        <v>10834177.215189874</v>
      </c>
    </row>
    <row r="48" spans="1:26" x14ac:dyDescent="0.35">
      <c r="B48">
        <v>2017</v>
      </c>
      <c r="C48" s="60">
        <f>C47*1.1</f>
        <v>441392405.06329119</v>
      </c>
      <c r="D48" s="5">
        <v>0.67</v>
      </c>
      <c r="E48" s="60">
        <f t="shared" ref="E48:E63" si="8">C48*D48</f>
        <v>295732911.39240509</v>
      </c>
      <c r="G48" s="60">
        <f t="shared" si="7"/>
        <v>11917594.936708862</v>
      </c>
      <c r="H48" s="4"/>
      <c r="I48" s="4"/>
      <c r="K48" s="4"/>
      <c r="O48" s="59"/>
      <c r="P48" s="59"/>
      <c r="Q48" s="59"/>
    </row>
    <row r="49" spans="1:26" x14ac:dyDescent="0.35">
      <c r="A49">
        <v>1</v>
      </c>
      <c r="B49">
        <v>2018</v>
      </c>
      <c r="C49" s="60">
        <f t="shared" ref="C49:C63" si="9">C48*1.1</f>
        <v>485531645.56962037</v>
      </c>
      <c r="D49" s="5">
        <v>0.67</v>
      </c>
      <c r="E49" s="60">
        <f t="shared" si="8"/>
        <v>325306202.53164566</v>
      </c>
      <c r="F49">
        <f>0</f>
        <v>0</v>
      </c>
      <c r="G49" s="60">
        <f t="shared" si="7"/>
        <v>13109354.43037975</v>
      </c>
      <c r="H49" s="4">
        <v>0</v>
      </c>
      <c r="I49" s="60">
        <f>F49+H49</f>
        <v>0</v>
      </c>
      <c r="J49" s="60">
        <f>2950000/5</f>
        <v>590000</v>
      </c>
      <c r="K49" s="60">
        <f>I49-J49</f>
        <v>-590000</v>
      </c>
      <c r="L49" s="60">
        <f>I49*(1+$B$3)^-A49</f>
        <v>0</v>
      </c>
      <c r="M49" s="60">
        <f>J49</f>
        <v>590000</v>
      </c>
      <c r="N49" s="61">
        <f>L49-M49</f>
        <v>-590000</v>
      </c>
      <c r="O49" s="59"/>
      <c r="Q49" s="59"/>
    </row>
    <row r="50" spans="1:26" x14ac:dyDescent="0.35">
      <c r="A50">
        <v>2</v>
      </c>
      <c r="B50">
        <v>2019</v>
      </c>
      <c r="C50" s="60">
        <f t="shared" si="9"/>
        <v>534084810.12658244</v>
      </c>
      <c r="D50" s="5">
        <v>0.66</v>
      </c>
      <c r="E50" s="60">
        <f t="shared" si="8"/>
        <v>352495974.68354446</v>
      </c>
      <c r="F50">
        <f>0</f>
        <v>0</v>
      </c>
      <c r="G50" s="60">
        <f t="shared" si="7"/>
        <v>14420289.873417726</v>
      </c>
      <c r="H50" s="4">
        <v>0</v>
      </c>
      <c r="I50" s="60">
        <f t="shared" ref="I50:I63" si="10">F50+H50</f>
        <v>0</v>
      </c>
      <c r="J50" s="60">
        <f t="shared" ref="J50:J53" si="11">2950000/5</f>
        <v>590000</v>
      </c>
      <c r="K50" s="60">
        <f t="shared" ref="K50:K63" si="12">I50-J50</f>
        <v>-590000</v>
      </c>
      <c r="L50" s="60">
        <f t="shared" ref="L50:L63" si="13">I50*(1+$B$3)^-A50</f>
        <v>0</v>
      </c>
      <c r="M50" s="60">
        <f t="shared" ref="M50:M63" si="14">J50*(1+$B$3)^-A50</f>
        <v>520178.97683440242</v>
      </c>
      <c r="N50" s="61">
        <f t="shared" ref="N50:N63" si="15">L50-M50</f>
        <v>-520178.97683440242</v>
      </c>
      <c r="O50" s="59"/>
      <c r="Q50" s="59"/>
    </row>
    <row r="51" spans="1:26" x14ac:dyDescent="0.35">
      <c r="A51">
        <v>3</v>
      </c>
      <c r="B51">
        <v>2020</v>
      </c>
      <c r="C51" s="60">
        <f t="shared" si="9"/>
        <v>587493291.13924074</v>
      </c>
      <c r="D51" s="5">
        <v>0.65</v>
      </c>
      <c r="E51" s="60">
        <f t="shared" si="8"/>
        <v>381870639.24050647</v>
      </c>
      <c r="F51">
        <v>0</v>
      </c>
      <c r="G51" s="60">
        <f t="shared" si="7"/>
        <v>15862318.8607595</v>
      </c>
      <c r="H51" s="4">
        <v>0</v>
      </c>
      <c r="I51" s="60">
        <f t="shared" si="10"/>
        <v>0</v>
      </c>
      <c r="J51" s="60">
        <f t="shared" si="11"/>
        <v>590000</v>
      </c>
      <c r="K51" s="60">
        <f t="shared" si="12"/>
        <v>-590000</v>
      </c>
      <c r="L51" s="60">
        <f t="shared" si="13"/>
        <v>0</v>
      </c>
      <c r="M51" s="60">
        <f t="shared" si="14"/>
        <v>488430.96416375815</v>
      </c>
      <c r="N51" s="61">
        <f t="shared" si="15"/>
        <v>-488430.96416375815</v>
      </c>
      <c r="O51" s="59"/>
      <c r="Q51" s="59"/>
      <c r="V51" s="5"/>
      <c r="W51" s="53"/>
      <c r="X51" s="53"/>
      <c r="Y51" s="60"/>
      <c r="Z51" s="53"/>
    </row>
    <row r="52" spans="1:26" x14ac:dyDescent="0.35">
      <c r="A52">
        <v>4</v>
      </c>
      <c r="B52">
        <v>2021</v>
      </c>
      <c r="C52" s="60">
        <f t="shared" si="9"/>
        <v>646242620.25316489</v>
      </c>
      <c r="D52" s="5">
        <v>0.62</v>
      </c>
      <c r="E52" s="60">
        <f t="shared" si="8"/>
        <v>400670424.55696225</v>
      </c>
      <c r="F52">
        <v>0</v>
      </c>
      <c r="G52" s="60">
        <f t="shared" si="7"/>
        <v>17448550.746835452</v>
      </c>
      <c r="H52" s="4">
        <f>G52*$B$9</f>
        <v>1221398.5522784817</v>
      </c>
      <c r="I52" s="60">
        <f t="shared" si="10"/>
        <v>1221398.5522784817</v>
      </c>
      <c r="J52" s="60">
        <f t="shared" si="11"/>
        <v>590000</v>
      </c>
      <c r="K52" s="60">
        <f t="shared" si="12"/>
        <v>631398.55227848166</v>
      </c>
      <c r="L52" s="60">
        <f t="shared" si="13"/>
        <v>949421.29787156405</v>
      </c>
      <c r="M52" s="60">
        <f t="shared" si="14"/>
        <v>458620.623627942</v>
      </c>
      <c r="N52" s="61">
        <f t="shared" si="15"/>
        <v>490800.67424362205</v>
      </c>
      <c r="O52" s="59"/>
      <c r="Q52" s="59"/>
      <c r="V52" s="5"/>
      <c r="W52" s="53"/>
      <c r="X52" s="53"/>
      <c r="Y52" s="60"/>
      <c r="Z52" s="53"/>
    </row>
    <row r="53" spans="1:26" x14ac:dyDescent="0.35">
      <c r="A53">
        <v>5</v>
      </c>
      <c r="B53">
        <v>2022</v>
      </c>
      <c r="C53" s="60">
        <f t="shared" si="9"/>
        <v>710866882.27848148</v>
      </c>
      <c r="D53" s="5">
        <v>0.6</v>
      </c>
      <c r="E53" s="60">
        <f t="shared" si="8"/>
        <v>426520129.36708885</v>
      </c>
      <c r="F53">
        <v>0</v>
      </c>
      <c r="G53" s="60">
        <f t="shared" si="7"/>
        <v>19193405.821518999</v>
      </c>
      <c r="H53" s="4">
        <f t="shared" ref="H53:H63" si="16">G53*$B$9</f>
        <v>1343538.4075063299</v>
      </c>
      <c r="I53" s="60">
        <f t="shared" si="10"/>
        <v>1343538.4075063299</v>
      </c>
      <c r="J53" s="60">
        <f>2950000/5</f>
        <v>590000</v>
      </c>
      <c r="K53" s="60">
        <f t="shared" si="12"/>
        <v>753538.40750632994</v>
      </c>
      <c r="L53" s="60">
        <f t="shared" si="13"/>
        <v>980622.93676875171</v>
      </c>
      <c r="M53" s="60">
        <f t="shared" si="14"/>
        <v>430629.69354736339</v>
      </c>
      <c r="N53" s="61">
        <f t="shared" si="15"/>
        <v>549993.24322138831</v>
      </c>
      <c r="O53" s="59"/>
      <c r="Q53" s="59"/>
      <c r="V53" s="5"/>
      <c r="W53" s="53"/>
      <c r="X53" s="53"/>
      <c r="Y53" s="60"/>
      <c r="Z53" s="53"/>
    </row>
    <row r="54" spans="1:26" x14ac:dyDescent="0.35">
      <c r="A54">
        <v>6</v>
      </c>
      <c r="B54">
        <v>2023</v>
      </c>
      <c r="C54" s="60">
        <f t="shared" si="9"/>
        <v>781953570.50632966</v>
      </c>
      <c r="D54" s="5">
        <v>0.57999999999999996</v>
      </c>
      <c r="E54" s="60">
        <f t="shared" si="8"/>
        <v>453533070.89367115</v>
      </c>
      <c r="F54">
        <f t="shared" ref="F54:F63" si="17">E54*$B$7</f>
        <v>2721198.4253620268</v>
      </c>
      <c r="G54" s="60">
        <f t="shared" si="7"/>
        <v>21112746.4036709</v>
      </c>
      <c r="H54" s="4">
        <f t="shared" si="16"/>
        <v>1477892.2482569632</v>
      </c>
      <c r="I54" s="60">
        <f t="shared" si="10"/>
        <v>4199090.67361899</v>
      </c>
      <c r="J54" s="4"/>
      <c r="K54" s="60">
        <f t="shared" si="12"/>
        <v>4199090.67361899</v>
      </c>
      <c r="L54" s="60">
        <f t="shared" si="13"/>
        <v>2877780.1065618484</v>
      </c>
      <c r="M54" s="60">
        <f t="shared" si="14"/>
        <v>0</v>
      </c>
      <c r="N54" s="61">
        <f t="shared" si="15"/>
        <v>2877780.1065618484</v>
      </c>
      <c r="O54" s="59"/>
      <c r="Q54" s="59"/>
      <c r="V54" s="5"/>
      <c r="W54" s="53"/>
      <c r="X54" s="53"/>
      <c r="Y54" s="60"/>
      <c r="Z54" s="53"/>
    </row>
    <row r="55" spans="1:26" x14ac:dyDescent="0.35">
      <c r="A55">
        <v>7</v>
      </c>
      <c r="B55">
        <v>2024</v>
      </c>
      <c r="C55" s="60">
        <f t="shared" si="9"/>
        <v>860148927.55696273</v>
      </c>
      <c r="D55" s="5">
        <v>0.57999999999999996</v>
      </c>
      <c r="E55" s="60">
        <f t="shared" si="8"/>
        <v>498886377.98303837</v>
      </c>
      <c r="F55">
        <f t="shared" si="17"/>
        <v>2993318.2678982303</v>
      </c>
      <c r="G55" s="60">
        <f t="shared" si="7"/>
        <v>23224021.044037994</v>
      </c>
      <c r="H55" s="4">
        <f t="shared" si="16"/>
        <v>1625681.4730826598</v>
      </c>
      <c r="I55" s="60">
        <f t="shared" si="10"/>
        <v>4618999.7409808896</v>
      </c>
      <c r="J55" s="4"/>
      <c r="K55" s="60">
        <f t="shared" si="12"/>
        <v>4618999.7409808896</v>
      </c>
      <c r="L55" s="60">
        <f t="shared" si="13"/>
        <v>2972355.0396413468</v>
      </c>
      <c r="M55" s="60">
        <f t="shared" si="14"/>
        <v>0</v>
      </c>
      <c r="N55" s="61">
        <f t="shared" si="15"/>
        <v>2972355.0396413468</v>
      </c>
      <c r="O55" s="59"/>
      <c r="Q55" s="59"/>
      <c r="V55" s="5"/>
      <c r="W55" s="53"/>
      <c r="X55" s="53"/>
      <c r="Y55" s="60"/>
      <c r="Z55" s="53"/>
    </row>
    <row r="56" spans="1:26" x14ac:dyDescent="0.35">
      <c r="A56">
        <v>8</v>
      </c>
      <c r="B56">
        <v>2025</v>
      </c>
      <c r="C56" s="60">
        <f t="shared" si="9"/>
        <v>946163820.31265903</v>
      </c>
      <c r="D56" s="5">
        <v>0.57999999999999996</v>
      </c>
      <c r="E56" s="60">
        <f t="shared" si="8"/>
        <v>548775015.78134215</v>
      </c>
      <c r="F56">
        <f t="shared" si="17"/>
        <v>3292650.0946880528</v>
      </c>
      <c r="G56" s="60">
        <f t="shared" si="7"/>
        <v>25546423.148441792</v>
      </c>
      <c r="H56" s="4">
        <f t="shared" si="16"/>
        <v>1788249.6203909256</v>
      </c>
      <c r="I56" s="60">
        <f t="shared" si="10"/>
        <v>5080899.7150789779</v>
      </c>
      <c r="J56" s="4"/>
      <c r="K56" s="60">
        <f t="shared" si="12"/>
        <v>5080899.7150789779</v>
      </c>
      <c r="L56" s="60">
        <f t="shared" si="13"/>
        <v>3070038.0691131279</v>
      </c>
      <c r="M56" s="60">
        <f t="shared" si="14"/>
        <v>0</v>
      </c>
      <c r="N56" s="61">
        <f t="shared" si="15"/>
        <v>3070038.0691131279</v>
      </c>
      <c r="O56" s="59"/>
      <c r="Q56" s="59"/>
      <c r="V56" s="5"/>
      <c r="W56" s="53"/>
      <c r="X56" s="53"/>
      <c r="Y56" s="60"/>
      <c r="Z56" s="53"/>
    </row>
    <row r="57" spans="1:26" x14ac:dyDescent="0.35">
      <c r="A57">
        <v>9</v>
      </c>
      <c r="B57">
        <v>2026</v>
      </c>
      <c r="C57" s="60">
        <f t="shared" si="9"/>
        <v>1040780202.343925</v>
      </c>
      <c r="D57" s="5">
        <v>0.57999999999999996</v>
      </c>
      <c r="E57" s="60">
        <f t="shared" si="8"/>
        <v>603652517.35947645</v>
      </c>
      <c r="F57">
        <f t="shared" si="17"/>
        <v>3621915.1041568588</v>
      </c>
      <c r="G57" s="60">
        <f t="shared" si="7"/>
        <v>28101065.463285975</v>
      </c>
      <c r="H57" s="4">
        <f t="shared" si="16"/>
        <v>1967074.5824300183</v>
      </c>
      <c r="I57" s="60">
        <f t="shared" si="10"/>
        <v>5588989.6865868773</v>
      </c>
      <c r="J57" s="4"/>
      <c r="K57" s="60">
        <f t="shared" si="12"/>
        <v>5588989.6865868773</v>
      </c>
      <c r="L57" s="60">
        <f t="shared" si="13"/>
        <v>3170931.3389900862</v>
      </c>
      <c r="M57" s="60">
        <f t="shared" si="14"/>
        <v>0</v>
      </c>
      <c r="N57" s="61">
        <f t="shared" si="15"/>
        <v>3170931.3389900862</v>
      </c>
      <c r="O57" s="59"/>
      <c r="Q57" s="59"/>
      <c r="V57" s="5"/>
      <c r="W57" s="53"/>
      <c r="X57" s="53"/>
      <c r="Y57" s="60"/>
      <c r="Z57" s="53"/>
    </row>
    <row r="58" spans="1:26" x14ac:dyDescent="0.35">
      <c r="A58">
        <v>10</v>
      </c>
      <c r="B58">
        <v>2027</v>
      </c>
      <c r="C58" s="60">
        <f t="shared" si="9"/>
        <v>1144858222.5783176</v>
      </c>
      <c r="D58" s="5">
        <v>0.57999999999999996</v>
      </c>
      <c r="E58" s="60">
        <f t="shared" si="8"/>
        <v>664017769.09542418</v>
      </c>
      <c r="F58">
        <f t="shared" si="17"/>
        <v>3984106.614572545</v>
      </c>
      <c r="G58" s="60">
        <f t="shared" si="7"/>
        <v>30911172.009614576</v>
      </c>
      <c r="H58" s="4">
        <f t="shared" si="16"/>
        <v>2163782.0406730203</v>
      </c>
      <c r="I58" s="60">
        <f t="shared" si="10"/>
        <v>6147888.6552455649</v>
      </c>
      <c r="J58" s="4"/>
      <c r="K58" s="60">
        <f t="shared" si="12"/>
        <v>6147888.6552455649</v>
      </c>
      <c r="L58" s="60">
        <f t="shared" si="13"/>
        <v>3275140.3501306055</v>
      </c>
      <c r="M58" s="60">
        <f t="shared" si="14"/>
        <v>0</v>
      </c>
      <c r="N58" s="61">
        <f t="shared" si="15"/>
        <v>3275140.3501306055</v>
      </c>
      <c r="O58" s="59"/>
      <c r="Q58" s="59"/>
      <c r="V58" s="5"/>
      <c r="W58" s="53"/>
      <c r="X58" s="53"/>
      <c r="Y58" s="60"/>
      <c r="Z58" s="53"/>
    </row>
    <row r="59" spans="1:26" x14ac:dyDescent="0.35">
      <c r="A59">
        <v>11</v>
      </c>
      <c r="B59">
        <v>2028</v>
      </c>
      <c r="C59" s="60">
        <f t="shared" si="9"/>
        <v>1259344044.8361495</v>
      </c>
      <c r="D59" s="5">
        <v>0.57999999999999996</v>
      </c>
      <c r="E59" s="60">
        <f t="shared" si="8"/>
        <v>730419546.00496662</v>
      </c>
      <c r="F59">
        <f t="shared" si="17"/>
        <v>4382517.2760298001</v>
      </c>
      <c r="G59" s="60">
        <f t="shared" si="7"/>
        <v>34002289.210576035</v>
      </c>
      <c r="H59" s="4">
        <f t="shared" si="16"/>
        <v>2380160.2447403227</v>
      </c>
      <c r="I59" s="60">
        <f t="shared" si="10"/>
        <v>6762677.5207701232</v>
      </c>
      <c r="J59" s="4"/>
      <c r="K59" s="60">
        <f t="shared" si="12"/>
        <v>6762677.5207701232</v>
      </c>
      <c r="L59" s="60">
        <f t="shared" si="13"/>
        <v>3382774.0705574346</v>
      </c>
      <c r="M59" s="60">
        <f t="shared" si="14"/>
        <v>0</v>
      </c>
      <c r="N59" s="61">
        <f t="shared" si="15"/>
        <v>3382774.0705574346</v>
      </c>
      <c r="O59" s="59"/>
      <c r="Q59" s="59"/>
      <c r="V59" s="5"/>
      <c r="W59" s="53"/>
      <c r="X59" s="53"/>
      <c r="Y59" s="60"/>
      <c r="Z59" s="53"/>
    </row>
    <row r="60" spans="1:26" x14ac:dyDescent="0.35">
      <c r="A60">
        <v>12</v>
      </c>
      <c r="B60">
        <v>2029</v>
      </c>
      <c r="C60" s="60">
        <f t="shared" si="9"/>
        <v>1385278449.3197646</v>
      </c>
      <c r="D60" s="5">
        <v>0.57999999999999996</v>
      </c>
      <c r="E60" s="60">
        <f t="shared" si="8"/>
        <v>803461500.60546339</v>
      </c>
      <c r="F60">
        <f t="shared" si="17"/>
        <v>4820769.0036327802</v>
      </c>
      <c r="G60" s="60">
        <f t="shared" si="7"/>
        <v>37402518.131633647</v>
      </c>
      <c r="H60" s="4">
        <f t="shared" si="16"/>
        <v>2618176.2692143554</v>
      </c>
      <c r="I60" s="60">
        <f t="shared" si="10"/>
        <v>7438945.2728471356</v>
      </c>
      <c r="J60" s="4"/>
      <c r="K60" s="60">
        <f t="shared" si="12"/>
        <v>7438945.2728471356</v>
      </c>
      <c r="L60" s="60">
        <f t="shared" si="13"/>
        <v>3493945.0494020456</v>
      </c>
      <c r="M60" s="60">
        <f t="shared" si="14"/>
        <v>0</v>
      </c>
      <c r="N60" s="61">
        <f t="shared" si="15"/>
        <v>3493945.0494020456</v>
      </c>
      <c r="O60" s="59"/>
      <c r="Q60" s="59"/>
      <c r="V60" s="5"/>
      <c r="W60" s="53"/>
      <c r="X60" s="53"/>
      <c r="Y60" s="60"/>
      <c r="Z60" s="53"/>
    </row>
    <row r="61" spans="1:26" x14ac:dyDescent="0.35">
      <c r="A61">
        <v>13</v>
      </c>
      <c r="B61">
        <v>2030</v>
      </c>
      <c r="C61" s="60">
        <f t="shared" si="9"/>
        <v>1523806294.2517412</v>
      </c>
      <c r="D61" s="5">
        <v>0.57999999999999996</v>
      </c>
      <c r="E61" s="60">
        <f t="shared" si="8"/>
        <v>883807650.66600978</v>
      </c>
      <c r="F61">
        <f t="shared" si="17"/>
        <v>5302845.9039960587</v>
      </c>
      <c r="G61" s="60">
        <f t="shared" si="7"/>
        <v>41142769.944797009</v>
      </c>
      <c r="H61" s="4">
        <f t="shared" si="16"/>
        <v>2879993.8961357907</v>
      </c>
      <c r="I61" s="60">
        <f t="shared" si="10"/>
        <v>8182839.8001318499</v>
      </c>
      <c r="J61" s="4"/>
      <c r="K61" s="60">
        <f t="shared" si="12"/>
        <v>8182839.8001318499</v>
      </c>
      <c r="L61" s="60">
        <f t="shared" si="13"/>
        <v>3608769.5345936622</v>
      </c>
      <c r="M61" s="60">
        <f t="shared" si="14"/>
        <v>0</v>
      </c>
      <c r="N61" s="61">
        <f t="shared" si="15"/>
        <v>3608769.5345936622</v>
      </c>
      <c r="O61" s="59"/>
      <c r="Q61" s="59"/>
      <c r="V61" s="5"/>
      <c r="W61" s="53"/>
      <c r="X61" s="53"/>
      <c r="Y61" s="60"/>
      <c r="Z61" s="53"/>
    </row>
    <row r="62" spans="1:26" x14ac:dyDescent="0.35">
      <c r="A62">
        <v>14</v>
      </c>
      <c r="B62">
        <v>2031</v>
      </c>
      <c r="C62" s="60">
        <f t="shared" si="9"/>
        <v>1676186923.6769154</v>
      </c>
      <c r="D62" s="5">
        <v>0.57999999999999996</v>
      </c>
      <c r="E62" s="60">
        <f t="shared" si="8"/>
        <v>972188415.73261082</v>
      </c>
      <c r="F62">
        <f t="shared" si="17"/>
        <v>5833130.4943956649</v>
      </c>
      <c r="G62" s="60">
        <f t="shared" si="7"/>
        <v>45257046.939276718</v>
      </c>
      <c r="H62" s="4">
        <f t="shared" si="16"/>
        <v>3167993.2857493707</v>
      </c>
      <c r="I62" s="60">
        <f t="shared" si="10"/>
        <v>9001123.7801450361</v>
      </c>
      <c r="J62" s="4"/>
      <c r="K62" s="60">
        <f t="shared" si="12"/>
        <v>9001123.7801450361</v>
      </c>
      <c r="L62" s="60">
        <f t="shared" si="13"/>
        <v>3727367.5944159897</v>
      </c>
      <c r="M62" s="60">
        <f t="shared" si="14"/>
        <v>0</v>
      </c>
      <c r="N62" s="61">
        <f t="shared" si="15"/>
        <v>3727367.5944159897</v>
      </c>
      <c r="O62" s="59"/>
      <c r="Q62" s="59"/>
      <c r="V62" s="5"/>
      <c r="W62" s="53"/>
      <c r="X62" s="53"/>
      <c r="Y62" s="60"/>
      <c r="Z62" s="53"/>
    </row>
    <row r="63" spans="1:26" x14ac:dyDescent="0.35">
      <c r="A63">
        <v>15</v>
      </c>
      <c r="B63">
        <v>2032</v>
      </c>
      <c r="C63" s="60">
        <f t="shared" si="9"/>
        <v>1843805616.0446072</v>
      </c>
      <c r="D63" s="5">
        <v>0.57999999999999996</v>
      </c>
      <c r="E63" s="60">
        <f t="shared" si="8"/>
        <v>1069407257.3058721</v>
      </c>
      <c r="F63">
        <f t="shared" si="17"/>
        <v>6416443.543835233</v>
      </c>
      <c r="G63" s="60">
        <f t="shared" si="7"/>
        <v>49782751.633204393</v>
      </c>
      <c r="H63" s="4">
        <f t="shared" si="16"/>
        <v>3484792.614324308</v>
      </c>
      <c r="I63" s="60">
        <f t="shared" si="10"/>
        <v>9901236.158159541</v>
      </c>
      <c r="J63" s="4"/>
      <c r="K63" s="60">
        <f t="shared" si="12"/>
        <v>9901236.158159541</v>
      </c>
      <c r="L63" s="60">
        <f t="shared" si="13"/>
        <v>3849863.2430587704</v>
      </c>
      <c r="M63" s="60">
        <f t="shared" si="14"/>
        <v>0</v>
      </c>
      <c r="N63" s="61">
        <f t="shared" si="15"/>
        <v>3849863.2430587704</v>
      </c>
      <c r="O63" s="59"/>
      <c r="Q63" s="59"/>
      <c r="V63" s="5"/>
      <c r="W63" s="53"/>
      <c r="X63" s="53"/>
      <c r="Y63" s="60"/>
      <c r="Z63" s="53"/>
    </row>
    <row r="64" spans="1:26" x14ac:dyDescent="0.35">
      <c r="G64" s="3"/>
      <c r="I64" s="4"/>
      <c r="J64" s="4"/>
      <c r="L64" s="4"/>
      <c r="O64" s="59"/>
      <c r="Q64" s="59"/>
      <c r="V64" s="5"/>
      <c r="W64" s="53"/>
      <c r="X64" s="53"/>
      <c r="Y64" s="60"/>
      <c r="Z64" s="53"/>
    </row>
    <row r="65" spans="3:26" x14ac:dyDescent="0.35">
      <c r="C65" s="73" t="s">
        <v>102</v>
      </c>
      <c r="D65" s="74">
        <f>SUM(I49:I63)/SUM(J49:J63)</f>
        <v>23.555128123169425</v>
      </c>
      <c r="G65" s="3"/>
      <c r="I65" s="4"/>
      <c r="J65" s="4"/>
      <c r="L65" s="4"/>
      <c r="O65" s="59"/>
      <c r="Q65" s="59"/>
      <c r="V65" s="5"/>
      <c r="W65" s="53"/>
      <c r="X65" s="53"/>
      <c r="Y65" s="60"/>
      <c r="Z65" s="53"/>
    </row>
    <row r="66" spans="3:26" x14ac:dyDescent="0.35">
      <c r="C66" s="76" t="s">
        <v>100</v>
      </c>
      <c r="D66" s="77">
        <f>IRR(K49:K63)</f>
        <v>0.67270294002043562</v>
      </c>
      <c r="Y66" s="5"/>
      <c r="Z66" s="5"/>
    </row>
    <row r="67" spans="3:26" x14ac:dyDescent="0.35">
      <c r="C67" s="75" t="s">
        <v>101</v>
      </c>
      <c r="D67" s="78">
        <f>SUM(N49:N63)</f>
        <v>32871148.372931767</v>
      </c>
    </row>
    <row r="69" spans="3:26" x14ac:dyDescent="0.35">
      <c r="C69" s="54"/>
    </row>
    <row r="70" spans="3:26" x14ac:dyDescent="0.35">
      <c r="C70" s="58"/>
    </row>
  </sheetData>
  <mergeCells count="2">
    <mergeCell ref="E22:E37"/>
    <mergeCell ref="A1:B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D25" sqref="D25"/>
    </sheetView>
  </sheetViews>
  <sheetFormatPr defaultRowHeight="14.5" x14ac:dyDescent="0.35"/>
  <cols>
    <col min="1" max="1" width="33.7265625" bestFit="1" customWidth="1"/>
    <col min="2" max="2" width="24.7265625" bestFit="1" customWidth="1"/>
    <col min="3" max="3" width="33.1796875" bestFit="1" customWidth="1"/>
    <col min="4" max="4" width="34.81640625" bestFit="1" customWidth="1"/>
    <col min="5" max="5" width="20.7265625" customWidth="1"/>
    <col min="6" max="6" width="21.1796875" customWidth="1"/>
    <col min="7" max="7" width="26.26953125" customWidth="1"/>
    <col min="9" max="9" width="11.81640625" bestFit="1" customWidth="1"/>
  </cols>
  <sheetData>
    <row r="1" spans="1:9" x14ac:dyDescent="0.35">
      <c r="A1" s="118"/>
      <c r="B1" s="119">
        <v>2015</v>
      </c>
      <c r="C1" s="119"/>
      <c r="D1" s="119"/>
      <c r="E1" s="119">
        <v>2016</v>
      </c>
      <c r="F1" s="119"/>
      <c r="G1" s="120"/>
    </row>
    <row r="2" spans="1:9" x14ac:dyDescent="0.35">
      <c r="A2" s="121" t="s">
        <v>49</v>
      </c>
      <c r="B2" s="122" t="s">
        <v>59</v>
      </c>
      <c r="C2" s="122" t="s">
        <v>60</v>
      </c>
      <c r="D2" s="122" t="s">
        <v>61</v>
      </c>
      <c r="E2" s="122" t="s">
        <v>59</v>
      </c>
      <c r="F2" s="122" t="s">
        <v>60</v>
      </c>
      <c r="G2" s="123" t="s">
        <v>61</v>
      </c>
    </row>
    <row r="3" spans="1:9" x14ac:dyDescent="0.35">
      <c r="A3" s="124" t="s">
        <v>50</v>
      </c>
      <c r="B3" s="125">
        <v>3256</v>
      </c>
      <c r="C3" s="125">
        <v>19243930</v>
      </c>
      <c r="D3" s="126">
        <f>C3/B3</f>
        <v>5910.2979115479111</v>
      </c>
      <c r="E3" s="125">
        <v>1966</v>
      </c>
      <c r="F3" s="125">
        <v>11929417</v>
      </c>
      <c r="G3" s="127">
        <f>F3/E3</f>
        <v>6067.8621566632755</v>
      </c>
    </row>
    <row r="4" spans="1:9" x14ac:dyDescent="0.35">
      <c r="A4" s="124" t="s">
        <v>51</v>
      </c>
      <c r="B4" s="125">
        <v>236456</v>
      </c>
      <c r="C4" s="125">
        <v>357241342</v>
      </c>
      <c r="D4" s="126">
        <f t="shared" ref="D4:D11" si="0">C4/B4</f>
        <v>1510.8152975606456</v>
      </c>
      <c r="E4" s="125">
        <v>139313</v>
      </c>
      <c r="F4" s="125">
        <v>203189629</v>
      </c>
      <c r="G4" s="127">
        <f t="shared" ref="G4:G11" si="1">F4/E4</f>
        <v>1458.5116177241177</v>
      </c>
    </row>
    <row r="5" spans="1:9" x14ac:dyDescent="0.35">
      <c r="A5" s="124" t="s">
        <v>52</v>
      </c>
      <c r="B5" s="125">
        <v>44376</v>
      </c>
      <c r="C5" s="125">
        <v>22520826</v>
      </c>
      <c r="D5" s="126">
        <f t="shared" si="0"/>
        <v>507.50013520822068</v>
      </c>
      <c r="E5" s="125">
        <v>23955</v>
      </c>
      <c r="F5" s="125">
        <v>11403455</v>
      </c>
      <c r="G5" s="127">
        <f t="shared" si="1"/>
        <v>476.03652682112295</v>
      </c>
    </row>
    <row r="6" spans="1:9" x14ac:dyDescent="0.35">
      <c r="A6" s="124" t="s">
        <v>53</v>
      </c>
      <c r="B6" s="125">
        <v>110233</v>
      </c>
      <c r="C6" s="125">
        <v>99157311</v>
      </c>
      <c r="D6" s="126">
        <f t="shared" si="0"/>
        <v>899.52474304427892</v>
      </c>
      <c r="E6" s="125">
        <v>56377</v>
      </c>
      <c r="F6" s="125">
        <v>50773346</v>
      </c>
      <c r="G6" s="127">
        <f t="shared" si="1"/>
        <v>900.60389875303758</v>
      </c>
    </row>
    <row r="7" spans="1:9" x14ac:dyDescent="0.35">
      <c r="A7" s="124" t="s">
        <v>54</v>
      </c>
      <c r="B7" s="125">
        <v>50508</v>
      </c>
      <c r="C7" s="125">
        <v>29931673</v>
      </c>
      <c r="D7" s="126">
        <f t="shared" si="0"/>
        <v>592.61251682901718</v>
      </c>
      <c r="E7" s="125">
        <v>23081</v>
      </c>
      <c r="F7" s="125">
        <v>13929173</v>
      </c>
      <c r="G7" s="127">
        <f t="shared" si="1"/>
        <v>603.49087994454317</v>
      </c>
    </row>
    <row r="8" spans="1:9" x14ac:dyDescent="0.35">
      <c r="A8" s="124" t="s">
        <v>55</v>
      </c>
      <c r="B8" s="125">
        <v>717486</v>
      </c>
      <c r="C8" s="125">
        <v>59126127</v>
      </c>
      <c r="D8" s="126">
        <f t="shared" si="0"/>
        <v>82.407359864861476</v>
      </c>
      <c r="E8" s="125">
        <v>387872</v>
      </c>
      <c r="F8" s="125">
        <v>32871661</v>
      </c>
      <c r="G8" s="127">
        <f t="shared" si="1"/>
        <v>84.748734118472072</v>
      </c>
    </row>
    <row r="9" spans="1:9" x14ac:dyDescent="0.35">
      <c r="A9" s="124" t="s">
        <v>56</v>
      </c>
      <c r="B9" s="125">
        <v>10107374</v>
      </c>
      <c r="C9" s="125">
        <v>60079736</v>
      </c>
      <c r="D9" s="126">
        <f t="shared" si="0"/>
        <v>5.9441488956478707</v>
      </c>
      <c r="E9" s="125">
        <v>6295968</v>
      </c>
      <c r="F9" s="125">
        <v>35105710</v>
      </c>
      <c r="G9" s="127">
        <f t="shared" si="1"/>
        <v>5.5759034988742</v>
      </c>
    </row>
    <row r="10" spans="1:9" x14ac:dyDescent="0.35">
      <c r="A10" s="124" t="s">
        <v>57</v>
      </c>
      <c r="B10" s="125">
        <v>4424</v>
      </c>
      <c r="C10" s="125">
        <v>20853</v>
      </c>
      <c r="D10" s="126">
        <f t="shared" si="0"/>
        <v>4.7136075949367084</v>
      </c>
      <c r="E10" s="125">
        <v>3202</v>
      </c>
      <c r="F10" s="125">
        <v>13154</v>
      </c>
      <c r="G10" s="127">
        <f t="shared" si="1"/>
        <v>4.108057464084947</v>
      </c>
    </row>
    <row r="11" spans="1:9" x14ac:dyDescent="0.35">
      <c r="A11" s="128" t="s">
        <v>58</v>
      </c>
      <c r="B11" s="129">
        <v>11274113</v>
      </c>
      <c r="C11" s="129">
        <v>647321798</v>
      </c>
      <c r="D11" s="130">
        <f t="shared" si="0"/>
        <v>57.416649806508062</v>
      </c>
      <c r="E11" s="129">
        <v>6931734</v>
      </c>
      <c r="F11" s="129">
        <v>359215545</v>
      </c>
      <c r="G11" s="131">
        <f t="shared" si="1"/>
        <v>51.821888289423683</v>
      </c>
      <c r="I11" s="58"/>
    </row>
    <row r="14" spans="1:9" x14ac:dyDescent="0.35">
      <c r="A14" s="132" t="s">
        <v>69</v>
      </c>
      <c r="B14" s="133">
        <v>2015</v>
      </c>
      <c r="C14" s="137" t="s">
        <v>63</v>
      </c>
      <c r="D14" s="136" t="s">
        <v>108</v>
      </c>
      <c r="E14" s="137" t="s">
        <v>109</v>
      </c>
    </row>
    <row r="15" spans="1:9" x14ac:dyDescent="0.35">
      <c r="A15" s="124" t="s">
        <v>62</v>
      </c>
      <c r="B15" s="102">
        <v>854</v>
      </c>
      <c r="C15" s="109">
        <v>951</v>
      </c>
      <c r="D15" s="138">
        <f>B15*1000000/$B$42</f>
        <v>360337552.742616</v>
      </c>
      <c r="E15" s="139">
        <f>C15*1000000/$B$42</f>
        <v>401265822.78481013</v>
      </c>
    </row>
    <row r="16" spans="1:9" x14ac:dyDescent="0.35">
      <c r="A16" s="134" t="s">
        <v>64</v>
      </c>
      <c r="B16" s="102">
        <v>647</v>
      </c>
      <c r="C16" s="109">
        <v>720</v>
      </c>
    </row>
    <row r="17" spans="1:3" x14ac:dyDescent="0.35">
      <c r="A17" s="134" t="s">
        <v>65</v>
      </c>
      <c r="B17" s="102">
        <v>0</v>
      </c>
      <c r="C17" s="109">
        <v>0</v>
      </c>
    </row>
    <row r="18" spans="1:3" x14ac:dyDescent="0.35">
      <c r="A18" s="134" t="s">
        <v>66</v>
      </c>
      <c r="B18" s="102">
        <v>68</v>
      </c>
      <c r="C18" s="109">
        <v>84</v>
      </c>
    </row>
    <row r="19" spans="1:3" x14ac:dyDescent="0.35">
      <c r="A19" s="134" t="s">
        <v>67</v>
      </c>
      <c r="B19" s="102">
        <v>139</v>
      </c>
      <c r="C19" s="109">
        <v>5</v>
      </c>
    </row>
    <row r="20" spans="1:3" x14ac:dyDescent="0.35">
      <c r="A20" s="135" t="s">
        <v>68</v>
      </c>
      <c r="B20" s="106">
        <v>0</v>
      </c>
      <c r="C20" s="111">
        <v>142</v>
      </c>
    </row>
    <row r="21" spans="1:3" x14ac:dyDescent="0.35">
      <c r="A21" s="57"/>
    </row>
    <row r="22" spans="1:3" x14ac:dyDescent="0.35">
      <c r="A22" s="118"/>
      <c r="B22" s="119">
        <v>2014</v>
      </c>
      <c r="C22" s="120"/>
    </row>
    <row r="23" spans="1:3" x14ac:dyDescent="0.35">
      <c r="A23" s="124"/>
      <c r="B23" s="125" t="s">
        <v>72</v>
      </c>
      <c r="C23" s="147" t="s">
        <v>73</v>
      </c>
    </row>
    <row r="24" spans="1:3" x14ac:dyDescent="0.35">
      <c r="A24" s="140" t="s">
        <v>70</v>
      </c>
      <c r="B24" s="103">
        <v>0.67</v>
      </c>
      <c r="C24" s="147">
        <f>C15*B24</f>
        <v>637.17000000000007</v>
      </c>
    </row>
    <row r="25" spans="1:3" x14ac:dyDescent="0.35">
      <c r="A25" s="141" t="s">
        <v>71</v>
      </c>
      <c r="B25" s="148">
        <v>0.25</v>
      </c>
      <c r="C25" s="139">
        <f>C15*B25</f>
        <v>237.75</v>
      </c>
    </row>
    <row r="26" spans="1:3" x14ac:dyDescent="0.35">
      <c r="A26" s="57"/>
      <c r="B26" s="5"/>
    </row>
    <row r="27" spans="1:3" x14ac:dyDescent="0.35">
      <c r="A27" s="118"/>
      <c r="B27" s="137">
        <v>2016</v>
      </c>
    </row>
    <row r="28" spans="1:3" ht="29" x14ac:dyDescent="0.35">
      <c r="A28" s="142" t="s">
        <v>74</v>
      </c>
      <c r="B28" s="147">
        <v>3.6</v>
      </c>
    </row>
    <row r="29" spans="1:3" ht="29" x14ac:dyDescent="0.35">
      <c r="A29" s="143" t="s">
        <v>75</v>
      </c>
      <c r="B29" s="139">
        <v>0.12</v>
      </c>
    </row>
    <row r="30" spans="1:3" x14ac:dyDescent="0.35">
      <c r="A30" s="55"/>
      <c r="B30" s="1"/>
    </row>
    <row r="31" spans="1:3" x14ac:dyDescent="0.35">
      <c r="A31" s="144"/>
      <c r="B31" s="137">
        <v>2014</v>
      </c>
    </row>
    <row r="32" spans="1:3" ht="29" x14ac:dyDescent="0.35">
      <c r="A32" s="143" t="s">
        <v>76</v>
      </c>
      <c r="B32" s="139">
        <v>385</v>
      </c>
    </row>
    <row r="35" spans="1:3" x14ac:dyDescent="0.35">
      <c r="A35" s="118" t="s">
        <v>77</v>
      </c>
      <c r="B35" s="98" t="s">
        <v>78</v>
      </c>
      <c r="C35" s="145" t="s">
        <v>81</v>
      </c>
    </row>
    <row r="36" spans="1:3" x14ac:dyDescent="0.35">
      <c r="A36" s="128"/>
      <c r="B36" s="106" t="s">
        <v>79</v>
      </c>
      <c r="C36" s="111"/>
    </row>
    <row r="38" spans="1:3" x14ac:dyDescent="0.35">
      <c r="A38" s="118"/>
      <c r="B38" s="146">
        <v>2014</v>
      </c>
    </row>
    <row r="39" spans="1:3" x14ac:dyDescent="0.35">
      <c r="A39" s="128" t="s">
        <v>82</v>
      </c>
      <c r="B39" s="139">
        <f>C15*2.7%</f>
        <v>25.677000000000003</v>
      </c>
      <c r="C39" t="s">
        <v>80</v>
      </c>
    </row>
    <row r="40" spans="1:3" x14ac:dyDescent="0.35">
      <c r="B40" s="1"/>
    </row>
    <row r="41" spans="1:3" x14ac:dyDescent="0.35">
      <c r="A41" s="118"/>
      <c r="B41" s="146">
        <v>2016</v>
      </c>
    </row>
    <row r="42" spans="1:3" x14ac:dyDescent="0.35">
      <c r="A42" s="128" t="s">
        <v>103</v>
      </c>
      <c r="B42" s="139">
        <v>2.37</v>
      </c>
      <c r="C42" t="s">
        <v>104</v>
      </c>
    </row>
  </sheetData>
  <mergeCells count="3">
    <mergeCell ref="B1:D1"/>
    <mergeCell ref="E1:G1"/>
    <mergeCell ref="B22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 Budget</vt:lpstr>
      <vt:lpstr>Assumptions</vt:lpstr>
      <vt:lpstr>Results</vt:lpstr>
      <vt:lpstr>Baseline Scenario</vt:lpstr>
      <vt:lpstr>Low Scenario</vt:lpstr>
      <vt:lpstr>High Scenario</vt:lpstr>
      <vt:lpstr>Spending from 2017 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Postolovska</dc:creator>
  <cp:lastModifiedBy>Iryna Postolovska</cp:lastModifiedBy>
  <dcterms:created xsi:type="dcterms:W3CDTF">2017-09-27T14:22:25Z</dcterms:created>
  <dcterms:modified xsi:type="dcterms:W3CDTF">2017-09-28T21:27:52Z</dcterms:modified>
</cp:coreProperties>
</file>